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```ST7\Besti@\2022\I kw 2022\Zbiorówki\Zatwierdzone\WWW\Nowy format\www bez definicji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doch_wyd!$A$1:$M$114</definedName>
  </definedNames>
  <calcPr calcId="152511"/>
</workbook>
</file>

<file path=xl/calcChain.xml><?xml version="1.0" encoding="utf-8"?>
<calcChain xmlns="http://schemas.openxmlformats.org/spreadsheetml/2006/main">
  <c r="C114" i="4" l="1"/>
  <c r="C113" i="4"/>
  <c r="C112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2" i="4"/>
  <c r="C102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I78" i="4"/>
  <c r="H78" i="4"/>
  <c r="G78" i="4"/>
  <c r="F78" i="4"/>
  <c r="E78" i="4"/>
  <c r="D78" i="4"/>
  <c r="C78" i="4"/>
  <c r="I77" i="4"/>
  <c r="H77" i="4"/>
  <c r="G77" i="4"/>
  <c r="F77" i="4"/>
  <c r="E77" i="4"/>
  <c r="D77" i="4"/>
  <c r="C77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8" i="4"/>
  <c r="H68" i="4"/>
  <c r="G68" i="4"/>
  <c r="F68" i="4"/>
  <c r="E68" i="4"/>
  <c r="D68" i="4"/>
  <c r="C68" i="4"/>
  <c r="I67" i="4"/>
  <c r="H67" i="4"/>
  <c r="G67" i="4"/>
  <c r="F67" i="4"/>
  <c r="E67" i="4"/>
  <c r="D67" i="4"/>
  <c r="C67" i="4"/>
  <c r="I65" i="4"/>
  <c r="H65" i="4"/>
  <c r="G65" i="4"/>
  <c r="F65" i="4"/>
  <c r="E65" i="4"/>
  <c r="D65" i="4"/>
  <c r="C65" i="4"/>
  <c r="I64" i="4"/>
  <c r="H64" i="4"/>
  <c r="G64" i="4"/>
  <c r="F64" i="4"/>
  <c r="E64" i="4"/>
  <c r="D64" i="4"/>
  <c r="C64" i="4"/>
  <c r="I63" i="4"/>
  <c r="H63" i="4"/>
  <c r="G63" i="4"/>
  <c r="F63" i="4"/>
  <c r="E63" i="4"/>
  <c r="D63" i="4"/>
  <c r="C63" i="4"/>
  <c r="I53" i="4"/>
  <c r="H53" i="4"/>
  <c r="G53" i="4"/>
  <c r="F53" i="4"/>
  <c r="E53" i="4"/>
  <c r="D53" i="4"/>
  <c r="C53" i="4"/>
  <c r="D50" i="4"/>
  <c r="C50" i="4"/>
  <c r="D49" i="4"/>
  <c r="C49" i="4"/>
  <c r="D48" i="4"/>
  <c r="C48" i="4"/>
  <c r="D47" i="4"/>
  <c r="C47" i="4"/>
  <c r="D46" i="4"/>
  <c r="C46" i="4"/>
  <c r="D45" i="4"/>
  <c r="C45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K15" i="4" s="1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10" i="4"/>
  <c r="F52" i="4"/>
  <c r="F54" i="4" s="1"/>
  <c r="F7" i="4"/>
  <c r="F21" i="4" s="1"/>
  <c r="K9" i="4"/>
  <c r="K12" i="4"/>
  <c r="K20" i="4"/>
  <c r="H7" i="4"/>
  <c r="H21" i="4" s="1"/>
  <c r="H52" i="4"/>
  <c r="H54" i="4" s="1"/>
  <c r="J27" i="4"/>
  <c r="J17" i="4"/>
  <c r="J37" i="4"/>
  <c r="J14" i="4"/>
  <c r="J20" i="4"/>
  <c r="J8" i="4"/>
  <c r="J35" i="4"/>
  <c r="J45" i="4"/>
  <c r="J40" i="4"/>
  <c r="D73" i="4"/>
  <c r="J26" i="4"/>
  <c r="J16" i="4"/>
  <c r="J49" i="4"/>
  <c r="J42" i="4"/>
  <c r="J31" i="4"/>
  <c r="J50" i="4"/>
  <c r="J39" i="4"/>
  <c r="J47" i="4"/>
  <c r="J30" i="4"/>
  <c r="J34" i="4"/>
  <c r="J24" i="4"/>
  <c r="J9" i="4"/>
  <c r="J41" i="4"/>
  <c r="J28" i="4"/>
  <c r="J36" i="4"/>
  <c r="J6" i="4"/>
  <c r="J19" i="4"/>
  <c r="D52" i="4"/>
  <c r="D54" i="4" s="1"/>
  <c r="J18" i="4"/>
  <c r="J10" i="4"/>
  <c r="J48" i="4"/>
  <c r="J11" i="4"/>
  <c r="J38" i="4"/>
  <c r="J33" i="4"/>
  <c r="J43" i="4"/>
  <c r="J25" i="4"/>
  <c r="J29" i="4"/>
  <c r="J12" i="4"/>
  <c r="J32" i="4"/>
  <c r="J15" i="4"/>
  <c r="J13" i="4"/>
  <c r="J46" i="4"/>
  <c r="I52" i="4"/>
  <c r="I54" i="4"/>
  <c r="I7" i="4"/>
  <c r="I21" i="4" s="1"/>
  <c r="K16" i="4"/>
  <c r="D23" i="4"/>
  <c r="J23" i="4" s="1"/>
  <c r="E7" i="4"/>
  <c r="E21" i="4" s="1"/>
  <c r="E52" i="4"/>
  <c r="E54" i="4"/>
  <c r="K8" i="4"/>
  <c r="K14" i="4"/>
  <c r="D44" i="4"/>
  <c r="J44" i="4" s="1"/>
  <c r="E66" i="4"/>
  <c r="E72" i="4"/>
  <c r="I66" i="4"/>
  <c r="I72" i="4" s="1"/>
  <c r="K65" i="4"/>
  <c r="K70" i="4"/>
  <c r="E79" i="4"/>
  <c r="I79" i="4"/>
  <c r="K84" i="4"/>
  <c r="K86" i="4"/>
  <c r="K88" i="4"/>
  <c r="K90" i="4"/>
  <c r="K92" i="4"/>
  <c r="K94" i="4"/>
  <c r="K96" i="4"/>
  <c r="D112" i="4"/>
  <c r="B80" i="4" s="1"/>
  <c r="C73" i="4"/>
  <c r="K6" i="4"/>
  <c r="C52" i="4"/>
  <c r="G7" i="4"/>
  <c r="G52" i="4"/>
  <c r="G54" i="4"/>
  <c r="K11" i="4"/>
  <c r="K19" i="4"/>
  <c r="K25" i="4"/>
  <c r="K27" i="4"/>
  <c r="K29" i="4"/>
  <c r="K31" i="4"/>
  <c r="K33" i="4"/>
  <c r="K35" i="4"/>
  <c r="K37" i="4"/>
  <c r="K39" i="4"/>
  <c r="K41" i="4"/>
  <c r="K43" i="4"/>
  <c r="K46" i="4"/>
  <c r="K48" i="4"/>
  <c r="K50" i="4"/>
  <c r="F66" i="4"/>
  <c r="F72" i="4" s="1"/>
  <c r="K64" i="4"/>
  <c r="K69" i="4"/>
  <c r="F79" i="4"/>
  <c r="K78" i="4"/>
  <c r="J86" i="4"/>
  <c r="J92" i="4"/>
  <c r="J90" i="4"/>
  <c r="J84" i="4"/>
  <c r="J88" i="4"/>
  <c r="J89" i="4"/>
  <c r="J91" i="4"/>
  <c r="J87" i="4"/>
  <c r="J85" i="4"/>
  <c r="K18" i="4"/>
  <c r="K63" i="4"/>
  <c r="C66" i="4"/>
  <c r="G66" i="4"/>
  <c r="G72" i="4" s="1"/>
  <c r="K68" i="4"/>
  <c r="K77" i="4"/>
  <c r="C79" i="4"/>
  <c r="K79" i="4"/>
  <c r="G79" i="4"/>
  <c r="K85" i="4"/>
  <c r="K87" i="4"/>
  <c r="K89" i="4"/>
  <c r="K91" i="4"/>
  <c r="K93" i="4"/>
  <c r="K95" i="4"/>
  <c r="K97" i="4"/>
  <c r="K13" i="4"/>
  <c r="K17" i="4"/>
  <c r="K24" i="4"/>
  <c r="C23" i="4"/>
  <c r="K23" i="4" s="1"/>
  <c r="K26" i="4"/>
  <c r="K28" i="4"/>
  <c r="K30" i="4"/>
  <c r="K32" i="4"/>
  <c r="K34" i="4"/>
  <c r="K36" i="4"/>
  <c r="K38" i="4"/>
  <c r="K40" i="4"/>
  <c r="K42" i="4"/>
  <c r="C44" i="4"/>
  <c r="K45" i="4"/>
  <c r="K47" i="4"/>
  <c r="K49" i="4"/>
  <c r="K53" i="4"/>
  <c r="J69" i="4"/>
  <c r="J68" i="4"/>
  <c r="J64" i="4"/>
  <c r="J63" i="4"/>
  <c r="J65" i="4"/>
  <c r="J70" i="4"/>
  <c r="D66" i="4"/>
  <c r="D72" i="4" s="1"/>
  <c r="J72" i="4" s="1"/>
  <c r="J67" i="4"/>
  <c r="J71" i="4"/>
  <c r="H66" i="4"/>
  <c r="H72" i="4" s="1"/>
  <c r="K67" i="4"/>
  <c r="K71" i="4"/>
  <c r="D79" i="4"/>
  <c r="J79" i="4"/>
  <c r="J77" i="4"/>
  <c r="J78" i="4"/>
  <c r="H79" i="4"/>
  <c r="J97" i="4"/>
  <c r="J95" i="4"/>
  <c r="J93" i="4"/>
  <c r="J94" i="4"/>
  <c r="J96" i="4"/>
  <c r="J52" i="4"/>
  <c r="C54" i="4"/>
  <c r="C74" i="4" s="1"/>
  <c r="B56" i="4"/>
  <c r="C72" i="4"/>
  <c r="G21" i="4" l="1"/>
  <c r="B1" i="4"/>
  <c r="K66" i="4"/>
  <c r="J66" i="4"/>
  <c r="K72" i="4"/>
  <c r="K44" i="4"/>
  <c r="D22" i="4"/>
  <c r="J22" i="4" s="1"/>
  <c r="C22" i="4"/>
  <c r="C7" i="4" s="1"/>
  <c r="D7" i="4"/>
  <c r="L7" i="4" s="1"/>
  <c r="K22" i="4"/>
  <c r="K54" i="4"/>
  <c r="D74" i="4"/>
  <c r="J54" i="4"/>
  <c r="K52" i="4"/>
  <c r="J53" i="4"/>
  <c r="L18" i="4" l="1"/>
  <c r="L13" i="4"/>
  <c r="L8" i="4"/>
  <c r="L19" i="4"/>
  <c r="L15" i="4"/>
  <c r="L11" i="4"/>
  <c r="L9" i="4"/>
  <c r="L17" i="4"/>
  <c r="L12" i="4"/>
  <c r="D21" i="4"/>
  <c r="L16" i="4"/>
  <c r="J7" i="4"/>
  <c r="L10" i="4"/>
  <c r="L14" i="4"/>
  <c r="L20" i="4"/>
  <c r="K7" i="4"/>
  <c r="C21" i="4"/>
  <c r="J21" i="4" l="1"/>
  <c r="L21" i="4"/>
  <c r="K21" i="4"/>
</calcChain>
</file>

<file path=xl/sharedStrings.xml><?xml version="1.0" encoding="utf-8"?>
<sst xmlns="http://schemas.openxmlformats.org/spreadsheetml/2006/main" count="343" uniqueCount="110">
  <si>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</si>
  <si>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</si>
  <si>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</si>
  <si>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</si>
  <si>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</si>
  <si>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</si>
  <si>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</si>
  <si>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</si>
  <si>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</si>
  <si>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</si>
  <si>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</si>
  <si>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</si>
  <si>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</si>
  <si>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</si>
  <si>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</si>
  <si>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</si>
  <si>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</si>
  <si>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</si>
  <si>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</si>
  <si>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</si>
  <si>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</si>
  <si>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</si>
  <si>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</si>
  <si>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</si>
  <si>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</si>
  <si>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</si>
  <si>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</si>
  <si>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</si>
  <si>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</si>
  <si>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</si>
  <si>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</si>
  <si>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</si>
  <si>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</si>
  <si>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</si>
  <si>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</si>
  <si>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</si>
  <si>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</si>
  <si>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</si>
  <si>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</si>
  <si>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</si>
  <si>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</si>
  <si>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</si>
  <si>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</si>
  <si>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</si>
  <si>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</si>
  <si>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</si>
  <si>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</si>
  <si>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</si>
  <si>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</si>
  <si>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</si>
  <si>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</si>
  <si>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</si>
  <si>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</si>
  <si>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</si>
  <si>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</si>
  <si>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</si>
  <si>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</si>
  <si>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</si>
  <si>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</si>
  <si>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</si>
  <si>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</si>
  <si>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</si>
  <si>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</si>
  <si>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</si>
  <si>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</si>
  <si>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</si>
  <si>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</si>
  <si>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</si>
  <si>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</si>
  <si>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</si>
  <si>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</si>
  <si>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</si>
  <si>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</si>
  <si>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</si>
  <si>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UE</t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</si>
  <si>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</si>
  <si>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</si>
  <si>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</si>
  <si>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</si>
  <si>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</si>
  <si>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</si>
  <si>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</si>
  <si>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</si>
  <si>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</si>
  <si>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</si>
  <si>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</si>
  <si>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</si>
  <si>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</si>
  <si>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</si>
  <si>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</si>
  <si>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</si>
  <si>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</si>
  <si>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</si>
  <si>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</si>
  <si>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</si>
  <si>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</si>
  <si>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</si>
  <si>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</si>
  <si>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</si>
  <si>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</si>
  <si>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</si>
  <si>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</si>
  <si>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</si>
  <si>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</si>
  <si>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</si>
  <si>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</si>
  <si>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</si>
  <si>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</si>
  <si>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</si>
  <si>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FINANSOWANIE DEFICYTU (E1+E2+E3+E4+E5+E6+E7) 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</si>
</sst>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4" fontId="13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9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2" borderId="14" xfId="0" applyNumberFormat="1" applyFont="1" applyFill="1" applyBorder="1" applyAlignment="1">
      <alignment horizontal="right" vertical="center"/>
    </xf>
    <xf numFmtId="4" fontId="11" fillId="23" borderId="14" xfId="0" applyNumberFormat="1" applyFont="1" applyFill="1" applyBorder="1" applyAlignment="1">
      <alignment horizontal="right" vertical="center"/>
    </xf>
    <xf numFmtId="0" fontId="35" fillId="23" borderId="10" xfId="40" applyFont="1" applyFill="1" applyBorder="1" applyAlignment="1">
      <alignment horizontal="left" vertical="center" wrapText="1"/>
    </xf>
    <xf numFmtId="164" fontId="11" fillId="22" borderId="10" xfId="29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164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4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4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/>
    </xf>
    <xf numFmtId="0" fontId="10" fillId="23" borderId="12" xfId="0" applyFont="1" applyFill="1" applyBorder="1" applyAlignment="1">
      <alignment horizontal="left" vertical="center" wrapText="1"/>
    </xf>
    <xf numFmtId="4" fontId="6" fillId="0" borderId="14" xfId="0" applyNumberFormat="1" applyFont="1" applyFill="1" applyBorder="1" applyAlignment="1">
      <alignment horizontal="right" vertical="center"/>
    </xf>
    <xf numFmtId="164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4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0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6" xfId="0" applyFont="1" applyBorder="1"/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4" fillId="19" borderId="16" xfId="0" applyFont="1" applyFill="1" applyBorder="1" applyAlignment="1">
      <alignment horizontal="center" vertical="center" wrapText="1"/>
    </xf>
    <xf numFmtId="0" fontId="4" fillId="19" borderId="25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ny" xfId="0" builtinId="0"/>
    <cellStyle name="Normalny 2" xfId="39"/>
    <cellStyle name="Normalny 2 2" xfId="40"/>
    <cellStyle name="Note" xfId="41"/>
    <cellStyle name="Note 2" xfId="42"/>
    <cellStyle name="Output" xfId="43"/>
    <cellStyle name="Title" xfId="44"/>
    <cellStyle name="Total" xfId="45"/>
    <cellStyle name="Warning Text" xfId="4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4"/>
  <sheetViews>
    <sheetView tabSelected="1" zoomScaleNormal="100" workbookViewId="0">
      <selection activeCell="B3" sqref="B3:B4"/>
    </sheetView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89" t="str">
        <f>CONCATENATE("Informacja z wykonania budżetów jednostek samorządu terytorialnego za ",$D$112," ",$C$113," roku")</f>
        <v>Informacja z wykonania budżetów jednostek samorządu terytorialnego za I Kwartał 2022 roku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2:13" ht="6.75" customHeight="1" x14ac:dyDescent="0.2"/>
    <row r="3" spans="2:13" ht="66.75" customHeight="1" x14ac:dyDescent="0.2">
      <c r="B3" s="101" t="s">
        <v>0</v>
      </c>
      <c r="C3" s="15" t="s">
        <v>36</v>
      </c>
      <c r="D3" s="15" t="s">
        <v>37</v>
      </c>
      <c r="E3" s="15" t="s">
        <v>38</v>
      </c>
      <c r="F3" s="15" t="s">
        <v>39</v>
      </c>
      <c r="G3" s="15" t="s">
        <v>40</v>
      </c>
      <c r="H3" s="15" t="s">
        <v>41</v>
      </c>
      <c r="I3" s="15" t="s">
        <v>42</v>
      </c>
      <c r="J3" s="17" t="s">
        <v>2</v>
      </c>
      <c r="K3" s="15" t="s">
        <v>18</v>
      </c>
      <c r="L3" s="15" t="s">
        <v>3</v>
      </c>
    </row>
    <row r="4" spans="2:13" x14ac:dyDescent="0.2">
      <c r="B4" s="101"/>
      <c r="C4" s="103" t="s">
        <v>80</v>
      </c>
      <c r="D4" s="104"/>
      <c r="E4" s="104"/>
      <c r="F4" s="104"/>
      <c r="G4" s="104"/>
      <c r="H4" s="104"/>
      <c r="I4" s="105"/>
      <c r="J4" s="102" t="s">
        <v>4</v>
      </c>
      <c r="K4" s="102"/>
      <c r="L4" s="102"/>
    </row>
    <row r="5" spans="2:13" x14ac:dyDescent="0.2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">
      <c r="B6" s="58" t="s">
        <v>5</v>
      </c>
      <c r="C6" s="59">
        <f>306643175585.15</f>
        <v>306643175585.15002</v>
      </c>
      <c r="D6" s="59">
        <f>89736722865.87</f>
        <v>89736722865.869995</v>
      </c>
      <c r="E6" s="59">
        <f>1006052565.44</f>
        <v>1006052565.4400001</v>
      </c>
      <c r="F6" s="59">
        <f>277494503.48</f>
        <v>277494503.48000002</v>
      </c>
      <c r="G6" s="59">
        <f>33214024.68</f>
        <v>33214024.68</v>
      </c>
      <c r="H6" s="59">
        <f>100607067.12</f>
        <v>100607067.12</v>
      </c>
      <c r="I6" s="59">
        <f>2573949.18</f>
        <v>2573949.1800000002</v>
      </c>
      <c r="J6" s="60">
        <f t="shared" ref="J6:J50" si="0">IF($D$6=0,"",100*$D6/$D$6)</f>
        <v>100</v>
      </c>
      <c r="K6" s="60">
        <f t="shared" ref="K6:K50" si="1">IF(C6=0,"",100*D6/C6)</f>
        <v>29.264216526140011</v>
      </c>
      <c r="L6" s="60"/>
    </row>
    <row r="7" spans="2:13" ht="27.95" customHeight="1" x14ac:dyDescent="0.2">
      <c r="B7" s="78" t="s">
        <v>60</v>
      </c>
      <c r="C7" s="25">
        <f>C6-C22-C44</f>
        <v>155664809922.35001</v>
      </c>
      <c r="D7" s="25">
        <f>D6-D22-D44</f>
        <v>41560144715.749992</v>
      </c>
      <c r="E7" s="25">
        <f>E6</f>
        <v>1006052565.4400001</v>
      </c>
      <c r="F7" s="25">
        <f>F6</f>
        <v>277494503.48000002</v>
      </c>
      <c r="G7" s="25">
        <f>G6</f>
        <v>33214024.68</v>
      </c>
      <c r="H7" s="25">
        <f>H6</f>
        <v>100607067.12</v>
      </c>
      <c r="I7" s="25">
        <f>I6</f>
        <v>2573949.1800000002</v>
      </c>
      <c r="J7" s="33">
        <f t="shared" si="0"/>
        <v>46.313419287519764</v>
      </c>
      <c r="K7" s="33">
        <f t="shared" si="1"/>
        <v>26.698484221630672</v>
      </c>
      <c r="L7" s="33">
        <f t="shared" ref="L7:L21" si="2">IF($D$7=0,"",100*$D7/$D$7)</f>
        <v>100</v>
      </c>
    </row>
    <row r="8" spans="2:13" ht="23.1" customHeight="1" outlineLevel="1" x14ac:dyDescent="0.2">
      <c r="B8" s="30" t="s">
        <v>35</v>
      </c>
      <c r="C8" s="23">
        <f>15164008084</f>
        <v>15164008084</v>
      </c>
      <c r="D8" s="23">
        <f>3774991647.41</f>
        <v>3774991647.4099998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4">
        <f t="shared" si="0"/>
        <v>4.2067411499442677</v>
      </c>
      <c r="K8" s="34">
        <f t="shared" si="1"/>
        <v>24.894418589720399</v>
      </c>
      <c r="L8" s="34">
        <f t="shared" si="2"/>
        <v>9.083201401797325</v>
      </c>
    </row>
    <row r="9" spans="2:13" ht="23.1" customHeight="1" outlineLevel="1" x14ac:dyDescent="0.2">
      <c r="B9" s="30" t="s">
        <v>19</v>
      </c>
      <c r="C9" s="23">
        <f>53980346897.63</f>
        <v>53980346897.629997</v>
      </c>
      <c r="D9" s="23">
        <f>13492910097</f>
        <v>13492910097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4">
        <f t="shared" si="0"/>
        <v>15.036107477613074</v>
      </c>
      <c r="K9" s="34">
        <f t="shared" si="1"/>
        <v>24.995967740978717</v>
      </c>
      <c r="L9" s="34">
        <f t="shared" si="2"/>
        <v>32.46598439270258</v>
      </c>
    </row>
    <row r="10" spans="2:13" ht="12.95" customHeight="1" outlineLevel="1" x14ac:dyDescent="0.2">
      <c r="B10" s="30" t="s">
        <v>20</v>
      </c>
      <c r="C10" s="23">
        <f>1754670717.69</f>
        <v>1754670717.6900001</v>
      </c>
      <c r="D10" s="23">
        <f>668804776.26</f>
        <v>668804776.25999999</v>
      </c>
      <c r="E10" s="23">
        <f>42224153.03</f>
        <v>42224153.030000001</v>
      </c>
      <c r="F10" s="23">
        <f>610132.51</f>
        <v>610132.51</v>
      </c>
      <c r="G10" s="23">
        <f>654872.51</f>
        <v>654872.51</v>
      </c>
      <c r="H10" s="23">
        <f>717793.94</f>
        <v>717793.94</v>
      </c>
      <c r="I10" s="24">
        <f>404067.12</f>
        <v>404067.12</v>
      </c>
      <c r="J10" s="34">
        <f t="shared" si="0"/>
        <v>0.7452966354250159</v>
      </c>
      <c r="K10" s="34">
        <f t="shared" si="1"/>
        <v>38.115685724810653</v>
      </c>
      <c r="L10" s="34">
        <f t="shared" si="2"/>
        <v>1.6092455424163716</v>
      </c>
    </row>
    <row r="11" spans="2:13" ht="12.95" customHeight="1" outlineLevel="1" x14ac:dyDescent="0.2">
      <c r="B11" s="30" t="s">
        <v>21</v>
      </c>
      <c r="C11" s="23">
        <f>27471506589.47</f>
        <v>27471506589.470001</v>
      </c>
      <c r="D11" s="23">
        <f>8035340837.35</f>
        <v>8035340837.3500004</v>
      </c>
      <c r="E11" s="23">
        <f>603773220.79</f>
        <v>603773220.78999996</v>
      </c>
      <c r="F11" s="23">
        <f>227841209.53</f>
        <v>227841209.53</v>
      </c>
      <c r="G11" s="23">
        <f>26608103.96</f>
        <v>26608103.960000001</v>
      </c>
      <c r="H11" s="23">
        <f>80522197.33</f>
        <v>80522197.329999998</v>
      </c>
      <c r="I11" s="24">
        <f>1557803.91</f>
        <v>1557803.91</v>
      </c>
      <c r="J11" s="34">
        <f t="shared" si="0"/>
        <v>8.9543506612788519</v>
      </c>
      <c r="K11" s="34">
        <f t="shared" si="1"/>
        <v>29.249727572021825</v>
      </c>
      <c r="L11" s="34">
        <f t="shared" si="2"/>
        <v>19.33424652947577</v>
      </c>
    </row>
    <row r="12" spans="2:13" ht="12.95" customHeight="1" outlineLevel="1" x14ac:dyDescent="0.2">
      <c r="B12" s="30" t="s">
        <v>22</v>
      </c>
      <c r="C12" s="23">
        <f>325850114.72</f>
        <v>325850114.72000003</v>
      </c>
      <c r="D12" s="23">
        <f>106520581.86</f>
        <v>106520581.86</v>
      </c>
      <c r="E12" s="23">
        <f>1218488.21</f>
        <v>1218488.21</v>
      </c>
      <c r="F12" s="23">
        <f>180768.55</f>
        <v>180768.55</v>
      </c>
      <c r="G12" s="23">
        <f>31591.78</f>
        <v>31591.78</v>
      </c>
      <c r="H12" s="23">
        <f>9630.06</f>
        <v>9630.06</v>
      </c>
      <c r="I12" s="24">
        <f>12821.65</f>
        <v>12821.65</v>
      </c>
      <c r="J12" s="34">
        <f t="shared" si="0"/>
        <v>0.11870344543249806</v>
      </c>
      <c r="K12" s="34">
        <f t="shared" si="1"/>
        <v>32.690055043108437</v>
      </c>
      <c r="L12" s="34">
        <f t="shared" si="2"/>
        <v>0.25630464616652798</v>
      </c>
    </row>
    <row r="13" spans="2:13" ht="12.95" customHeight="1" outlineLevel="1" x14ac:dyDescent="0.2">
      <c r="B13" s="30" t="s">
        <v>23</v>
      </c>
      <c r="C13" s="23">
        <f>1302592437.9</f>
        <v>1302592437.9000001</v>
      </c>
      <c r="D13" s="23">
        <f>586274518.5</f>
        <v>586274518.5</v>
      </c>
      <c r="E13" s="23">
        <f>352595177.9</f>
        <v>352595177.89999998</v>
      </c>
      <c r="F13" s="23">
        <f>1316458.82</f>
        <v>1316458.82</v>
      </c>
      <c r="G13" s="23">
        <f>976584.71</f>
        <v>976584.71</v>
      </c>
      <c r="H13" s="23">
        <f>5603413.07</f>
        <v>5603413.0700000003</v>
      </c>
      <c r="I13" s="24">
        <f>13922.44</f>
        <v>13922.44</v>
      </c>
      <c r="J13" s="34">
        <f t="shared" si="0"/>
        <v>0.65332731102327857</v>
      </c>
      <c r="K13" s="34">
        <f t="shared" si="1"/>
        <v>45.008285127554856</v>
      </c>
      <c r="L13" s="34">
        <f t="shared" si="2"/>
        <v>1.4106652479432304</v>
      </c>
    </row>
    <row r="14" spans="2:13" ht="33" customHeight="1" outlineLevel="1" x14ac:dyDescent="0.2">
      <c r="B14" s="30" t="s">
        <v>44</v>
      </c>
      <c r="C14" s="23">
        <f>127783647.37</f>
        <v>127783647.37</v>
      </c>
      <c r="D14" s="23">
        <f>31023266.78</f>
        <v>31023266.780000001</v>
      </c>
      <c r="E14" s="23">
        <f>0</f>
        <v>0</v>
      </c>
      <c r="F14" s="23">
        <f>0</f>
        <v>0</v>
      </c>
      <c r="G14" s="23">
        <f>24623.12</f>
        <v>24623.119999999999</v>
      </c>
      <c r="H14" s="23">
        <f>134740.36</f>
        <v>134740.35999999999</v>
      </c>
      <c r="I14" s="24">
        <f>0</f>
        <v>0</v>
      </c>
      <c r="J14" s="34">
        <f t="shared" si="0"/>
        <v>3.457142827287181E-2</v>
      </c>
      <c r="K14" s="34">
        <f t="shared" si="1"/>
        <v>24.277963118529193</v>
      </c>
      <c r="L14" s="34">
        <f t="shared" si="2"/>
        <v>7.4646676502652207E-2</v>
      </c>
    </row>
    <row r="15" spans="2:13" ht="12.95" customHeight="1" outlineLevel="1" x14ac:dyDescent="0.2">
      <c r="B15" s="30" t="s">
        <v>28</v>
      </c>
      <c r="C15" s="23">
        <f>328595983.82</f>
        <v>328595983.81999999</v>
      </c>
      <c r="D15" s="23">
        <f>127965369.76</f>
        <v>127965369.76000001</v>
      </c>
      <c r="E15" s="23">
        <f>0</f>
        <v>0</v>
      </c>
      <c r="F15" s="23">
        <f>0</f>
        <v>0</v>
      </c>
      <c r="G15" s="23">
        <f>1698755.13</f>
        <v>1698755.13</v>
      </c>
      <c r="H15" s="23">
        <f>5008058.68</f>
        <v>5008058.68</v>
      </c>
      <c r="I15" s="24">
        <f>0</f>
        <v>0</v>
      </c>
      <c r="J15" s="34">
        <f t="shared" si="0"/>
        <v>0.14260089478782348</v>
      </c>
      <c r="K15" s="34">
        <f t="shared" si="1"/>
        <v>38.943071754065485</v>
      </c>
      <c r="L15" s="34">
        <f t="shared" si="2"/>
        <v>0.30790405239254409</v>
      </c>
    </row>
    <row r="16" spans="2:13" ht="23.1" customHeight="1" outlineLevel="1" x14ac:dyDescent="0.2">
      <c r="B16" s="30" t="s">
        <v>29</v>
      </c>
      <c r="C16" s="23">
        <f>3444888807.55</f>
        <v>3444888807.5500002</v>
      </c>
      <c r="D16" s="23">
        <f>1142326965.55</f>
        <v>1142326965.55</v>
      </c>
      <c r="E16" s="23">
        <f>0</f>
        <v>0</v>
      </c>
      <c r="F16" s="23">
        <f>0</f>
        <v>0</v>
      </c>
      <c r="G16" s="23">
        <f>122797</f>
        <v>122797</v>
      </c>
      <c r="H16" s="23">
        <f>366608.69</f>
        <v>366608.69</v>
      </c>
      <c r="I16" s="24">
        <f>0</f>
        <v>0</v>
      </c>
      <c r="J16" s="34">
        <f t="shared" si="0"/>
        <v>1.2729760226005165</v>
      </c>
      <c r="K16" s="34">
        <f t="shared" si="1"/>
        <v>33.160053324403847</v>
      </c>
      <c r="L16" s="34">
        <f t="shared" si="2"/>
        <v>2.7486116166412047</v>
      </c>
    </row>
    <row r="17" spans="2:12" ht="12.95" customHeight="1" outlineLevel="1" x14ac:dyDescent="0.2">
      <c r="B17" s="30" t="s">
        <v>30</v>
      </c>
      <c r="C17" s="23">
        <f>547193786.58</f>
        <v>547193786.58000004</v>
      </c>
      <c r="D17" s="23">
        <f>151997750.97</f>
        <v>151997750.97</v>
      </c>
      <c r="E17" s="23">
        <f>0</f>
        <v>0</v>
      </c>
      <c r="F17" s="23">
        <f>0</f>
        <v>0</v>
      </c>
      <c r="G17" s="23">
        <f>1608</f>
        <v>1608</v>
      </c>
      <c r="H17" s="23">
        <f>1320.82</f>
        <v>1320.82</v>
      </c>
      <c r="I17" s="24">
        <f>5435.5</f>
        <v>5435.5</v>
      </c>
      <c r="J17" s="34">
        <f t="shared" si="0"/>
        <v>0.16938188304156362</v>
      </c>
      <c r="K17" s="34">
        <f t="shared" si="1"/>
        <v>27.777682184587057</v>
      </c>
      <c r="L17" s="34">
        <f t="shared" si="2"/>
        <v>0.36572959985964054</v>
      </c>
    </row>
    <row r="18" spans="2:12" ht="12.95" customHeight="1" outlineLevel="1" x14ac:dyDescent="0.2">
      <c r="B18" s="30" t="s">
        <v>31</v>
      </c>
      <c r="C18" s="23">
        <f>441347217.89</f>
        <v>441347217.88999999</v>
      </c>
      <c r="D18" s="23">
        <f>229079252.31</f>
        <v>229079252.31</v>
      </c>
      <c r="E18" s="23">
        <f>0</f>
        <v>0</v>
      </c>
      <c r="F18" s="23">
        <f>0</f>
        <v>0</v>
      </c>
      <c r="G18" s="23">
        <f>0</f>
        <v>0</v>
      </c>
      <c r="H18" s="23">
        <f>1058748.3</f>
        <v>1058748.3</v>
      </c>
      <c r="I18" s="24">
        <f>0</f>
        <v>0</v>
      </c>
      <c r="J18" s="34">
        <f t="shared" si="0"/>
        <v>0.25527927139974355</v>
      </c>
      <c r="K18" s="34">
        <f t="shared" si="1"/>
        <v>51.904542053122221</v>
      </c>
      <c r="L18" s="34">
        <f t="shared" si="2"/>
        <v>0.55119936149593374</v>
      </c>
    </row>
    <row r="19" spans="2:12" ht="12.95" customHeight="1" outlineLevel="1" x14ac:dyDescent="0.2">
      <c r="B19" s="30" t="s">
        <v>32</v>
      </c>
      <c r="C19" s="23">
        <f>128290827.75</f>
        <v>128290827.75</v>
      </c>
      <c r="D19" s="23">
        <f>16168285.2</f>
        <v>16168285.199999999</v>
      </c>
      <c r="E19" s="23">
        <f>242106.52</f>
        <v>242106.52</v>
      </c>
      <c r="F19" s="23">
        <f>3900</f>
        <v>3900</v>
      </c>
      <c r="G19" s="23">
        <f>0</f>
        <v>0</v>
      </c>
      <c r="H19" s="23">
        <f>114211.67</f>
        <v>114211.67</v>
      </c>
      <c r="I19" s="24">
        <f>0</f>
        <v>0</v>
      </c>
      <c r="J19" s="34">
        <f t="shared" si="0"/>
        <v>1.8017467858913047E-2</v>
      </c>
      <c r="K19" s="34">
        <f t="shared" si="1"/>
        <v>12.602838007645484</v>
      </c>
      <c r="L19" s="34">
        <f t="shared" si="2"/>
        <v>3.8903341917076451E-2</v>
      </c>
    </row>
    <row r="20" spans="2:12" ht="12.95" customHeight="1" outlineLevel="1" x14ac:dyDescent="0.2">
      <c r="B20" s="30" t="s">
        <v>24</v>
      </c>
      <c r="C20" s="23">
        <f>10480118272.82</f>
        <v>10480118272.82</v>
      </c>
      <c r="D20" s="23">
        <f>2550938598.47</f>
        <v>2550938598.4699998</v>
      </c>
      <c r="E20" s="23">
        <f>0</f>
        <v>0</v>
      </c>
      <c r="F20" s="23">
        <f>29385.74</f>
        <v>29385.74</v>
      </c>
      <c r="G20" s="23">
        <f>986.08</f>
        <v>986.08</v>
      </c>
      <c r="H20" s="23">
        <f>144026.14</f>
        <v>144026.14000000001</v>
      </c>
      <c r="I20" s="24">
        <f>4840.65</f>
        <v>4840.6499999999996</v>
      </c>
      <c r="J20" s="34">
        <f t="shared" si="0"/>
        <v>2.8426919515245754</v>
      </c>
      <c r="K20" s="34">
        <f t="shared" si="1"/>
        <v>24.340742461712608</v>
      </c>
      <c r="L20" s="34">
        <f t="shared" si="2"/>
        <v>6.1379444559616125</v>
      </c>
    </row>
    <row r="21" spans="2:12" ht="12.95" customHeight="1" outlineLevel="1" x14ac:dyDescent="0.2">
      <c r="B21" s="30" t="s">
        <v>25</v>
      </c>
      <c r="C21" s="23">
        <f>C7-C8-C9-C10-C11-C12-C13-C14-C15-C16-C17-C18-C19-C20</f>
        <v>40167616537.159988</v>
      </c>
      <c r="D21" s="23">
        <f t="shared" ref="D21:I21" si="3">D7-D8-D9-D10-D11-D12-D13-D14-D15-D16-D17-D18-D19-D20</f>
        <v>10645802768.329998</v>
      </c>
      <c r="E21" s="23">
        <f t="shared" si="3"/>
        <v>5999418.9900001697</v>
      </c>
      <c r="F21" s="23">
        <f t="shared" si="3"/>
        <v>47512648.330000028</v>
      </c>
      <c r="G21" s="23">
        <f t="shared" si="3"/>
        <v>3094102.3899999969</v>
      </c>
      <c r="H21" s="23">
        <f t="shared" si="3"/>
        <v>6926318.0600000108</v>
      </c>
      <c r="I21" s="24">
        <f t="shared" si="3"/>
        <v>575057.91000000015</v>
      </c>
      <c r="J21" s="34">
        <f t="shared" si="0"/>
        <v>11.863373687316775</v>
      </c>
      <c r="K21" s="34">
        <f t="shared" si="1"/>
        <v>26.503446522601909</v>
      </c>
      <c r="L21" s="34">
        <f t="shared" si="2"/>
        <v>25.61541313472754</v>
      </c>
    </row>
    <row r="22" spans="2:12" ht="27.95" customHeight="1" x14ac:dyDescent="0.2">
      <c r="B22" s="79" t="s">
        <v>107</v>
      </c>
      <c r="C22" s="59">
        <f>C23+C40+C42</f>
        <v>79573883839.200012</v>
      </c>
      <c r="D22" s="59">
        <f>D23+D40+D42</f>
        <v>23139698120.120003</v>
      </c>
      <c r="E22" s="61" t="s">
        <v>59</v>
      </c>
      <c r="F22" s="61" t="s">
        <v>59</v>
      </c>
      <c r="G22" s="61" t="s">
        <v>59</v>
      </c>
      <c r="H22" s="61" t="s">
        <v>59</v>
      </c>
      <c r="I22" s="61" t="s">
        <v>59</v>
      </c>
      <c r="J22" s="60">
        <f t="shared" si="0"/>
        <v>25.78620812207177</v>
      </c>
      <c r="K22" s="60">
        <f t="shared" si="1"/>
        <v>29.079513282121379</v>
      </c>
      <c r="L22" s="62"/>
    </row>
    <row r="23" spans="2:12" ht="27.95" customHeight="1" outlineLevel="1" x14ac:dyDescent="0.2">
      <c r="B23" s="84" t="s">
        <v>61</v>
      </c>
      <c r="C23" s="59">
        <f>C24+C26+C28+C30+C32+C34+C36+C38</f>
        <v>57862583299.320007</v>
      </c>
      <c r="D23" s="59">
        <f>D24+D26+D28+D30+D32+D34+D36+D38</f>
        <v>19802278451.000004</v>
      </c>
      <c r="E23" s="61" t="s">
        <v>59</v>
      </c>
      <c r="F23" s="61" t="s">
        <v>59</v>
      </c>
      <c r="G23" s="61" t="s">
        <v>59</v>
      </c>
      <c r="H23" s="61" t="s">
        <v>59</v>
      </c>
      <c r="I23" s="61" t="s">
        <v>59</v>
      </c>
      <c r="J23" s="60">
        <f t="shared" si="0"/>
        <v>22.067084487360415</v>
      </c>
      <c r="K23" s="60">
        <f t="shared" si="1"/>
        <v>34.222942222548021</v>
      </c>
      <c r="L23" s="62"/>
    </row>
    <row r="24" spans="2:12" ht="24.95" customHeight="1" outlineLevel="1" x14ac:dyDescent="0.2">
      <c r="B24" s="83" t="s">
        <v>9</v>
      </c>
      <c r="C24" s="24">
        <f>37707642500.08</f>
        <v>37707642500.080002</v>
      </c>
      <c r="D24" s="24">
        <f>17389065693.27</f>
        <v>17389065693.27</v>
      </c>
      <c r="E24" s="24" t="s">
        <v>59</v>
      </c>
      <c r="F24" s="24" t="s">
        <v>59</v>
      </c>
      <c r="G24" s="24" t="s">
        <v>59</v>
      </c>
      <c r="H24" s="24" t="s">
        <v>59</v>
      </c>
      <c r="I24" s="24" t="s">
        <v>59</v>
      </c>
      <c r="J24" s="34">
        <f t="shared" si="0"/>
        <v>19.377870216256436</v>
      </c>
      <c r="K24" s="34">
        <f t="shared" si="1"/>
        <v>46.11549420845683</v>
      </c>
      <c r="L24" s="29"/>
    </row>
    <row r="25" spans="2:12" ht="12.95" customHeight="1" outlineLevel="1" x14ac:dyDescent="0.2">
      <c r="B25" s="85" t="s">
        <v>6</v>
      </c>
      <c r="C25" s="24">
        <f>86791599.31</f>
        <v>86791599.310000002</v>
      </c>
      <c r="D25" s="24">
        <f>4818686.61</f>
        <v>4818686.6100000003</v>
      </c>
      <c r="E25" s="24" t="s">
        <v>59</v>
      </c>
      <c r="F25" s="24" t="s">
        <v>59</v>
      </c>
      <c r="G25" s="24" t="s">
        <v>59</v>
      </c>
      <c r="H25" s="24" t="s">
        <v>59</v>
      </c>
      <c r="I25" s="24" t="s">
        <v>59</v>
      </c>
      <c r="J25" s="34">
        <f t="shared" si="0"/>
        <v>5.3698045305292904E-3</v>
      </c>
      <c r="K25" s="34">
        <f t="shared" si="1"/>
        <v>5.5520196059399014</v>
      </c>
      <c r="L25" s="29"/>
    </row>
    <row r="26" spans="2:12" ht="12.95" customHeight="1" outlineLevel="1" x14ac:dyDescent="0.2">
      <c r="B26" s="83" t="s">
        <v>7</v>
      </c>
      <c r="C26" s="24">
        <f>5516430880.77</f>
        <v>5516430880.7700005</v>
      </c>
      <c r="D26" s="24">
        <f>1307490625.18</f>
        <v>1307490625.1800001</v>
      </c>
      <c r="E26" s="24" t="s">
        <v>59</v>
      </c>
      <c r="F26" s="24" t="s">
        <v>59</v>
      </c>
      <c r="G26" s="24" t="s">
        <v>59</v>
      </c>
      <c r="H26" s="24" t="s">
        <v>59</v>
      </c>
      <c r="I26" s="24" t="s">
        <v>59</v>
      </c>
      <c r="J26" s="34">
        <f t="shared" si="0"/>
        <v>1.4570296122071607</v>
      </c>
      <c r="K26" s="34">
        <f t="shared" si="1"/>
        <v>23.701749436177046</v>
      </c>
      <c r="L26" s="29"/>
    </row>
    <row r="27" spans="2:12" ht="12.95" customHeight="1" outlineLevel="1" x14ac:dyDescent="0.2">
      <c r="B27" s="85" t="s">
        <v>6</v>
      </c>
      <c r="C27" s="24">
        <f>647039139.03</f>
        <v>647039139.02999997</v>
      </c>
      <c r="D27" s="24">
        <f>31277802.23</f>
        <v>31277802.23</v>
      </c>
      <c r="E27" s="24" t="s">
        <v>59</v>
      </c>
      <c r="F27" s="24" t="s">
        <v>59</v>
      </c>
      <c r="G27" s="24" t="s">
        <v>59</v>
      </c>
      <c r="H27" s="24" t="s">
        <v>59</v>
      </c>
      <c r="I27" s="24" t="s">
        <v>59</v>
      </c>
      <c r="J27" s="34">
        <f t="shared" si="0"/>
        <v>3.4855075192294589E-2</v>
      </c>
      <c r="K27" s="34">
        <f t="shared" si="1"/>
        <v>4.8339892200168446</v>
      </c>
      <c r="L27" s="29"/>
    </row>
    <row r="28" spans="2:12" ht="33" customHeight="1" outlineLevel="1" x14ac:dyDescent="0.2">
      <c r="B28" s="83" t="s">
        <v>10</v>
      </c>
      <c r="C28" s="24">
        <f>254952548.05</f>
        <v>254952548.05000001</v>
      </c>
      <c r="D28" s="24">
        <f>74414568.14</f>
        <v>74414568.140000001</v>
      </c>
      <c r="E28" s="24" t="s">
        <v>59</v>
      </c>
      <c r="F28" s="24" t="s">
        <v>59</v>
      </c>
      <c r="G28" s="24" t="s">
        <v>59</v>
      </c>
      <c r="H28" s="24" t="s">
        <v>59</v>
      </c>
      <c r="I28" s="24" t="s">
        <v>59</v>
      </c>
      <c r="J28" s="34">
        <f t="shared" si="0"/>
        <v>8.2925435388617755E-2</v>
      </c>
      <c r="K28" s="34">
        <f t="shared" si="1"/>
        <v>29.187614993126559</v>
      </c>
      <c r="L28" s="29"/>
    </row>
    <row r="29" spans="2:12" ht="12.95" customHeight="1" outlineLevel="1" x14ac:dyDescent="0.2">
      <c r="B29" s="85" t="s">
        <v>6</v>
      </c>
      <c r="C29" s="24">
        <f>33162752.04</f>
        <v>33162752.039999999</v>
      </c>
      <c r="D29" s="24">
        <f>3995836</f>
        <v>3995836</v>
      </c>
      <c r="E29" s="24" t="s">
        <v>59</v>
      </c>
      <c r="F29" s="24" t="s">
        <v>59</v>
      </c>
      <c r="G29" s="24" t="s">
        <v>59</v>
      </c>
      <c r="H29" s="24" t="s">
        <v>59</v>
      </c>
      <c r="I29" s="24" t="s">
        <v>59</v>
      </c>
      <c r="J29" s="34">
        <f t="shared" si="0"/>
        <v>4.4528436880546659E-3</v>
      </c>
      <c r="K29" s="34">
        <f t="shared" si="1"/>
        <v>12.049168884356559</v>
      </c>
      <c r="L29" s="29"/>
    </row>
    <row r="30" spans="2:12" ht="27.95" customHeight="1" outlineLevel="1" x14ac:dyDescent="0.2">
      <c r="B30" s="83" t="s">
        <v>11</v>
      </c>
      <c r="C30" s="24">
        <f>1477244323</f>
        <v>1477244323</v>
      </c>
      <c r="D30" s="24">
        <f>315241691.22</f>
        <v>315241691.22000003</v>
      </c>
      <c r="E30" s="24" t="s">
        <v>59</v>
      </c>
      <c r="F30" s="24" t="s">
        <v>59</v>
      </c>
      <c r="G30" s="24" t="s">
        <v>59</v>
      </c>
      <c r="H30" s="24" t="s">
        <v>59</v>
      </c>
      <c r="I30" s="24" t="s">
        <v>59</v>
      </c>
      <c r="J30" s="34">
        <f t="shared" si="0"/>
        <v>0.35129619307715709</v>
      </c>
      <c r="K30" s="34">
        <f t="shared" si="1"/>
        <v>21.339847871596799</v>
      </c>
      <c r="L30" s="29"/>
    </row>
    <row r="31" spans="2:12" ht="12.95" customHeight="1" outlineLevel="1" x14ac:dyDescent="0.2">
      <c r="B31" s="85" t="s">
        <v>6</v>
      </c>
      <c r="C31" s="24">
        <f>260871989.9</f>
        <v>260871989.90000001</v>
      </c>
      <c r="D31" s="24">
        <f>19237550.79</f>
        <v>19237550.789999999</v>
      </c>
      <c r="E31" s="24" t="s">
        <v>59</v>
      </c>
      <c r="F31" s="24" t="s">
        <v>59</v>
      </c>
      <c r="G31" s="24" t="s">
        <v>59</v>
      </c>
      <c r="H31" s="24" t="s">
        <v>59</v>
      </c>
      <c r="I31" s="24" t="s">
        <v>59</v>
      </c>
      <c r="J31" s="34">
        <f t="shared" si="0"/>
        <v>2.1437768369092863E-2</v>
      </c>
      <c r="K31" s="34">
        <f t="shared" si="1"/>
        <v>7.3743259279673241</v>
      </c>
      <c r="L31" s="29"/>
    </row>
    <row r="32" spans="2:12" ht="33.75" outlineLevel="1" x14ac:dyDescent="0.2">
      <c r="B32" s="83" t="s">
        <v>81</v>
      </c>
      <c r="C32" s="24">
        <f>1447671633.88</f>
        <v>1447671633.8800001</v>
      </c>
      <c r="D32" s="24">
        <f>178404015.05</f>
        <v>178404015.05000001</v>
      </c>
      <c r="E32" s="24" t="s">
        <v>59</v>
      </c>
      <c r="F32" s="24" t="s">
        <v>59</v>
      </c>
      <c r="G32" s="24" t="s">
        <v>59</v>
      </c>
      <c r="H32" s="24" t="s">
        <v>59</v>
      </c>
      <c r="I32" s="24" t="s">
        <v>59</v>
      </c>
      <c r="J32" s="34">
        <f t="shared" si="0"/>
        <v>0.19880825748078801</v>
      </c>
      <c r="K32" s="34">
        <f t="shared" si="1"/>
        <v>12.32351390155015</v>
      </c>
      <c r="L32" s="29"/>
    </row>
    <row r="33" spans="2:12" ht="12.95" customHeight="1" outlineLevel="1" x14ac:dyDescent="0.2">
      <c r="B33" s="85" t="s">
        <v>6</v>
      </c>
      <c r="C33" s="24">
        <f>1273568582.51</f>
        <v>1273568582.51</v>
      </c>
      <c r="D33" s="24">
        <f>135894515.55</f>
        <v>135894515.55000001</v>
      </c>
      <c r="E33" s="24" t="s">
        <v>59</v>
      </c>
      <c r="F33" s="24" t="s">
        <v>59</v>
      </c>
      <c r="G33" s="24" t="s">
        <v>59</v>
      </c>
      <c r="H33" s="24" t="s">
        <v>59</v>
      </c>
      <c r="I33" s="24" t="s">
        <v>59</v>
      </c>
      <c r="J33" s="34">
        <f t="shared" si="0"/>
        <v>0.1514369047698815</v>
      </c>
      <c r="K33" s="34">
        <f t="shared" si="1"/>
        <v>10.670372794700516</v>
      </c>
      <c r="L33" s="29"/>
    </row>
    <row r="34" spans="2:12" ht="12.95" customHeight="1" outlineLevel="1" x14ac:dyDescent="0.2">
      <c r="B34" s="83" t="s">
        <v>8</v>
      </c>
      <c r="C34" s="24">
        <f>652651519.85</f>
        <v>652651519.85000002</v>
      </c>
      <c r="D34" s="24">
        <f>78904327.29</f>
        <v>78904327.290000007</v>
      </c>
      <c r="E34" s="24" t="s">
        <v>59</v>
      </c>
      <c r="F34" s="24" t="s">
        <v>59</v>
      </c>
      <c r="G34" s="24" t="s">
        <v>59</v>
      </c>
      <c r="H34" s="24" t="s">
        <v>59</v>
      </c>
      <c r="I34" s="24" t="s">
        <v>59</v>
      </c>
      <c r="J34" s="34">
        <f t="shared" si="0"/>
        <v>8.7928692702472291E-2</v>
      </c>
      <c r="K34" s="34">
        <f t="shared" si="1"/>
        <v>12.089809782123043</v>
      </c>
      <c r="L34" s="29"/>
    </row>
    <row r="35" spans="2:12" ht="12.95" customHeight="1" outlineLevel="1" x14ac:dyDescent="0.2">
      <c r="B35" s="85" t="s">
        <v>6</v>
      </c>
      <c r="C35" s="24">
        <f>547253743.74</f>
        <v>547253743.74000001</v>
      </c>
      <c r="D35" s="24">
        <f>39664741.93</f>
        <v>39664741.93</v>
      </c>
      <c r="E35" s="24" t="s">
        <v>59</v>
      </c>
      <c r="F35" s="24" t="s">
        <v>59</v>
      </c>
      <c r="G35" s="24" t="s">
        <v>59</v>
      </c>
      <c r="H35" s="24" t="s">
        <v>59</v>
      </c>
      <c r="I35" s="24" t="s">
        <v>59</v>
      </c>
      <c r="J35" s="34">
        <f t="shared" si="0"/>
        <v>4.4201237423487284E-2</v>
      </c>
      <c r="K35" s="34">
        <f t="shared" si="1"/>
        <v>7.2479617332402757</v>
      </c>
      <c r="L35" s="29"/>
    </row>
    <row r="36" spans="2:12" ht="67.5" outlineLevel="1" x14ac:dyDescent="0.2">
      <c r="B36" s="83" t="s">
        <v>100</v>
      </c>
      <c r="C36" s="24">
        <f>7000445.86</f>
        <v>7000445.8600000003</v>
      </c>
      <c r="D36" s="24">
        <f>776173.97</f>
        <v>776173.97</v>
      </c>
      <c r="E36" s="24" t="s">
        <v>59</v>
      </c>
      <c r="F36" s="24" t="s">
        <v>59</v>
      </c>
      <c r="G36" s="24" t="s">
        <v>59</v>
      </c>
      <c r="H36" s="24" t="s">
        <v>59</v>
      </c>
      <c r="I36" s="24" t="s">
        <v>59</v>
      </c>
      <c r="J36" s="34">
        <f t="shared" si="0"/>
        <v>8.6494574931174134E-4</v>
      </c>
      <c r="K36" s="34">
        <f t="shared" si="1"/>
        <v>11.08749336145855</v>
      </c>
      <c r="L36" s="29"/>
    </row>
    <row r="37" spans="2:12" ht="12.95" customHeight="1" outlineLevel="1" x14ac:dyDescent="0.2">
      <c r="B37" s="85" t="s">
        <v>98</v>
      </c>
      <c r="C37" s="24">
        <f>6773998.69</f>
        <v>6773998.6900000004</v>
      </c>
      <c r="D37" s="24">
        <f>736173.97</f>
        <v>736173.97</v>
      </c>
      <c r="E37" s="24" t="s">
        <v>59</v>
      </c>
      <c r="F37" s="24" t="s">
        <v>59</v>
      </c>
      <c r="G37" s="24" t="s">
        <v>59</v>
      </c>
      <c r="H37" s="24" t="s">
        <v>59</v>
      </c>
      <c r="I37" s="24" t="s">
        <v>59</v>
      </c>
      <c r="J37" s="34">
        <f t="shared" si="0"/>
        <v>8.2037091002349564E-4</v>
      </c>
      <c r="K37" s="34">
        <f t="shared" si="1"/>
        <v>10.867642639003817</v>
      </c>
      <c r="L37" s="29"/>
    </row>
    <row r="38" spans="2:12" ht="45" outlineLevel="1" x14ac:dyDescent="0.2">
      <c r="B38" s="86" t="s">
        <v>97</v>
      </c>
      <c r="C38" s="24">
        <f>10798989447.83</f>
        <v>10798989447.83</v>
      </c>
      <c r="D38" s="24">
        <f>457981356.88</f>
        <v>457981356.88</v>
      </c>
      <c r="E38" s="24" t="s">
        <v>59</v>
      </c>
      <c r="F38" s="24" t="s">
        <v>59</v>
      </c>
      <c r="G38" s="24" t="s">
        <v>59</v>
      </c>
      <c r="H38" s="24" t="s">
        <v>59</v>
      </c>
      <c r="I38" s="24" t="s">
        <v>59</v>
      </c>
      <c r="J38" s="34">
        <f t="shared" si="0"/>
        <v>0.51036113449846776</v>
      </c>
      <c r="K38" s="34">
        <f t="shared" si="1"/>
        <v>4.2409649448451763</v>
      </c>
      <c r="L38" s="29"/>
    </row>
    <row r="39" spans="2:12" ht="12.95" customHeight="1" outlineLevel="1" x14ac:dyDescent="0.2">
      <c r="B39" s="87" t="s">
        <v>6</v>
      </c>
      <c r="C39" s="24">
        <f>10657238201.84</f>
        <v>10657238201.84</v>
      </c>
      <c r="D39" s="24">
        <f>347230984.54</f>
        <v>347230984.54000002</v>
      </c>
      <c r="E39" s="24" t="s">
        <v>59</v>
      </c>
      <c r="F39" s="24" t="s">
        <v>59</v>
      </c>
      <c r="G39" s="24" t="s">
        <v>59</v>
      </c>
      <c r="H39" s="24" t="s">
        <v>59</v>
      </c>
      <c r="I39" s="24" t="s">
        <v>59</v>
      </c>
      <c r="J39" s="34">
        <f t="shared" si="0"/>
        <v>0.38694413329424587</v>
      </c>
      <c r="K39" s="34">
        <f t="shared" si="1"/>
        <v>3.2581704374408154</v>
      </c>
      <c r="L39" s="29"/>
    </row>
    <row r="40" spans="2:12" ht="14.1" customHeight="1" outlineLevel="1" x14ac:dyDescent="0.2">
      <c r="B40" s="84" t="s">
        <v>72</v>
      </c>
      <c r="C40" s="59">
        <f>2796155312.89</f>
        <v>2796155312.8899999</v>
      </c>
      <c r="D40" s="59">
        <f>439281773.88</f>
        <v>439281773.88</v>
      </c>
      <c r="E40" s="61" t="s">
        <v>59</v>
      </c>
      <c r="F40" s="61" t="s">
        <v>59</v>
      </c>
      <c r="G40" s="61" t="s">
        <v>59</v>
      </c>
      <c r="H40" s="61" t="s">
        <v>59</v>
      </c>
      <c r="I40" s="61" t="s">
        <v>59</v>
      </c>
      <c r="J40" s="60">
        <f t="shared" si="0"/>
        <v>0.48952286182391241</v>
      </c>
      <c r="K40" s="60">
        <f t="shared" si="1"/>
        <v>15.710206505874492</v>
      </c>
      <c r="L40" s="29"/>
    </row>
    <row r="41" spans="2:12" ht="12.95" customHeight="1" outlineLevel="1" x14ac:dyDescent="0.2">
      <c r="B41" s="90" t="s">
        <v>73</v>
      </c>
      <c r="C41" s="23">
        <f>1950479231.54</f>
        <v>1950479231.54</v>
      </c>
      <c r="D41" s="23">
        <f>198859100.15</f>
        <v>198859100.15000001</v>
      </c>
      <c r="E41" s="23" t="s">
        <v>59</v>
      </c>
      <c r="F41" s="23" t="s">
        <v>59</v>
      </c>
      <c r="G41" s="23" t="s">
        <v>59</v>
      </c>
      <c r="H41" s="23" t="s">
        <v>59</v>
      </c>
      <c r="I41" s="23" t="s">
        <v>59</v>
      </c>
      <c r="J41" s="34">
        <f t="shared" si="0"/>
        <v>0.22160281075478527</v>
      </c>
      <c r="K41" s="34">
        <f t="shared" si="1"/>
        <v>10.195396953444661</v>
      </c>
      <c r="L41" s="29"/>
    </row>
    <row r="42" spans="2:12" ht="14.1" customHeight="1" outlineLevel="1" x14ac:dyDescent="0.2">
      <c r="B42" s="84" t="s">
        <v>87</v>
      </c>
      <c r="C42" s="59">
        <f>18915145226.99</f>
        <v>18915145226.990002</v>
      </c>
      <c r="D42" s="59">
        <f>2898137895.24</f>
        <v>2898137895.2399998</v>
      </c>
      <c r="E42" s="61" t="s">
        <v>59</v>
      </c>
      <c r="F42" s="61" t="s">
        <v>59</v>
      </c>
      <c r="G42" s="61" t="s">
        <v>59</v>
      </c>
      <c r="H42" s="61" t="s">
        <v>59</v>
      </c>
      <c r="I42" s="61" t="s">
        <v>59</v>
      </c>
      <c r="J42" s="60">
        <f t="shared" si="0"/>
        <v>3.229600772887443</v>
      </c>
      <c r="K42" s="60">
        <f t="shared" si="1"/>
        <v>15.321785058803831</v>
      </c>
      <c r="L42" s="29"/>
    </row>
    <row r="43" spans="2:12" ht="12.95" customHeight="1" outlineLevel="1" x14ac:dyDescent="0.2">
      <c r="B43" s="90" t="s">
        <v>88</v>
      </c>
      <c r="C43" s="23">
        <f>14994040654.78</f>
        <v>14994040654.780001</v>
      </c>
      <c r="D43" s="23">
        <f>1842420317.21</f>
        <v>1842420317.21</v>
      </c>
      <c r="E43" s="23" t="s">
        <v>59</v>
      </c>
      <c r="F43" s="23" t="s">
        <v>59</v>
      </c>
      <c r="G43" s="23" t="s">
        <v>59</v>
      </c>
      <c r="H43" s="23" t="s">
        <v>59</v>
      </c>
      <c r="I43" s="23" t="s">
        <v>59</v>
      </c>
      <c r="J43" s="34">
        <f t="shared" si="0"/>
        <v>2.0531397385258612</v>
      </c>
      <c r="K43" s="34">
        <f t="shared" si="1"/>
        <v>12.28768388474823</v>
      </c>
      <c r="L43" s="29"/>
    </row>
    <row r="44" spans="2:12" ht="27.95" customHeight="1" x14ac:dyDescent="0.2">
      <c r="B44" s="79" t="s">
        <v>62</v>
      </c>
      <c r="C44" s="59">
        <f>C45+C46+C47+C48+C49+C50</f>
        <v>71404481823.600006</v>
      </c>
      <c r="D44" s="59">
        <f>D45+D46+D47+D48+D49+D50</f>
        <v>25036880030</v>
      </c>
      <c r="E44" s="61" t="s">
        <v>59</v>
      </c>
      <c r="F44" s="61" t="s">
        <v>59</v>
      </c>
      <c r="G44" s="61" t="s">
        <v>59</v>
      </c>
      <c r="H44" s="61" t="s">
        <v>59</v>
      </c>
      <c r="I44" s="61" t="s">
        <v>59</v>
      </c>
      <c r="J44" s="60">
        <f t="shared" si="0"/>
        <v>27.900372590408466</v>
      </c>
      <c r="K44" s="60">
        <f t="shared" si="1"/>
        <v>35.063457349710816</v>
      </c>
      <c r="L44" s="29"/>
    </row>
    <row r="45" spans="2:12" ht="15" customHeight="1" outlineLevel="1" x14ac:dyDescent="0.2">
      <c r="B45" s="30" t="s">
        <v>48</v>
      </c>
      <c r="C45" s="23">
        <f>14711495484</f>
        <v>14711495484</v>
      </c>
      <c r="D45" s="23">
        <f>3678463785</f>
        <v>3678463785</v>
      </c>
      <c r="E45" s="23" t="s">
        <v>59</v>
      </c>
      <c r="F45" s="23" t="s">
        <v>59</v>
      </c>
      <c r="G45" s="23" t="s">
        <v>59</v>
      </c>
      <c r="H45" s="23" t="s">
        <v>59</v>
      </c>
      <c r="I45" s="23" t="s">
        <v>59</v>
      </c>
      <c r="J45" s="34">
        <f t="shared" si="0"/>
        <v>4.0991733011001763</v>
      </c>
      <c r="K45" s="34">
        <f t="shared" si="1"/>
        <v>25.004009884655449</v>
      </c>
      <c r="L45" s="29"/>
    </row>
    <row r="46" spans="2:12" ht="15" customHeight="1" outlineLevel="1" x14ac:dyDescent="0.2">
      <c r="B46" s="30" t="s">
        <v>47</v>
      </c>
      <c r="C46" s="23">
        <f>53210840722.6</f>
        <v>53210840722.599998</v>
      </c>
      <c r="D46" s="23">
        <f>20587258665</f>
        <v>20587258665</v>
      </c>
      <c r="E46" s="23" t="s">
        <v>59</v>
      </c>
      <c r="F46" s="23" t="s">
        <v>59</v>
      </c>
      <c r="G46" s="23" t="s">
        <v>59</v>
      </c>
      <c r="H46" s="23" t="s">
        <v>59</v>
      </c>
      <c r="I46" s="23" t="s">
        <v>59</v>
      </c>
      <c r="J46" s="34">
        <f t="shared" si="0"/>
        <v>22.941843659447979</v>
      </c>
      <c r="K46" s="34">
        <f t="shared" si="1"/>
        <v>38.689970662794032</v>
      </c>
      <c r="L46" s="29"/>
    </row>
    <row r="47" spans="2:12" ht="15" customHeight="1" outlineLevel="1" x14ac:dyDescent="0.2">
      <c r="B47" s="30" t="s">
        <v>46</v>
      </c>
      <c r="C47" s="23">
        <f>3098833</f>
        <v>3098833</v>
      </c>
      <c r="D47" s="23">
        <f>0</f>
        <v>0</v>
      </c>
      <c r="E47" s="23" t="s">
        <v>59</v>
      </c>
      <c r="F47" s="23" t="s">
        <v>59</v>
      </c>
      <c r="G47" s="23" t="s">
        <v>59</v>
      </c>
      <c r="H47" s="23" t="s">
        <v>59</v>
      </c>
      <c r="I47" s="23" t="s">
        <v>59</v>
      </c>
      <c r="J47" s="34">
        <f t="shared" si="0"/>
        <v>0</v>
      </c>
      <c r="K47" s="34">
        <f t="shared" si="1"/>
        <v>0</v>
      </c>
      <c r="L47" s="29"/>
    </row>
    <row r="48" spans="2:12" ht="15" customHeight="1" outlineLevel="1" x14ac:dyDescent="0.2">
      <c r="B48" s="30" t="s">
        <v>45</v>
      </c>
      <c r="C48" s="23">
        <f>2188158923</f>
        <v>2188158923</v>
      </c>
      <c r="D48" s="23">
        <f>547138734</f>
        <v>547138734</v>
      </c>
      <c r="E48" s="23" t="s">
        <v>59</v>
      </c>
      <c r="F48" s="23" t="s">
        <v>59</v>
      </c>
      <c r="G48" s="23" t="s">
        <v>59</v>
      </c>
      <c r="H48" s="23" t="s">
        <v>59</v>
      </c>
      <c r="I48" s="23" t="s">
        <v>59</v>
      </c>
      <c r="J48" s="34">
        <f t="shared" si="0"/>
        <v>0.60971552841060561</v>
      </c>
      <c r="K48" s="34">
        <f t="shared" si="1"/>
        <v>25.004524499978469</v>
      </c>
      <c r="L48" s="29"/>
    </row>
    <row r="49" spans="1:26" ht="15" customHeight="1" outlineLevel="1" x14ac:dyDescent="0.2">
      <c r="B49" s="30" t="s">
        <v>58</v>
      </c>
      <c r="C49" s="23">
        <f>884998923</f>
        <v>884998923</v>
      </c>
      <c r="D49" s="23">
        <f>221249733</f>
        <v>221249733</v>
      </c>
      <c r="E49" s="23" t="s">
        <v>59</v>
      </c>
      <c r="F49" s="23" t="s">
        <v>59</v>
      </c>
      <c r="G49" s="23" t="s">
        <v>59</v>
      </c>
      <c r="H49" s="23" t="s">
        <v>59</v>
      </c>
      <c r="I49" s="23" t="s">
        <v>59</v>
      </c>
      <c r="J49" s="34">
        <f t="shared" si="0"/>
        <v>0.24655428227605689</v>
      </c>
      <c r="K49" s="34">
        <f t="shared" si="1"/>
        <v>25.000000254237598</v>
      </c>
      <c r="L49" s="29"/>
    </row>
    <row r="50" spans="1:26" ht="15" customHeight="1" outlineLevel="1" x14ac:dyDescent="0.2">
      <c r="B50" s="30" t="s">
        <v>43</v>
      </c>
      <c r="C50" s="23">
        <f>405888938</f>
        <v>405888938</v>
      </c>
      <c r="D50" s="23">
        <f>2769113</f>
        <v>2769113</v>
      </c>
      <c r="E50" s="23" t="s">
        <v>59</v>
      </c>
      <c r="F50" s="23" t="s">
        <v>59</v>
      </c>
      <c r="G50" s="23" t="s">
        <v>59</v>
      </c>
      <c r="H50" s="23" t="s">
        <v>59</v>
      </c>
      <c r="I50" s="23" t="s">
        <v>59</v>
      </c>
      <c r="J50" s="34">
        <f t="shared" si="0"/>
        <v>3.0858191736497995E-3</v>
      </c>
      <c r="K50" s="34">
        <f t="shared" si="1"/>
        <v>0.68223416327744313</v>
      </c>
      <c r="L50" s="29"/>
    </row>
    <row r="51" spans="1:26" s="6" customFormat="1" ht="13.5" customHeight="1" x14ac:dyDescent="0.2">
      <c r="A51" s="3"/>
      <c r="B51" s="21"/>
      <c r="C51" s="8"/>
      <c r="D51" s="9"/>
      <c r="E51" s="16"/>
      <c r="F51" s="16"/>
      <c r="G51" s="16"/>
      <c r="H51" s="16"/>
      <c r="I51" s="16"/>
      <c r="J51" s="10"/>
      <c r="K51" s="10"/>
      <c r="L51" s="4"/>
    </row>
    <row r="52" spans="1:26" s="6" customFormat="1" ht="18.75" customHeight="1" x14ac:dyDescent="0.2">
      <c r="A52" s="3"/>
      <c r="B52" s="63" t="s">
        <v>5</v>
      </c>
      <c r="C52" s="64">
        <f t="shared" ref="C52:I52" si="4">+C6</f>
        <v>306643175585.15002</v>
      </c>
      <c r="D52" s="64">
        <f t="shared" si="4"/>
        <v>89736722865.869995</v>
      </c>
      <c r="E52" s="64">
        <f t="shared" si="4"/>
        <v>1006052565.4400001</v>
      </c>
      <c r="F52" s="64">
        <f t="shared" si="4"/>
        <v>277494503.48000002</v>
      </c>
      <c r="G52" s="64">
        <f t="shared" si="4"/>
        <v>33214024.68</v>
      </c>
      <c r="H52" s="64">
        <f t="shared" si="4"/>
        <v>100607067.12</v>
      </c>
      <c r="I52" s="64">
        <f t="shared" si="4"/>
        <v>2573949.1800000002</v>
      </c>
      <c r="J52" s="65">
        <f>IF($D$52=0,"",100*$D52/$D$52)</f>
        <v>100</v>
      </c>
      <c r="K52" s="65">
        <f>IF(C52=0,"",100*D52/C52)</f>
        <v>29.264216526140011</v>
      </c>
      <c r="L52" s="4"/>
    </row>
    <row r="53" spans="1:26" s="6" customFormat="1" ht="20.100000000000001" customHeight="1" x14ac:dyDescent="0.2">
      <c r="A53" s="3"/>
      <c r="B53" s="56" t="s">
        <v>76</v>
      </c>
      <c r="C53" s="57">
        <f>42771630285.75</f>
        <v>42771630285.75</v>
      </c>
      <c r="D53" s="57">
        <f>4953285627.31</f>
        <v>4953285627.3100004</v>
      </c>
      <c r="E53" s="57">
        <f>0</f>
        <v>0</v>
      </c>
      <c r="F53" s="57">
        <f>0</f>
        <v>0</v>
      </c>
      <c r="G53" s="57">
        <f>0</f>
        <v>0</v>
      </c>
      <c r="H53" s="57">
        <f>122480.7</f>
        <v>122480.7</v>
      </c>
      <c r="I53" s="57">
        <f>4840.65</f>
        <v>4840.6499999999996</v>
      </c>
      <c r="J53" s="35">
        <f>IF($D$52=0,"",100*$D53/$D$52)</f>
        <v>5.5197977696530165</v>
      </c>
      <c r="K53" s="35">
        <f>IF(C53=0,"",100*D53/C53)</f>
        <v>11.58077350388082</v>
      </c>
      <c r="L53" s="4"/>
    </row>
    <row r="54" spans="1:26" s="6" customFormat="1" ht="20.100000000000001" customHeight="1" x14ac:dyDescent="0.2">
      <c r="A54" s="3"/>
      <c r="B54" s="56" t="s">
        <v>77</v>
      </c>
      <c r="C54" s="57">
        <f>+C52-C53</f>
        <v>263871545299.40002</v>
      </c>
      <c r="D54" s="57">
        <f t="shared" ref="D54:I54" si="5">+D52-D53</f>
        <v>84783437238.559998</v>
      </c>
      <c r="E54" s="57">
        <f t="shared" si="5"/>
        <v>1006052565.4400001</v>
      </c>
      <c r="F54" s="57">
        <f t="shared" si="5"/>
        <v>277494503.48000002</v>
      </c>
      <c r="G54" s="57">
        <f t="shared" si="5"/>
        <v>33214024.68</v>
      </c>
      <c r="H54" s="57">
        <f t="shared" si="5"/>
        <v>100484586.42</v>
      </c>
      <c r="I54" s="57">
        <f t="shared" si="5"/>
        <v>2569108.5300000003</v>
      </c>
      <c r="J54" s="35">
        <f>IF($D$52=0,"",100*$D54/$D$52)</f>
        <v>94.48020223034699</v>
      </c>
      <c r="K54" s="35">
        <f>IF(C54=0,"",100*D54/C54)</f>
        <v>32.13057214727759</v>
      </c>
      <c r="L54" s="4"/>
    </row>
    <row r="55" spans="1:26" s="6" customFormat="1" ht="13.5" customHeight="1" x14ac:dyDescent="0.2">
      <c r="A55" s="3"/>
      <c r="B55" s="21"/>
      <c r="C55" s="8"/>
      <c r="D55" s="9"/>
      <c r="E55" s="9"/>
      <c r="F55" s="16"/>
      <c r="G55" s="16"/>
      <c r="H55" s="16"/>
      <c r="I55" s="16"/>
      <c r="J55" s="16"/>
      <c r="K55" s="10"/>
      <c r="L55" s="10"/>
      <c r="M55" s="4"/>
    </row>
    <row r="56" spans="1:26" ht="27" customHeight="1" x14ac:dyDescent="0.2">
      <c r="B56" s="89" t="str">
        <f>CONCATENATE("Informacja z wykonania budżetów jednostek samorządu terytorialnego za ",$D$112," ",$C$113," roku")</f>
        <v>Informacja z wykonania budżetów jednostek samorządu terytorialnego za I Kwartał 2022 roku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</row>
    <row r="57" spans="1:26" s="6" customFormat="1" ht="9.75" customHeight="1" x14ac:dyDescent="0.2">
      <c r="B57" s="7"/>
      <c r="C57" s="8"/>
      <c r="D57" s="9"/>
      <c r="E57" s="9"/>
      <c r="F57" s="5"/>
      <c r="G57" s="5"/>
      <c r="H57" s="5"/>
      <c r="I57" s="5"/>
      <c r="J57" s="5"/>
      <c r="K57" s="10"/>
      <c r="L57" s="10"/>
      <c r="M57" s="4"/>
    </row>
    <row r="58" spans="1:26" ht="29.25" customHeight="1" x14ac:dyDescent="0.2">
      <c r="B58" s="101" t="s">
        <v>0</v>
      </c>
      <c r="C58" s="106" t="s">
        <v>54</v>
      </c>
      <c r="D58" s="106" t="s">
        <v>56</v>
      </c>
      <c r="E58" s="106" t="s">
        <v>55</v>
      </c>
      <c r="F58" s="106" t="s">
        <v>12</v>
      </c>
      <c r="G58" s="106"/>
      <c r="H58" s="106"/>
      <c r="I58" s="117" t="s">
        <v>89</v>
      </c>
      <c r="J58" s="117" t="s">
        <v>2</v>
      </c>
      <c r="K58" s="114" t="s">
        <v>18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8" customHeight="1" x14ac:dyDescent="0.2">
      <c r="B59" s="101"/>
      <c r="C59" s="106"/>
      <c r="D59" s="106"/>
      <c r="E59" s="106"/>
      <c r="F59" s="107" t="s">
        <v>57</v>
      </c>
      <c r="G59" s="120" t="s">
        <v>34</v>
      </c>
      <c r="H59" s="108"/>
      <c r="I59" s="118"/>
      <c r="J59" s="118"/>
      <c r="K59" s="115"/>
      <c r="L59" s="12"/>
      <c r="M59" s="13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66.75" customHeight="1" x14ac:dyDescent="0.2">
      <c r="B60" s="101"/>
      <c r="C60" s="106"/>
      <c r="D60" s="106"/>
      <c r="E60" s="106"/>
      <c r="F60" s="108"/>
      <c r="G60" s="18" t="s">
        <v>52</v>
      </c>
      <c r="H60" s="18" t="s">
        <v>53</v>
      </c>
      <c r="I60" s="119"/>
      <c r="J60" s="119"/>
      <c r="K60" s="116"/>
      <c r="L60" s="12"/>
      <c r="M60" s="11"/>
      <c r="N60" s="22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3.5" customHeight="1" x14ac:dyDescent="0.2">
      <c r="B61" s="101"/>
      <c r="C61" s="103" t="s">
        <v>80</v>
      </c>
      <c r="D61" s="104"/>
      <c r="E61" s="104"/>
      <c r="F61" s="104"/>
      <c r="G61" s="104"/>
      <c r="H61" s="105"/>
      <c r="I61" s="74"/>
      <c r="J61" s="102" t="s">
        <v>4</v>
      </c>
      <c r="K61" s="102"/>
      <c r="N61" s="22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1.25" customHeight="1" x14ac:dyDescent="0.2">
      <c r="B62" s="17">
        <v>1</v>
      </c>
      <c r="C62" s="19">
        <v>2</v>
      </c>
      <c r="D62" s="19">
        <v>3</v>
      </c>
      <c r="E62" s="19">
        <v>4</v>
      </c>
      <c r="F62" s="17">
        <v>5</v>
      </c>
      <c r="G62" s="17">
        <v>6</v>
      </c>
      <c r="H62" s="19">
        <v>7</v>
      </c>
      <c r="I62" s="19">
        <v>8</v>
      </c>
      <c r="J62" s="17">
        <v>9</v>
      </c>
      <c r="K62" s="19">
        <v>10</v>
      </c>
      <c r="M62" s="11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7" customHeight="1" x14ac:dyDescent="0.2">
      <c r="B63" s="58" t="s">
        <v>63</v>
      </c>
      <c r="C63" s="64">
        <f>349776872082.31</f>
        <v>349776872082.31</v>
      </c>
      <c r="D63" s="64">
        <f>73976417598.75</f>
        <v>73976417598.75</v>
      </c>
      <c r="E63" s="64">
        <f>218335037608.21</f>
        <v>218335037608.20999</v>
      </c>
      <c r="F63" s="64">
        <f>7639290551.82</f>
        <v>7639290551.8199997</v>
      </c>
      <c r="G63" s="64">
        <f>3876799.01</f>
        <v>3876799.01</v>
      </c>
      <c r="H63" s="64">
        <f>4937165.42</f>
        <v>4937165.42</v>
      </c>
      <c r="I63" s="71">
        <f>0</f>
        <v>0</v>
      </c>
      <c r="J63" s="50">
        <f>IF($D$63=0,"",100*$D63/$D$63)</f>
        <v>100</v>
      </c>
      <c r="K63" s="50">
        <f>IF(C63=0,"",100*D63/C63)</f>
        <v>21.149602361742705</v>
      </c>
    </row>
    <row r="64" spans="1:26" ht="16.5" customHeight="1" x14ac:dyDescent="0.2">
      <c r="B64" s="78" t="s">
        <v>14</v>
      </c>
      <c r="C64" s="26">
        <f>90609037659.8002</f>
        <v>90609037659.800201</v>
      </c>
      <c r="D64" s="26">
        <f>5381437889.16</f>
        <v>5381437889.1599998</v>
      </c>
      <c r="E64" s="26">
        <f>35171990475.95</f>
        <v>35171990475.949997</v>
      </c>
      <c r="F64" s="26">
        <f>1353024989.46</f>
        <v>1353024989.46</v>
      </c>
      <c r="G64" s="26">
        <f>619155.25</f>
        <v>619155.25</v>
      </c>
      <c r="H64" s="26">
        <f>2457865.66</f>
        <v>2457865.66</v>
      </c>
      <c r="I64" s="72">
        <f>0</f>
        <v>0</v>
      </c>
      <c r="J64" s="50">
        <f t="shared" ref="J64:J72" si="6">IF($D$63=0,"",100*$D64/$D$63)</f>
        <v>7.2745316194534562</v>
      </c>
      <c r="K64" s="50">
        <f t="shared" ref="K64:K72" si="7">IF(C64=0,"",100*D64/C64)</f>
        <v>5.9391844656435859</v>
      </c>
    </row>
    <row r="65" spans="2:13" ht="18" customHeight="1" outlineLevel="1" x14ac:dyDescent="0.2">
      <c r="B65" s="30" t="s">
        <v>13</v>
      </c>
      <c r="C65" s="23">
        <f>87008220354.1902</f>
        <v>87008220354.190201</v>
      </c>
      <c r="D65" s="23">
        <f>4729731943.83</f>
        <v>4729731943.8299999</v>
      </c>
      <c r="E65" s="23">
        <f>34063323051.39</f>
        <v>34063323051.389999</v>
      </c>
      <c r="F65" s="23">
        <f>1260682445.06</f>
        <v>1260682445.0599999</v>
      </c>
      <c r="G65" s="23">
        <f>619155.25</f>
        <v>619155.25</v>
      </c>
      <c r="H65" s="23">
        <f>2457865.66</f>
        <v>2457865.66</v>
      </c>
      <c r="I65" s="73">
        <f>0</f>
        <v>0</v>
      </c>
      <c r="J65" s="50">
        <f t="shared" si="6"/>
        <v>6.393567162827738</v>
      </c>
      <c r="K65" s="50">
        <f t="shared" si="7"/>
        <v>5.435959872040093</v>
      </c>
    </row>
    <row r="66" spans="2:13" ht="27" customHeight="1" x14ac:dyDescent="0.2">
      <c r="B66" s="79" t="s">
        <v>64</v>
      </c>
      <c r="C66" s="64">
        <f t="shared" ref="C66:I66" si="8">C63-C64</f>
        <v>259167834422.5098</v>
      </c>
      <c r="D66" s="64">
        <f t="shared" si="8"/>
        <v>68594979709.589996</v>
      </c>
      <c r="E66" s="64">
        <f t="shared" si="8"/>
        <v>183163047132.26001</v>
      </c>
      <c r="F66" s="64">
        <f t="shared" si="8"/>
        <v>6286265562.3599997</v>
      </c>
      <c r="G66" s="64">
        <f t="shared" si="8"/>
        <v>3257643.76</v>
      </c>
      <c r="H66" s="64">
        <f t="shared" si="8"/>
        <v>2479299.7599999998</v>
      </c>
      <c r="I66" s="71">
        <f t="shared" si="8"/>
        <v>0</v>
      </c>
      <c r="J66" s="50">
        <f t="shared" si="6"/>
        <v>92.725468380546545</v>
      </c>
      <c r="K66" s="50">
        <f t="shared" si="7"/>
        <v>26.467397029587652</v>
      </c>
    </row>
    <row r="67" spans="2:13" ht="23.1" customHeight="1" outlineLevel="1" x14ac:dyDescent="0.2">
      <c r="B67" s="30" t="s">
        <v>105</v>
      </c>
      <c r="C67" s="23">
        <f>109492079347.7</f>
        <v>109492079347.7</v>
      </c>
      <c r="D67" s="23">
        <f>30076967683.4</f>
        <v>30076967683.400002</v>
      </c>
      <c r="E67" s="23">
        <f>91869968174.7199</f>
        <v>91869968174.719894</v>
      </c>
      <c r="F67" s="23">
        <f>2882613577.09</f>
        <v>2882613577.0900002</v>
      </c>
      <c r="G67" s="23">
        <f>1572608.01</f>
        <v>1572608.01</v>
      </c>
      <c r="H67" s="23">
        <f>115769.88</f>
        <v>115769.88</v>
      </c>
      <c r="I67" s="73">
        <f>0</f>
        <v>0</v>
      </c>
      <c r="J67" s="50">
        <f t="shared" si="6"/>
        <v>40.657507702709054</v>
      </c>
      <c r="K67" s="50">
        <f t="shared" si="7"/>
        <v>27.46953739721064</v>
      </c>
    </row>
    <row r="68" spans="2:13" ht="18" customHeight="1" outlineLevel="1" x14ac:dyDescent="0.2">
      <c r="B68" s="30" t="s">
        <v>51</v>
      </c>
      <c r="C68" s="23">
        <f>28966414026.07</f>
        <v>28966414026.07</v>
      </c>
      <c r="D68" s="23">
        <f>7577818050.80999</f>
        <v>7577818050.8099899</v>
      </c>
      <c r="E68" s="23">
        <f>18561521323.49</f>
        <v>18561521323.490002</v>
      </c>
      <c r="F68" s="23">
        <f>214905711.55</f>
        <v>214905711.55000001</v>
      </c>
      <c r="G68" s="23">
        <f>0</f>
        <v>0</v>
      </c>
      <c r="H68" s="23">
        <f>75000</f>
        <v>75000</v>
      </c>
      <c r="I68" s="73">
        <f>0</f>
        <v>0</v>
      </c>
      <c r="J68" s="50">
        <f t="shared" si="6"/>
        <v>10.243559091915307</v>
      </c>
      <c r="K68" s="50">
        <f t="shared" si="7"/>
        <v>26.160704752717731</v>
      </c>
    </row>
    <row r="69" spans="2:13" ht="18" customHeight="1" outlineLevel="1" x14ac:dyDescent="0.2">
      <c r="B69" s="30" t="s">
        <v>50</v>
      </c>
      <c r="C69" s="23">
        <f>2596015633.14</f>
        <v>2596015633.1399999</v>
      </c>
      <c r="D69" s="23">
        <f>401101939.23</f>
        <v>401101939.23000002</v>
      </c>
      <c r="E69" s="23">
        <f>1202210902.29</f>
        <v>1202210902.29</v>
      </c>
      <c r="F69" s="23">
        <f>101175760.47</f>
        <v>101175760.47</v>
      </c>
      <c r="G69" s="23">
        <f>0</f>
        <v>0</v>
      </c>
      <c r="H69" s="23">
        <f>20090.12</f>
        <v>20090.12</v>
      </c>
      <c r="I69" s="73">
        <f>0</f>
        <v>0</v>
      </c>
      <c r="J69" s="50">
        <f t="shared" si="6"/>
        <v>0.54220243727614292</v>
      </c>
      <c r="K69" s="50">
        <f t="shared" si="7"/>
        <v>15.450675030983879</v>
      </c>
    </row>
    <row r="70" spans="2:13" ht="23.1" customHeight="1" outlineLevel="1" x14ac:dyDescent="0.2">
      <c r="B70" s="30" t="s">
        <v>70</v>
      </c>
      <c r="C70" s="23">
        <f>519416927.47</f>
        <v>519416927.47000003</v>
      </c>
      <c r="D70" s="23">
        <f>7092706.3</f>
        <v>7092706.2999999998</v>
      </c>
      <c r="E70" s="23">
        <f>88171598.52</f>
        <v>88171598.519999996</v>
      </c>
      <c r="F70" s="23">
        <f>30600</f>
        <v>30600</v>
      </c>
      <c r="G70" s="23">
        <f>0</f>
        <v>0</v>
      </c>
      <c r="H70" s="23">
        <f>0</f>
        <v>0</v>
      </c>
      <c r="I70" s="73">
        <f>0</f>
        <v>0</v>
      </c>
      <c r="J70" s="50">
        <f t="shared" si="6"/>
        <v>9.5877936918641049E-3</v>
      </c>
      <c r="K70" s="50">
        <f t="shared" si="7"/>
        <v>1.3655131215202172</v>
      </c>
    </row>
    <row r="71" spans="2:13" ht="23.1" customHeight="1" outlineLevel="1" x14ac:dyDescent="0.2">
      <c r="B71" s="30" t="s">
        <v>71</v>
      </c>
      <c r="C71" s="23">
        <f>36521094883.55</f>
        <v>36521094883.550003</v>
      </c>
      <c r="D71" s="23">
        <f>15344027964.08</f>
        <v>15344027964.08</v>
      </c>
      <c r="E71" s="23">
        <f>26647909671.82</f>
        <v>26647909671.82</v>
      </c>
      <c r="F71" s="23">
        <f>429432424.3</f>
        <v>429432424.30000001</v>
      </c>
      <c r="G71" s="23">
        <f>212024.24</f>
        <v>212024.24</v>
      </c>
      <c r="H71" s="23">
        <f>52026.93</f>
        <v>52026.93</v>
      </c>
      <c r="I71" s="73">
        <f>0</f>
        <v>0</v>
      </c>
      <c r="J71" s="50">
        <f t="shared" si="6"/>
        <v>20.741782938593222</v>
      </c>
      <c r="K71" s="50">
        <f t="shared" si="7"/>
        <v>42.014151035190693</v>
      </c>
    </row>
    <row r="72" spans="2:13" ht="18" customHeight="1" outlineLevel="1" x14ac:dyDescent="0.2">
      <c r="B72" s="30" t="s">
        <v>49</v>
      </c>
      <c r="C72" s="23">
        <f t="shared" ref="C72:I72" si="9">C66-C67-C68-C69-C70-C71</f>
        <v>81072813604.579803</v>
      </c>
      <c r="D72" s="23">
        <f t="shared" si="9"/>
        <v>15187971365.770006</v>
      </c>
      <c r="E72" s="23">
        <f t="shared" si="9"/>
        <v>44793265461.420113</v>
      </c>
      <c r="F72" s="23">
        <f t="shared" si="9"/>
        <v>2658107488.9499993</v>
      </c>
      <c r="G72" s="23">
        <f t="shared" si="9"/>
        <v>1473011.5099999998</v>
      </c>
      <c r="H72" s="23">
        <f t="shared" si="9"/>
        <v>2216412.8299999996</v>
      </c>
      <c r="I72" s="73">
        <f t="shared" si="9"/>
        <v>0</v>
      </c>
      <c r="J72" s="50">
        <f t="shared" si="6"/>
        <v>20.530828416360951</v>
      </c>
      <c r="K72" s="50">
        <f t="shared" si="7"/>
        <v>18.733741547255292</v>
      </c>
    </row>
    <row r="73" spans="2:13" ht="18.75" customHeight="1" x14ac:dyDescent="0.2">
      <c r="B73" s="20" t="s">
        <v>15</v>
      </c>
      <c r="C73" s="26">
        <f>C6-C63</f>
        <v>-43133696497.159973</v>
      </c>
      <c r="D73" s="26">
        <f>D6-D63</f>
        <v>15760305267.119995</v>
      </c>
      <c r="E73" s="28"/>
      <c r="F73" s="28"/>
      <c r="G73" s="14"/>
    </row>
    <row r="74" spans="2:13" ht="38.25" x14ac:dyDescent="0.2">
      <c r="B74" s="51" t="s">
        <v>108</v>
      </c>
      <c r="C74" s="52">
        <f>+C54-C66</f>
        <v>4703710876.8902283</v>
      </c>
      <c r="D74" s="52">
        <f>+D54-D66</f>
        <v>16188457528.970001</v>
      </c>
      <c r="E74" s="28"/>
      <c r="F74" s="28"/>
      <c r="G74" s="14"/>
    </row>
    <row r="75" spans="2:13" ht="12" customHeight="1" thickBot="1" x14ac:dyDescent="0.25">
      <c r="B75" s="53"/>
      <c r="C75" s="54"/>
      <c r="D75" s="54"/>
      <c r="E75" s="54"/>
      <c r="F75" s="2"/>
      <c r="G75" s="2"/>
      <c r="H75" s="2"/>
      <c r="I75" s="2"/>
      <c r="L75" s="11"/>
      <c r="M75" s="11"/>
    </row>
    <row r="76" spans="2:13" ht="12" customHeight="1" thickBot="1" x14ac:dyDescent="0.25">
      <c r="B76" s="55" t="s">
        <v>74</v>
      </c>
      <c r="C76" s="54"/>
      <c r="D76" s="54"/>
      <c r="E76" s="54"/>
      <c r="F76" s="2"/>
      <c r="G76" s="2"/>
      <c r="H76" s="2"/>
      <c r="I76" s="2"/>
      <c r="L76" s="11"/>
      <c r="M76" s="11"/>
    </row>
    <row r="77" spans="2:13" ht="27.95" customHeight="1" x14ac:dyDescent="0.2">
      <c r="B77" s="68" t="s">
        <v>75</v>
      </c>
      <c r="C77" s="64">
        <f>30128278652.57</f>
        <v>30128278652.57</v>
      </c>
      <c r="D77" s="64">
        <f>2937746230.05</f>
        <v>2937746230.0500002</v>
      </c>
      <c r="E77" s="64">
        <f>15447962955.94</f>
        <v>15447962955.940001</v>
      </c>
      <c r="F77" s="64">
        <f>432360818.6</f>
        <v>432360818.60000002</v>
      </c>
      <c r="G77" s="64">
        <f>0</f>
        <v>0</v>
      </c>
      <c r="H77" s="64">
        <f>2344894.22</f>
        <v>2344894.2200000002</v>
      </c>
      <c r="I77" s="71">
        <f>0</f>
        <v>0</v>
      </c>
      <c r="J77" s="50">
        <f>IF($D$77=0,"",100*$D77/$D$77)</f>
        <v>100</v>
      </c>
      <c r="K77" s="50">
        <f>IF(C77=0,"",100*D77/C77)</f>
        <v>9.7507934785361687</v>
      </c>
      <c r="L77" s="11"/>
    </row>
    <row r="78" spans="2:13" ht="20.100000000000001" customHeight="1" x14ac:dyDescent="0.2">
      <c r="B78" s="56" t="s">
        <v>78</v>
      </c>
      <c r="C78" s="66">
        <f>24018530982.28</f>
        <v>24018530982.279999</v>
      </c>
      <c r="D78" s="66">
        <f>2009744532.91</f>
        <v>2009744532.9100001</v>
      </c>
      <c r="E78" s="66">
        <f>12795320843.87</f>
        <v>12795320843.870001</v>
      </c>
      <c r="F78" s="66">
        <f>395588258.83</f>
        <v>395588258.82999998</v>
      </c>
      <c r="G78" s="66">
        <f>0</f>
        <v>0</v>
      </c>
      <c r="H78" s="66">
        <f>2328985.26</f>
        <v>2328985.2599999998</v>
      </c>
      <c r="I78" s="76">
        <f>0</f>
        <v>0</v>
      </c>
      <c r="J78" s="50">
        <f>IF($D$77=0,"",100*$D78/$D$77)</f>
        <v>68.411100739487438</v>
      </c>
      <c r="K78" s="50">
        <f>IF(C78=0,"",100*D78/C78)</f>
        <v>8.3674748234715803</v>
      </c>
      <c r="L78" s="11"/>
    </row>
    <row r="79" spans="2:13" ht="20.100000000000001" customHeight="1" x14ac:dyDescent="0.2">
      <c r="B79" s="56" t="s">
        <v>79</v>
      </c>
      <c r="C79" s="66">
        <f t="shared" ref="C79:I79" si="10">C77-C78</f>
        <v>6109747670.2900009</v>
      </c>
      <c r="D79" s="66">
        <f t="shared" si="10"/>
        <v>928001697.1400001</v>
      </c>
      <c r="E79" s="66">
        <f t="shared" si="10"/>
        <v>2652642112.0699997</v>
      </c>
      <c r="F79" s="66">
        <f t="shared" si="10"/>
        <v>36772559.770000041</v>
      </c>
      <c r="G79" s="66">
        <f t="shared" si="10"/>
        <v>0</v>
      </c>
      <c r="H79" s="66">
        <f t="shared" si="10"/>
        <v>15908.960000000428</v>
      </c>
      <c r="I79" s="76">
        <f t="shared" si="10"/>
        <v>0</v>
      </c>
      <c r="J79" s="50">
        <f>IF($D$77=0,"",100*$D79/$D$77)</f>
        <v>31.588899260512562</v>
      </c>
      <c r="K79" s="50">
        <f>IF(C79=0,"",100*D79/C79)</f>
        <v>15.188871083050019</v>
      </c>
    </row>
    <row r="80" spans="2:13" ht="20.25" x14ac:dyDescent="0.2">
      <c r="B80" s="89" t="str">
        <f>CONCATENATE("Informacja z wykonania budżetów jednostek samorządu terytorialnego za ",$D$112," ",$C$113," roku")</f>
        <v>Informacja z wykonania budżetów jednostek samorządu terytorialnego za I Kwartał 2022 roku</v>
      </c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</row>
    <row r="81" spans="2:11" ht="18" customHeight="1" x14ac:dyDescent="0.2">
      <c r="B81" s="40" t="s">
        <v>16</v>
      </c>
      <c r="C81" s="75" t="s">
        <v>17</v>
      </c>
      <c r="D81" s="75" t="s">
        <v>1</v>
      </c>
      <c r="E81" s="92" t="s">
        <v>59</v>
      </c>
      <c r="F81" s="93"/>
      <c r="G81" s="93"/>
      <c r="H81" s="93"/>
      <c r="I81" s="94"/>
      <c r="J81" s="19" t="s">
        <v>26</v>
      </c>
      <c r="K81" s="19" t="s">
        <v>27</v>
      </c>
    </row>
    <row r="82" spans="2:11" x14ac:dyDescent="0.2">
      <c r="B82" s="40"/>
      <c r="C82" s="107" t="s">
        <v>80</v>
      </c>
      <c r="D82" s="111"/>
      <c r="E82" s="95"/>
      <c r="F82" s="96"/>
      <c r="G82" s="96"/>
      <c r="H82" s="96"/>
      <c r="I82" s="97"/>
      <c r="J82" s="112" t="s">
        <v>4</v>
      </c>
      <c r="K82" s="113"/>
    </row>
    <row r="83" spans="2:11" x14ac:dyDescent="0.2">
      <c r="B83" s="38">
        <v>1</v>
      </c>
      <c r="C83" s="75">
        <v>2</v>
      </c>
      <c r="D83" s="75">
        <v>3</v>
      </c>
      <c r="E83" s="98"/>
      <c r="F83" s="99"/>
      <c r="G83" s="99"/>
      <c r="H83" s="99"/>
      <c r="I83" s="100"/>
      <c r="J83" s="39">
        <v>4</v>
      </c>
      <c r="K83" s="39">
        <v>5</v>
      </c>
    </row>
    <row r="84" spans="2:11" ht="25.5" x14ac:dyDescent="0.2">
      <c r="B84" s="37" t="s">
        <v>65</v>
      </c>
      <c r="C84" s="42">
        <f>52921072946.77</f>
        <v>52921072946.769997</v>
      </c>
      <c r="D84" s="42">
        <f>51264972595.13</f>
        <v>51264972595.129997</v>
      </c>
      <c r="E84" s="42" t="s">
        <v>59</v>
      </c>
      <c r="F84" s="42" t="s">
        <v>59</v>
      </c>
      <c r="G84" s="42" t="s">
        <v>59</v>
      </c>
      <c r="H84" s="42" t="s">
        <v>59</v>
      </c>
      <c r="I84" s="42" t="s">
        <v>59</v>
      </c>
      <c r="J84" s="41">
        <f>IF($D$84=0,"",100*$D84/$D$84)</f>
        <v>100</v>
      </c>
      <c r="K84" s="36">
        <f t="shared" ref="K84:K97" si="11">IF(C84=0,"",100*D84/C84)</f>
        <v>96.870622118138527</v>
      </c>
    </row>
    <row r="85" spans="2:11" ht="22.5" x14ac:dyDescent="0.2">
      <c r="B85" s="80" t="s">
        <v>90</v>
      </c>
      <c r="C85" s="43">
        <f>20504806758.67</f>
        <v>20504806758.669998</v>
      </c>
      <c r="D85" s="43">
        <f>115422837.99</f>
        <v>115422837.98999999</v>
      </c>
      <c r="E85" s="42" t="s">
        <v>59</v>
      </c>
      <c r="F85" s="42" t="s">
        <v>59</v>
      </c>
      <c r="G85" s="42" t="s">
        <v>59</v>
      </c>
      <c r="H85" s="42" t="s">
        <v>59</v>
      </c>
      <c r="I85" s="42" t="s">
        <v>59</v>
      </c>
      <c r="J85" s="48">
        <f t="shared" ref="J85:J92" si="12">IF($D$84=0,"",100*$D85/$D$84)</f>
        <v>0.22514951661354207</v>
      </c>
      <c r="K85" s="49">
        <f t="shared" si="11"/>
        <v>0.56290624607420914</v>
      </c>
    </row>
    <row r="86" spans="2:11" ht="22.5" x14ac:dyDescent="0.2">
      <c r="B86" s="81" t="s">
        <v>91</v>
      </c>
      <c r="C86" s="69">
        <f>1285316140.71</f>
        <v>1285316140.71</v>
      </c>
      <c r="D86" s="69">
        <f>0</f>
        <v>0</v>
      </c>
      <c r="E86" s="42" t="s">
        <v>59</v>
      </c>
      <c r="F86" s="42" t="s">
        <v>59</v>
      </c>
      <c r="G86" s="42" t="s">
        <v>59</v>
      </c>
      <c r="H86" s="42" t="s">
        <v>59</v>
      </c>
      <c r="I86" s="42" t="s">
        <v>59</v>
      </c>
      <c r="J86" s="70">
        <f t="shared" si="12"/>
        <v>0</v>
      </c>
      <c r="K86" s="67">
        <f t="shared" si="11"/>
        <v>0</v>
      </c>
    </row>
    <row r="87" spans="2:11" x14ac:dyDescent="0.2">
      <c r="B87" s="31" t="s">
        <v>92</v>
      </c>
      <c r="C87" s="69">
        <f>229906474.88</f>
        <v>229906474.88</v>
      </c>
      <c r="D87" s="69">
        <f>15637454.93</f>
        <v>15637454.93</v>
      </c>
      <c r="E87" s="42" t="s">
        <v>59</v>
      </c>
      <c r="F87" s="42" t="s">
        <v>59</v>
      </c>
      <c r="G87" s="42" t="s">
        <v>59</v>
      </c>
      <c r="H87" s="42" t="s">
        <v>59</v>
      </c>
      <c r="I87" s="42" t="s">
        <v>59</v>
      </c>
      <c r="J87" s="70">
        <f t="shared" si="12"/>
        <v>3.0503195726833385E-2</v>
      </c>
      <c r="K87" s="67">
        <f t="shared" si="11"/>
        <v>6.8016592130178113</v>
      </c>
    </row>
    <row r="88" spans="2:11" ht="48" customHeight="1" x14ac:dyDescent="0.2">
      <c r="B88" s="31" t="s">
        <v>101</v>
      </c>
      <c r="C88" s="69">
        <f>3693148212.56</f>
        <v>3693148212.5599999</v>
      </c>
      <c r="D88" s="69">
        <f>7940376604.7</f>
        <v>7940376604.6999998</v>
      </c>
      <c r="E88" s="42" t="s">
        <v>59</v>
      </c>
      <c r="F88" s="42" t="s">
        <v>59</v>
      </c>
      <c r="G88" s="42" t="s">
        <v>59</v>
      </c>
      <c r="H88" s="42" t="s">
        <v>59</v>
      </c>
      <c r="I88" s="42" t="s">
        <v>59</v>
      </c>
      <c r="J88" s="70">
        <f t="shared" si="12"/>
        <v>15.488892713178412</v>
      </c>
      <c r="K88" s="67">
        <f t="shared" si="11"/>
        <v>215.00292291805764</v>
      </c>
    </row>
    <row r="89" spans="2:11" ht="33.75" x14ac:dyDescent="0.2">
      <c r="B89" s="31" t="s">
        <v>102</v>
      </c>
      <c r="C89" s="69">
        <f>9623967740.94</f>
        <v>9623967740.9400005</v>
      </c>
      <c r="D89" s="69">
        <f>11391644802.38</f>
        <v>11391644802.379999</v>
      </c>
      <c r="E89" s="42" t="s">
        <v>59</v>
      </c>
      <c r="F89" s="42" t="s">
        <v>59</v>
      </c>
      <c r="G89" s="42" t="s">
        <v>59</v>
      </c>
      <c r="H89" s="42" t="s">
        <v>59</v>
      </c>
      <c r="I89" s="42" t="s">
        <v>59</v>
      </c>
      <c r="J89" s="70">
        <f t="shared" si="12"/>
        <v>22.221107757818579</v>
      </c>
      <c r="K89" s="67">
        <f t="shared" si="11"/>
        <v>118.36744582923285</v>
      </c>
    </row>
    <row r="90" spans="2:11" x14ac:dyDescent="0.2">
      <c r="B90" s="31" t="s">
        <v>93</v>
      </c>
      <c r="C90" s="69">
        <f>0</f>
        <v>0</v>
      </c>
      <c r="D90" s="69">
        <f>0</f>
        <v>0</v>
      </c>
      <c r="E90" s="42" t="s">
        <v>59</v>
      </c>
      <c r="F90" s="42" t="s">
        <v>59</v>
      </c>
      <c r="G90" s="42" t="s">
        <v>59</v>
      </c>
      <c r="H90" s="42" t="s">
        <v>59</v>
      </c>
      <c r="I90" s="42" t="s">
        <v>59</v>
      </c>
      <c r="J90" s="70">
        <f t="shared" si="12"/>
        <v>0</v>
      </c>
      <c r="K90" s="67" t="str">
        <f t="shared" si="11"/>
        <v/>
      </c>
    </row>
    <row r="91" spans="2:11" ht="33.75" x14ac:dyDescent="0.2">
      <c r="B91" s="31" t="s">
        <v>94</v>
      </c>
      <c r="C91" s="69">
        <f>18225589074.99</f>
        <v>18225589074.990002</v>
      </c>
      <c r="D91" s="69">
        <f>31474756018.4</f>
        <v>31474756018.400002</v>
      </c>
      <c r="E91" s="42" t="s">
        <v>59</v>
      </c>
      <c r="F91" s="42" t="s">
        <v>59</v>
      </c>
      <c r="G91" s="42" t="s">
        <v>59</v>
      </c>
      <c r="H91" s="42" t="s">
        <v>59</v>
      </c>
      <c r="I91" s="42" t="s">
        <v>59</v>
      </c>
      <c r="J91" s="70">
        <f t="shared" si="12"/>
        <v>61.396221289290217</v>
      </c>
      <c r="K91" s="67">
        <f t="shared" si="11"/>
        <v>172.69541131919362</v>
      </c>
    </row>
    <row r="92" spans="2:11" x14ac:dyDescent="0.2">
      <c r="B92" s="31" t="s">
        <v>82</v>
      </c>
      <c r="C92" s="69">
        <f>643654684.73</f>
        <v>643654684.73000002</v>
      </c>
      <c r="D92" s="69">
        <f>327134876.73</f>
        <v>327134876.73000002</v>
      </c>
      <c r="E92" s="42" t="s">
        <v>59</v>
      </c>
      <c r="F92" s="42" t="s">
        <v>59</v>
      </c>
      <c r="G92" s="42" t="s">
        <v>59</v>
      </c>
      <c r="H92" s="42" t="s">
        <v>59</v>
      </c>
      <c r="I92" s="42" t="s">
        <v>59</v>
      </c>
      <c r="J92" s="70">
        <f t="shared" si="12"/>
        <v>0.63812552737242023</v>
      </c>
      <c r="K92" s="67">
        <f t="shared" si="11"/>
        <v>50.824593449083089</v>
      </c>
    </row>
    <row r="93" spans="2:11" ht="25.5" x14ac:dyDescent="0.2">
      <c r="B93" s="37" t="s">
        <v>66</v>
      </c>
      <c r="C93" s="46">
        <f>9741397336.61</f>
        <v>9741397336.6100006</v>
      </c>
      <c r="D93" s="46">
        <f>4277427956.47</f>
        <v>4277427956.4699998</v>
      </c>
      <c r="E93" s="42" t="s">
        <v>59</v>
      </c>
      <c r="F93" s="42" t="s">
        <v>59</v>
      </c>
      <c r="G93" s="42" t="s">
        <v>59</v>
      </c>
      <c r="H93" s="42" t="s">
        <v>59</v>
      </c>
      <c r="I93" s="42" t="s">
        <v>59</v>
      </c>
      <c r="J93" s="41">
        <f>IF($D$93=0,"",100*$D93/$D$93)</f>
        <v>100</v>
      </c>
      <c r="K93" s="36">
        <f t="shared" si="11"/>
        <v>43.909798652752031</v>
      </c>
    </row>
    <row r="94" spans="2:11" ht="22.5" x14ac:dyDescent="0.2">
      <c r="B94" s="80" t="s">
        <v>95</v>
      </c>
      <c r="C94" s="43">
        <f>8500762833.12</f>
        <v>8500762833.1199999</v>
      </c>
      <c r="D94" s="45">
        <f>2176664969.69</f>
        <v>2176664969.6900001</v>
      </c>
      <c r="E94" s="42" t="s">
        <v>59</v>
      </c>
      <c r="F94" s="42" t="s">
        <v>59</v>
      </c>
      <c r="G94" s="42" t="s">
        <v>59</v>
      </c>
      <c r="H94" s="42" t="s">
        <v>59</v>
      </c>
      <c r="I94" s="42" t="s">
        <v>59</v>
      </c>
      <c r="J94" s="48">
        <f>IF($D$93=0,"",100*$D94/$D$93)</f>
        <v>50.887238589199285</v>
      </c>
      <c r="K94" s="49">
        <f t="shared" si="11"/>
        <v>25.60552520309648</v>
      </c>
    </row>
    <row r="95" spans="2:11" x14ac:dyDescent="0.2">
      <c r="B95" s="81" t="s">
        <v>96</v>
      </c>
      <c r="C95" s="69">
        <f>669365920</f>
        <v>669365920</v>
      </c>
      <c r="D95" s="69">
        <f>34888455</f>
        <v>34888455</v>
      </c>
      <c r="E95" s="42" t="s">
        <v>59</v>
      </c>
      <c r="F95" s="42" t="s">
        <v>59</v>
      </c>
      <c r="G95" s="42" t="s">
        <v>59</v>
      </c>
      <c r="H95" s="42" t="s">
        <v>59</v>
      </c>
      <c r="I95" s="42" t="s">
        <v>59</v>
      </c>
      <c r="J95" s="70">
        <f>IF($D$93=0,"",100*$D95/$D$93)</f>
        <v>0.8156409729175691</v>
      </c>
      <c r="K95" s="67">
        <f t="shared" si="11"/>
        <v>5.2121648201031805</v>
      </c>
    </row>
    <row r="96" spans="2:11" x14ac:dyDescent="0.2">
      <c r="B96" s="31" t="s">
        <v>103</v>
      </c>
      <c r="C96" s="69">
        <f>176310377.91</f>
        <v>176310377.91</v>
      </c>
      <c r="D96" s="69">
        <f>56761078.66</f>
        <v>56761078.659999996</v>
      </c>
      <c r="E96" s="42" t="s">
        <v>59</v>
      </c>
      <c r="F96" s="42" t="s">
        <v>59</v>
      </c>
      <c r="G96" s="42" t="s">
        <v>59</v>
      </c>
      <c r="H96" s="42" t="s">
        <v>59</v>
      </c>
      <c r="I96" s="42" t="s">
        <v>59</v>
      </c>
      <c r="J96" s="70">
        <f>IF($D$93=0,"",100*$D96/$D$93)</f>
        <v>1.3269908748350441</v>
      </c>
      <c r="K96" s="67">
        <f t="shared" si="11"/>
        <v>32.193838691091941</v>
      </c>
    </row>
    <row r="97" spans="2:11" x14ac:dyDescent="0.2">
      <c r="B97" s="82" t="s">
        <v>33</v>
      </c>
      <c r="C97" s="43">
        <f>1064324125.58</f>
        <v>1064324125.58</v>
      </c>
      <c r="D97" s="43">
        <f>2044001908.12</f>
        <v>2044001908.1199999</v>
      </c>
      <c r="E97" s="42" t="s">
        <v>59</v>
      </c>
      <c r="F97" s="42" t="s">
        <v>59</v>
      </c>
      <c r="G97" s="42" t="s">
        <v>59</v>
      </c>
      <c r="H97" s="42" t="s">
        <v>59</v>
      </c>
      <c r="I97" s="42" t="s">
        <v>59</v>
      </c>
      <c r="J97" s="48">
        <f>IF($D$93=0,"",100*$D97/$D$93)</f>
        <v>47.785770535965682</v>
      </c>
      <c r="K97" s="49">
        <f t="shared" si="11"/>
        <v>192.04693936690833</v>
      </c>
    </row>
    <row r="99" spans="2:11" ht="18" customHeight="1" x14ac:dyDescent="0.2">
      <c r="B99" s="40" t="s">
        <v>16</v>
      </c>
      <c r="C99" s="75" t="s">
        <v>17</v>
      </c>
      <c r="D99" s="19" t="s">
        <v>1</v>
      </c>
    </row>
    <row r="100" spans="2:11" x14ac:dyDescent="0.2">
      <c r="B100" s="40"/>
      <c r="C100" s="107" t="s">
        <v>80</v>
      </c>
      <c r="D100" s="111"/>
    </row>
    <row r="101" spans="2:11" x14ac:dyDescent="0.2">
      <c r="B101" s="38">
        <v>1</v>
      </c>
      <c r="C101" s="75">
        <v>2</v>
      </c>
      <c r="D101" s="19">
        <v>3</v>
      </c>
    </row>
    <row r="102" spans="2:11" ht="33.75" x14ac:dyDescent="0.2">
      <c r="B102" s="47" t="s">
        <v>109</v>
      </c>
      <c r="C102" s="44">
        <f>43250457525.73</f>
        <v>43250457525.730003</v>
      </c>
      <c r="D102" s="27">
        <f>0</f>
        <v>0</v>
      </c>
    </row>
    <row r="103" spans="2:11" ht="33.75" x14ac:dyDescent="0.2">
      <c r="B103" s="88" t="s">
        <v>83</v>
      </c>
      <c r="C103" s="45">
        <f>1079593889.54</f>
        <v>1079593889.54</v>
      </c>
      <c r="D103" s="77">
        <f>0</f>
        <v>0</v>
      </c>
    </row>
    <row r="104" spans="2:11" x14ac:dyDescent="0.2">
      <c r="B104" s="88" t="s">
        <v>84</v>
      </c>
      <c r="C104" s="45">
        <f>14641264969.96</f>
        <v>14641264969.959999</v>
      </c>
      <c r="D104" s="77">
        <f>0</f>
        <v>0</v>
      </c>
    </row>
    <row r="105" spans="2:11" ht="22.5" x14ac:dyDescent="0.2">
      <c r="B105" s="88" t="s">
        <v>85</v>
      </c>
      <c r="C105" s="45">
        <f>0</f>
        <v>0</v>
      </c>
      <c r="D105" s="77">
        <f>0</f>
        <v>0</v>
      </c>
    </row>
    <row r="106" spans="2:11" ht="56.25" x14ac:dyDescent="0.2">
      <c r="B106" s="88" t="s">
        <v>104</v>
      </c>
      <c r="C106" s="45">
        <f>3044836772.44</f>
        <v>3044836772.4400001</v>
      </c>
      <c r="D106" s="77">
        <f>0</f>
        <v>0</v>
      </c>
    </row>
    <row r="107" spans="2:11" ht="78.75" x14ac:dyDescent="0.2">
      <c r="B107" s="88" t="s">
        <v>86</v>
      </c>
      <c r="C107" s="45">
        <f>15171975599.8</f>
        <v>15171975599.799999</v>
      </c>
      <c r="D107" s="77">
        <f>0</f>
        <v>0</v>
      </c>
    </row>
    <row r="108" spans="2:11" ht="146.25" x14ac:dyDescent="0.2">
      <c r="B108" s="88" t="s">
        <v>106</v>
      </c>
      <c r="C108" s="45">
        <f>9259543623.76</f>
        <v>9259543623.7600002</v>
      </c>
      <c r="D108" s="77">
        <f>0</f>
        <v>0</v>
      </c>
    </row>
    <row r="109" spans="2:11" ht="22.5" x14ac:dyDescent="0.2">
      <c r="B109" s="88" t="s">
        <v>99</v>
      </c>
      <c r="C109" s="45">
        <f>53242670.23</f>
        <v>53242670.229999997</v>
      </c>
      <c r="D109" s="77">
        <f>0</f>
        <v>0</v>
      </c>
    </row>
    <row r="112" spans="2:11" x14ac:dyDescent="0.2">
      <c r="B112" s="32" t="s">
        <v>67</v>
      </c>
      <c r="C112" s="32">
        <f>1</f>
        <v>1</v>
      </c>
      <c r="D112" s="32" t="str">
        <f>IF(C112=1,"I Kwartał",IF(C112=2,"II Kwartały",IF(C112=3,"III Kwartały",IF(C112=4,"IV Kwartały","-"))))</f>
        <v>I Kwartał</v>
      </c>
    </row>
    <row r="113" spans="2:4" x14ac:dyDescent="0.2">
      <c r="B113" s="32" t="s">
        <v>68</v>
      </c>
      <c r="C113" s="91">
        <f>2022</f>
        <v>2022</v>
      </c>
    </row>
    <row r="114" spans="2:4" x14ac:dyDescent="0.2">
      <c r="B114" s="32" t="s">
        <v>69</v>
      </c>
      <c r="C114" s="109" t="str">
        <f>"May 19 2022 12:00AM"</f>
        <v>May 19 2022 12:00AM</v>
      </c>
      <c r="D114" s="110"/>
    </row>
  </sheetData>
  <mergeCells count="20">
    <mergeCell ref="C114:D114"/>
    <mergeCell ref="C100:D100"/>
    <mergeCell ref="J82:K82"/>
    <mergeCell ref="J61:K61"/>
    <mergeCell ref="K58:K60"/>
    <mergeCell ref="I58:I60"/>
    <mergeCell ref="J58:J60"/>
    <mergeCell ref="F58:H58"/>
    <mergeCell ref="G59:H59"/>
    <mergeCell ref="C82:D82"/>
    <mergeCell ref="E81:I83"/>
    <mergeCell ref="B3:B4"/>
    <mergeCell ref="J4:L4"/>
    <mergeCell ref="B58:B61"/>
    <mergeCell ref="C4:I4"/>
    <mergeCell ref="D58:D60"/>
    <mergeCell ref="E58:E60"/>
    <mergeCell ref="C61:H61"/>
    <mergeCell ref="C58:C60"/>
    <mergeCell ref="F59:F60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5" max="16383" man="1"/>
    <brk id="7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2022-06-13T19:51:34Z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2022-06-13T21:51:32.0375679+02:00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GRN-5e5dbba5-c8f0-4222-ac20-eafbbba03e9a</vt:lpwstr>
  </property>
  <property fmtid="{D5CDD505-2E9C-101B-9397-08002B2CF9AE}" pid="7" name="MFHash">
    <vt:lpwstr>KHfYVfUt25Xb/7Ssdm2iyd/E87nVB7r9l8kSP4MGKZU=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