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doch_wyd!$A$1:$L$94</definedName>
  </definedNames>
  <calcPr calcId="152511"/>
</workbook>
</file>

<file path=xl/calcChain.xml><?xml version="1.0" encoding="utf-8"?>
<calcChain xmlns="http://schemas.openxmlformats.org/spreadsheetml/2006/main">
  <c r="C95" i="4" l="1"/>
  <c r="C94" i="4"/>
  <c r="C93" i="4"/>
  <c r="C92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D39" i="4"/>
  <c r="C39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J10" i="4" s="1"/>
  <c r="C10" i="4"/>
  <c r="D9" i="4"/>
  <c r="C9" i="4"/>
  <c r="D8" i="4"/>
  <c r="C8" i="4"/>
  <c r="K8" i="4" s="1"/>
  <c r="D6" i="4"/>
  <c r="C6" i="4"/>
  <c r="K6" i="4" s="1"/>
  <c r="K9" i="4"/>
  <c r="K11" i="4"/>
  <c r="K16" i="4"/>
  <c r="K18" i="4"/>
  <c r="K20" i="4"/>
  <c r="K22" i="4"/>
  <c r="K24" i="4"/>
  <c r="K26" i="4"/>
  <c r="K28" i="4"/>
  <c r="K30" i="4"/>
  <c r="K32" i="4"/>
  <c r="K34" i="4"/>
  <c r="K36" i="4"/>
  <c r="K49" i="4"/>
  <c r="C52" i="4"/>
  <c r="G52" i="4"/>
  <c r="G58" i="4" s="1"/>
  <c r="K54" i="4"/>
  <c r="K65" i="4"/>
  <c r="K67" i="4"/>
  <c r="K69" i="4"/>
  <c r="K71" i="4"/>
  <c r="K73" i="4"/>
  <c r="K75" i="4"/>
  <c r="K77" i="4"/>
  <c r="J6" i="4"/>
  <c r="J34" i="4"/>
  <c r="J39" i="4"/>
  <c r="J11" i="4"/>
  <c r="D38" i="4"/>
  <c r="D40" i="4" s="1"/>
  <c r="J40" i="4" s="1"/>
  <c r="D59" i="4"/>
  <c r="J25" i="4"/>
  <c r="J22" i="4"/>
  <c r="J17" i="4"/>
  <c r="J19" i="4"/>
  <c r="J36" i="4"/>
  <c r="J28" i="4"/>
  <c r="J8" i="4"/>
  <c r="J32" i="4"/>
  <c r="J30" i="4"/>
  <c r="J29" i="4"/>
  <c r="J18" i="4"/>
  <c r="J24" i="4"/>
  <c r="J31" i="4"/>
  <c r="J23" i="4"/>
  <c r="J16" i="4"/>
  <c r="J21" i="4"/>
  <c r="J35" i="4"/>
  <c r="J33" i="4"/>
  <c r="J9" i="4"/>
  <c r="J15" i="4"/>
  <c r="J27" i="4"/>
  <c r="J20" i="4"/>
  <c r="J26" i="4"/>
  <c r="J53" i="4"/>
  <c r="J57" i="4"/>
  <c r="J50" i="4"/>
  <c r="J56" i="4"/>
  <c r="J54" i="4"/>
  <c r="D52" i="4"/>
  <c r="D58" i="4" s="1"/>
  <c r="J58" i="4" s="1"/>
  <c r="J55" i="4"/>
  <c r="J49" i="4"/>
  <c r="J51" i="4"/>
  <c r="H52" i="4"/>
  <c r="H58" i="4" s="1"/>
  <c r="K53" i="4"/>
  <c r="K57" i="4"/>
  <c r="J70" i="4"/>
  <c r="J72" i="4"/>
  <c r="J73" i="4"/>
  <c r="J67" i="4"/>
  <c r="J69" i="4"/>
  <c r="J65" i="4"/>
  <c r="J66" i="4"/>
  <c r="J68" i="4"/>
  <c r="J71" i="4"/>
  <c r="D92" i="4"/>
  <c r="B61" i="4" s="1"/>
  <c r="K15" i="4"/>
  <c r="C14" i="4"/>
  <c r="C13" i="4" s="1"/>
  <c r="K17" i="4"/>
  <c r="K19" i="4"/>
  <c r="K21" i="4"/>
  <c r="K23" i="4"/>
  <c r="K25" i="4"/>
  <c r="K27" i="4"/>
  <c r="K29" i="4"/>
  <c r="K31" i="4"/>
  <c r="K33" i="4"/>
  <c r="K35" i="4"/>
  <c r="K39" i="4"/>
  <c r="E52" i="4"/>
  <c r="E58" i="4" s="1"/>
  <c r="I52" i="4"/>
  <c r="I58" i="4" s="1"/>
  <c r="K51" i="4"/>
  <c r="K56" i="4"/>
  <c r="K66" i="4"/>
  <c r="K68" i="4"/>
  <c r="K70" i="4"/>
  <c r="K72" i="4"/>
  <c r="K74" i="4"/>
  <c r="K76" i="4"/>
  <c r="K78" i="4"/>
  <c r="D14" i="4"/>
  <c r="J14" i="4" s="1"/>
  <c r="F52" i="4"/>
  <c r="F58" i="4" s="1"/>
  <c r="K50" i="4"/>
  <c r="K55" i="4"/>
  <c r="J75" i="4"/>
  <c r="J74" i="4"/>
  <c r="J76" i="4"/>
  <c r="J77" i="4"/>
  <c r="J78" i="4"/>
  <c r="C58" i="4"/>
  <c r="K58" i="4" l="1"/>
  <c r="K52" i="4"/>
  <c r="J52" i="4"/>
  <c r="B42" i="4"/>
  <c r="B1" i="4"/>
  <c r="K14" i="4"/>
  <c r="D13" i="4"/>
  <c r="K13" i="4" s="1"/>
  <c r="K10" i="4"/>
  <c r="J38" i="4"/>
  <c r="C38" i="4"/>
  <c r="C59" i="4"/>
  <c r="C7" i="4"/>
  <c r="J13" i="4" l="1"/>
  <c r="D7" i="4"/>
  <c r="K7" i="4" s="1"/>
  <c r="C12" i="4"/>
  <c r="C40" i="4"/>
  <c r="K40" i="4" s="1"/>
  <c r="K38" i="4"/>
  <c r="L10" i="4" l="1"/>
  <c r="J7" i="4"/>
  <c r="L8" i="4"/>
  <c r="L7" i="4"/>
  <c r="L11" i="4"/>
  <c r="L9" i="4"/>
  <c r="D12" i="4"/>
  <c r="J12" i="4" l="1"/>
  <c r="L12" i="4"/>
  <c r="K12" i="4"/>
</calcChain>
</file>

<file path=xl/sharedStrings.xml><?xml version="1.0" encoding="utf-8"?>
<sst xmlns="http://schemas.openxmlformats.org/spreadsheetml/2006/main" count="352" uniqueCount="92">
  <si>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</si>
  <si>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</si>
  <si>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</si>
  <si>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</si>
  <si>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</si>
  <si>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</si>
  <si>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</si>
  <si>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</si>
  <si>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</si>
  <si>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</si>
  <si>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</si>
  <si>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</si>
  <si>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</si>
  <si>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</si>
  <si>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</si>
  <si>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</si>
  <si>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</si>
  <si>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</si>
  <si>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</si>
  <si>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</si>
  <si>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</si>
  <si>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</si>
  <si>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</si>
  <si>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</si>
  <si>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</si>
  <si>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</si>
  <si>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</si>
  <si>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</si>
  <si>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</si>
  <si>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</si>
  <si>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</si>
  <si>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</si>
  <si>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</si>
  <si>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</si>
  <si>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</si>
  <si>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</si>
  <si>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</si>
  <si>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</si>
  <si>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</si>
  <si>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</si>
  <si>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</si>
  <si>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</si>
  <si>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</si>
  <si>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</si>
  <si>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</si>
  <si>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</si>
  <si>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</si>
  <si>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</si>
  <si>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</si>
  <si>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</si>
  <si>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</si>
  <si>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</si>
  <si>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</si>
  <si>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</si>
  <si>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</si>
  <si>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</si>
  <si>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</si>
  <si>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</si>
  <si>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</si>
  <si>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</si>
  <si>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</si>
  <si>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</si>
  <si>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</si>
  <si>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</si>
  <si>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</si>
  <si>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</si>
  <si>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</si>
  <si>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</si>
  <si>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</si>
  <si>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</si>
  <si>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</si>
  <si>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</si>
  <si>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</si>
  <si>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</si>
  <si>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</si>
  <si>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</si>
  <si>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</si>
  <si>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</si>
  <si>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</si>
  <si>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</si>
  <si>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</si>
  <si>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</si>
  <si>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FINANSOWANIE DEFICYTU (E1+E2+E3+E4+E5+E6+E7)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</si>
  <si>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</si>
  <si>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</si>
  <si>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</si>
  <si>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</si>
  <si>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</si>
  <si>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</si>
  <si>
    <t>otrzymane z Funduszu Pomocy lub z innych środków (*)</t>
  </si>
  <si>
    <t>(*) na finansowanie lub dofinansowanie realizacji zadań w zakresie pomocy obywatelom Ukrainy</t>
  </si>
  <si>
    <t>tytul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</si>
</sst>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4" fontId="10" fillId="20" borderId="10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4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4" fontId="9" fillId="21" borderId="10" xfId="28" applyNumberFormat="1" applyFont="1" applyFill="1" applyBorder="1" applyAlignment="1">
      <alignment horizontal="right" vertical="center"/>
    </xf>
    <xf numFmtId="164" fontId="9" fillId="21" borderId="10" xfId="0" applyNumberFormat="1" applyFont="1" applyFill="1" applyBorder="1" applyAlignment="1">
      <alignment horizontal="right" vertical="center"/>
    </xf>
    <xf numFmtId="164" fontId="9" fillId="22" borderId="1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4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4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4" fontId="9" fillId="0" borderId="10" xfId="28" applyNumberFormat="1" applyFont="1" applyFill="1" applyBorder="1" applyAlignment="1">
      <alignment horizontal="right" vertical="center"/>
    </xf>
    <xf numFmtId="164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9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9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36" fillId="0" borderId="0" xfId="0" applyFont="1"/>
    <xf numFmtId="0" fontId="2" fillId="0" borderId="0" xfId="0" applyNumberFormat="1" applyFont="1"/>
    <xf numFmtId="165" fontId="7" fillId="0" borderId="11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29" fillId="19" borderId="10" xfId="0" applyFont="1" applyFill="1" applyBorder="1" applyAlignment="1">
      <alignment horizontal="center" vertical="center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5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12" t="str">
        <f>CONCATENATE("Informacja z wykonania budżetów związków jednostek samorządu terytorialnego za ",$D$92," ",$C$93," rok        ",$C$95,"")</f>
        <v xml:space="preserve">Informacja z wykonania budżetów związków jednostek samorządu terytorialnego za IV Kwartały 2022 rok        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3.5" customHeight="1" x14ac:dyDescent="0.2"/>
    <row r="3" spans="2:12" ht="66.75" customHeight="1" x14ac:dyDescent="0.2">
      <c r="B3" s="131" t="s">
        <v>0</v>
      </c>
      <c r="C3" s="39" t="s">
        <v>59</v>
      </c>
      <c r="D3" s="39" t="s">
        <v>60</v>
      </c>
      <c r="E3" s="11" t="s">
        <v>83</v>
      </c>
      <c r="F3" s="11" t="s">
        <v>84</v>
      </c>
      <c r="G3" s="11" t="s">
        <v>85</v>
      </c>
      <c r="H3" s="11" t="s">
        <v>86</v>
      </c>
      <c r="I3" s="11" t="s">
        <v>87</v>
      </c>
      <c r="J3" s="41" t="s">
        <v>2</v>
      </c>
      <c r="K3" s="39" t="s">
        <v>18</v>
      </c>
      <c r="L3" s="39" t="s">
        <v>3</v>
      </c>
    </row>
    <row r="4" spans="2:12" x14ac:dyDescent="0.2">
      <c r="B4" s="131"/>
      <c r="C4" s="138" t="s">
        <v>41</v>
      </c>
      <c r="D4" s="140"/>
      <c r="E4" s="149" t="s">
        <v>81</v>
      </c>
      <c r="F4" s="150"/>
      <c r="G4" s="150"/>
      <c r="H4" s="150"/>
      <c r="I4" s="151"/>
      <c r="J4" s="138" t="s">
        <v>4</v>
      </c>
      <c r="K4" s="139"/>
      <c r="L4" s="140"/>
    </row>
    <row r="5" spans="2:12" x14ac:dyDescent="0.2">
      <c r="B5" s="41">
        <v>1</v>
      </c>
      <c r="C5" s="40">
        <v>2</v>
      </c>
      <c r="D5" s="40">
        <v>3</v>
      </c>
      <c r="E5" s="152"/>
      <c r="F5" s="153"/>
      <c r="G5" s="153"/>
      <c r="H5" s="153"/>
      <c r="I5" s="154"/>
      <c r="J5" s="40">
        <v>4</v>
      </c>
      <c r="K5" s="40">
        <v>5</v>
      </c>
      <c r="L5" s="40">
        <v>6</v>
      </c>
    </row>
    <row r="6" spans="2:12" ht="14.1" customHeight="1" x14ac:dyDescent="0.2">
      <c r="B6" s="92" t="s">
        <v>5</v>
      </c>
      <c r="C6" s="51">
        <f>3325824189.31</f>
        <v>3325824189.3099999</v>
      </c>
      <c r="D6" s="51">
        <f>3321459562.88</f>
        <v>3321459562.8800001</v>
      </c>
      <c r="E6" s="86" t="s">
        <v>81</v>
      </c>
      <c r="F6" s="86" t="s">
        <v>81</v>
      </c>
      <c r="G6" s="86" t="s">
        <v>81</v>
      </c>
      <c r="H6" s="86" t="s">
        <v>81</v>
      </c>
      <c r="I6" s="86" t="s">
        <v>81</v>
      </c>
      <c r="J6" s="52">
        <f t="shared" ref="J6:J40" si="0">IF($D$6=0,"",100*$D6/$D$6)</f>
        <v>100</v>
      </c>
      <c r="K6" s="52">
        <f t="shared" ref="K6:K40" si="1">IF(C6=0,"",100*D6/C6)</f>
        <v>99.868765569628451</v>
      </c>
      <c r="L6" s="52"/>
    </row>
    <row r="7" spans="2:12" ht="27" customHeight="1" x14ac:dyDescent="0.2">
      <c r="B7" s="94" t="s">
        <v>28</v>
      </c>
      <c r="C7" s="15">
        <f>C6-C13</f>
        <v>3059694127.9099998</v>
      </c>
      <c r="D7" s="15">
        <f>D6-D13</f>
        <v>3121124006.23</v>
      </c>
      <c r="E7" s="86" t="s">
        <v>81</v>
      </c>
      <c r="F7" s="86" t="s">
        <v>81</v>
      </c>
      <c r="G7" s="86" t="s">
        <v>81</v>
      </c>
      <c r="H7" s="86" t="s">
        <v>81</v>
      </c>
      <c r="I7" s="86" t="s">
        <v>81</v>
      </c>
      <c r="J7" s="19">
        <f t="shared" si="0"/>
        <v>93.968448121756111</v>
      </c>
      <c r="K7" s="19">
        <f t="shared" si="1"/>
        <v>102.00771305078005</v>
      </c>
      <c r="L7" s="19">
        <f t="shared" ref="L7:L12" si="2">IF($D$7=0,"",100*$D7/$D$7)</f>
        <v>100</v>
      </c>
    </row>
    <row r="8" spans="2:12" ht="22.5" outlineLevel="1" x14ac:dyDescent="0.2">
      <c r="B8" s="18" t="s">
        <v>71</v>
      </c>
      <c r="C8" s="53">
        <f>346893600</f>
        <v>346893600</v>
      </c>
      <c r="D8" s="54">
        <f>346893600</f>
        <v>346893600</v>
      </c>
      <c r="E8" s="87" t="s">
        <v>81</v>
      </c>
      <c r="F8" s="87" t="s">
        <v>81</v>
      </c>
      <c r="G8" s="87" t="s">
        <v>81</v>
      </c>
      <c r="H8" s="87" t="s">
        <v>81</v>
      </c>
      <c r="I8" s="87" t="s">
        <v>81</v>
      </c>
      <c r="J8" s="20">
        <f t="shared" si="0"/>
        <v>10.44401093654178</v>
      </c>
      <c r="K8" s="20">
        <f t="shared" si="1"/>
        <v>100</v>
      </c>
      <c r="L8" s="20">
        <f t="shared" si="2"/>
        <v>11.114380566346421</v>
      </c>
    </row>
    <row r="9" spans="2:12" ht="22.5" outlineLevel="1" x14ac:dyDescent="0.2">
      <c r="B9" s="56" t="s">
        <v>70</v>
      </c>
      <c r="C9" s="53">
        <f>875159521.46</f>
        <v>875159521.46000004</v>
      </c>
      <c r="D9" s="54">
        <f>874402758.44</f>
        <v>874402758.44000006</v>
      </c>
      <c r="E9" s="87" t="s">
        <v>81</v>
      </c>
      <c r="F9" s="87" t="s">
        <v>81</v>
      </c>
      <c r="G9" s="87" t="s">
        <v>81</v>
      </c>
      <c r="H9" s="87" t="s">
        <v>81</v>
      </c>
      <c r="I9" s="87" t="s">
        <v>81</v>
      </c>
      <c r="J9" s="20">
        <f t="shared" si="0"/>
        <v>26.32585891492279</v>
      </c>
      <c r="K9" s="20">
        <f t="shared" si="1"/>
        <v>99.913528562342833</v>
      </c>
      <c r="L9" s="20">
        <f t="shared" si="2"/>
        <v>28.015636568576763</v>
      </c>
    </row>
    <row r="10" spans="2:12" ht="33.75" outlineLevel="1" x14ac:dyDescent="0.2">
      <c r="B10" s="56" t="s">
        <v>88</v>
      </c>
      <c r="C10" s="53">
        <f>813001034.37</f>
        <v>813001034.37</v>
      </c>
      <c r="D10" s="54">
        <f>815071846.69</f>
        <v>815071846.69000006</v>
      </c>
      <c r="E10" s="87" t="s">
        <v>81</v>
      </c>
      <c r="F10" s="87" t="s">
        <v>81</v>
      </c>
      <c r="G10" s="87" t="s">
        <v>81</v>
      </c>
      <c r="H10" s="87" t="s">
        <v>81</v>
      </c>
      <c r="I10" s="87" t="s">
        <v>81</v>
      </c>
      <c r="J10" s="20">
        <f t="shared" si="0"/>
        <v>24.539568561938488</v>
      </c>
      <c r="K10" s="20">
        <f t="shared" si="1"/>
        <v>100.25471213841747</v>
      </c>
      <c r="L10" s="20">
        <f t="shared" si="2"/>
        <v>26.114689613839591</v>
      </c>
    </row>
    <row r="11" spans="2:12" ht="12.75" customHeight="1" outlineLevel="1" x14ac:dyDescent="0.2">
      <c r="B11" s="56" t="s">
        <v>19</v>
      </c>
      <c r="C11" s="53">
        <f>83047031.9</f>
        <v>83047031.900000006</v>
      </c>
      <c r="D11" s="54">
        <f>81091942.15</f>
        <v>81091942.150000006</v>
      </c>
      <c r="E11" s="87" t="s">
        <v>81</v>
      </c>
      <c r="F11" s="87" t="s">
        <v>81</v>
      </c>
      <c r="G11" s="87" t="s">
        <v>81</v>
      </c>
      <c r="H11" s="87" t="s">
        <v>81</v>
      </c>
      <c r="I11" s="87" t="s">
        <v>81</v>
      </c>
      <c r="J11" s="20">
        <f t="shared" si="0"/>
        <v>2.4414550475419938</v>
      </c>
      <c r="K11" s="20">
        <f t="shared" si="1"/>
        <v>97.645804184363641</v>
      </c>
      <c r="L11" s="20">
        <f t="shared" si="2"/>
        <v>2.5981646992600855</v>
      </c>
    </row>
    <row r="12" spans="2:12" ht="12.75" customHeight="1" outlineLevel="1" x14ac:dyDescent="0.2">
      <c r="B12" s="56" t="s">
        <v>20</v>
      </c>
      <c r="C12" s="53">
        <f>C7-SUM(C8:C11)</f>
        <v>941592940.17999983</v>
      </c>
      <c r="D12" s="53">
        <f>D7-SUM(D8:D11)</f>
        <v>1003663858.9499998</v>
      </c>
      <c r="E12" s="87" t="s">
        <v>81</v>
      </c>
      <c r="F12" s="87" t="s">
        <v>81</v>
      </c>
      <c r="G12" s="87" t="s">
        <v>81</v>
      </c>
      <c r="H12" s="87" t="s">
        <v>81</v>
      </c>
      <c r="I12" s="87" t="s">
        <v>81</v>
      </c>
      <c r="J12" s="20">
        <f t="shared" si="0"/>
        <v>30.21755466081105</v>
      </c>
      <c r="K12" s="20">
        <f t="shared" si="1"/>
        <v>106.59211811402645</v>
      </c>
      <c r="L12" s="20">
        <f t="shared" si="2"/>
        <v>32.157128551977131</v>
      </c>
    </row>
    <row r="13" spans="2:12" ht="27" customHeight="1" x14ac:dyDescent="0.2">
      <c r="B13" s="95" t="s">
        <v>61</v>
      </c>
      <c r="C13" s="51">
        <f>C14+C33+C35</f>
        <v>266130061.40000004</v>
      </c>
      <c r="D13" s="51">
        <f>D14+D33+D35</f>
        <v>200335556.64999998</v>
      </c>
      <c r="E13" s="86" t="s">
        <v>81</v>
      </c>
      <c r="F13" s="86" t="s">
        <v>81</v>
      </c>
      <c r="G13" s="86" t="s">
        <v>81</v>
      </c>
      <c r="H13" s="86" t="s">
        <v>81</v>
      </c>
      <c r="I13" s="86" t="s">
        <v>81</v>
      </c>
      <c r="J13" s="52">
        <f t="shared" si="0"/>
        <v>6.0315518782438904</v>
      </c>
      <c r="K13" s="52">
        <f t="shared" si="1"/>
        <v>75.277312001552005</v>
      </c>
      <c r="L13" s="55"/>
    </row>
    <row r="14" spans="2:12" ht="27" customHeight="1" outlineLevel="1" x14ac:dyDescent="0.2">
      <c r="B14" s="97" t="s">
        <v>29</v>
      </c>
      <c r="C14" s="51">
        <f>C15+C17+C19+C21+C23+C25+C27+C29+C31</f>
        <v>56434654.540000007</v>
      </c>
      <c r="D14" s="51">
        <f>D15+D17+D19+D21+D23+D25+D27+D29+D31</f>
        <v>43146912.550000004</v>
      </c>
      <c r="E14" s="86" t="s">
        <v>81</v>
      </c>
      <c r="F14" s="86" t="s">
        <v>81</v>
      </c>
      <c r="G14" s="86" t="s">
        <v>81</v>
      </c>
      <c r="H14" s="86" t="s">
        <v>81</v>
      </c>
      <c r="I14" s="86" t="s">
        <v>81</v>
      </c>
      <c r="J14" s="52">
        <f t="shared" si="0"/>
        <v>1.2990347084818277</v>
      </c>
      <c r="K14" s="52">
        <f t="shared" si="1"/>
        <v>76.454641038722301</v>
      </c>
      <c r="L14" s="17"/>
    </row>
    <row r="15" spans="2:12" ht="22.5" outlineLevel="1" x14ac:dyDescent="0.2">
      <c r="B15" s="96" t="s">
        <v>9</v>
      </c>
      <c r="C15" s="53">
        <f>0</f>
        <v>0</v>
      </c>
      <c r="D15" s="53">
        <f>0</f>
        <v>0</v>
      </c>
      <c r="E15" s="87" t="s">
        <v>81</v>
      </c>
      <c r="F15" s="87" t="s">
        <v>81</v>
      </c>
      <c r="G15" s="87" t="s">
        <v>81</v>
      </c>
      <c r="H15" s="87" t="s">
        <v>81</v>
      </c>
      <c r="I15" s="87" t="s">
        <v>81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">
      <c r="B16" s="98" t="s">
        <v>6</v>
      </c>
      <c r="C16" s="53">
        <f>0</f>
        <v>0</v>
      </c>
      <c r="D16" s="53">
        <f>0</f>
        <v>0</v>
      </c>
      <c r="E16" s="87" t="s">
        <v>81</v>
      </c>
      <c r="F16" s="87" t="s">
        <v>81</v>
      </c>
      <c r="G16" s="87" t="s">
        <v>81</v>
      </c>
      <c r="H16" s="87" t="s">
        <v>81</v>
      </c>
      <c r="I16" s="87" t="s">
        <v>81</v>
      </c>
      <c r="J16" s="20">
        <f t="shared" si="0"/>
        <v>0</v>
      </c>
      <c r="K16" s="20" t="str">
        <f t="shared" si="1"/>
        <v/>
      </c>
      <c r="L16" s="17"/>
    </row>
    <row r="17" spans="2:12" ht="12.75" customHeight="1" outlineLevel="1" x14ac:dyDescent="0.2">
      <c r="B17" s="96" t="s">
        <v>7</v>
      </c>
      <c r="C17" s="53">
        <f>3420000</f>
        <v>3420000</v>
      </c>
      <c r="D17" s="53">
        <f>0</f>
        <v>0</v>
      </c>
      <c r="E17" s="87" t="s">
        <v>81</v>
      </c>
      <c r="F17" s="87" t="s">
        <v>81</v>
      </c>
      <c r="G17" s="87" t="s">
        <v>81</v>
      </c>
      <c r="H17" s="87" t="s">
        <v>81</v>
      </c>
      <c r="I17" s="87" t="s">
        <v>81</v>
      </c>
      <c r="J17" s="20">
        <f t="shared" si="0"/>
        <v>0</v>
      </c>
      <c r="K17" s="20">
        <f t="shared" si="1"/>
        <v>0</v>
      </c>
      <c r="L17" s="17"/>
    </row>
    <row r="18" spans="2:12" ht="12.75" customHeight="1" outlineLevel="1" x14ac:dyDescent="0.2">
      <c r="B18" s="98" t="s">
        <v>6</v>
      </c>
      <c r="C18" s="53">
        <f>3420000</f>
        <v>3420000</v>
      </c>
      <c r="D18" s="53">
        <f>0</f>
        <v>0</v>
      </c>
      <c r="E18" s="87" t="s">
        <v>81</v>
      </c>
      <c r="F18" s="87" t="s">
        <v>81</v>
      </c>
      <c r="G18" s="87" t="s">
        <v>81</v>
      </c>
      <c r="H18" s="87" t="s">
        <v>81</v>
      </c>
      <c r="I18" s="87" t="s">
        <v>81</v>
      </c>
      <c r="J18" s="20">
        <f t="shared" si="0"/>
        <v>0</v>
      </c>
      <c r="K18" s="20">
        <f t="shared" si="1"/>
        <v>0</v>
      </c>
      <c r="L18" s="17"/>
    </row>
    <row r="19" spans="2:12" ht="33.75" outlineLevel="1" x14ac:dyDescent="0.2">
      <c r="B19" s="96" t="s">
        <v>10</v>
      </c>
      <c r="C19" s="53">
        <f>0</f>
        <v>0</v>
      </c>
      <c r="D19" s="53">
        <f>0</f>
        <v>0</v>
      </c>
      <c r="E19" s="87" t="s">
        <v>81</v>
      </c>
      <c r="F19" s="87" t="s">
        <v>81</v>
      </c>
      <c r="G19" s="87" t="s">
        <v>81</v>
      </c>
      <c r="H19" s="87" t="s">
        <v>81</v>
      </c>
      <c r="I19" s="87" t="s">
        <v>81</v>
      </c>
      <c r="J19" s="20">
        <f t="shared" si="0"/>
        <v>0</v>
      </c>
      <c r="K19" s="20" t="str">
        <f t="shared" si="1"/>
        <v/>
      </c>
      <c r="L19" s="17"/>
    </row>
    <row r="20" spans="2:12" ht="12.75" customHeight="1" outlineLevel="1" x14ac:dyDescent="0.2">
      <c r="B20" s="98" t="s">
        <v>6</v>
      </c>
      <c r="C20" s="53">
        <f>0</f>
        <v>0</v>
      </c>
      <c r="D20" s="53">
        <f>0</f>
        <v>0</v>
      </c>
      <c r="E20" s="87" t="s">
        <v>81</v>
      </c>
      <c r="F20" s="87" t="s">
        <v>81</v>
      </c>
      <c r="G20" s="87" t="s">
        <v>81</v>
      </c>
      <c r="H20" s="87" t="s">
        <v>81</v>
      </c>
      <c r="I20" s="87" t="s">
        <v>81</v>
      </c>
      <c r="J20" s="20">
        <f t="shared" si="0"/>
        <v>0</v>
      </c>
      <c r="K20" s="20" t="str">
        <f t="shared" si="1"/>
        <v/>
      </c>
      <c r="L20" s="17"/>
    </row>
    <row r="21" spans="2:12" ht="22.5" outlineLevel="1" x14ac:dyDescent="0.2">
      <c r="B21" s="99" t="s">
        <v>11</v>
      </c>
      <c r="C21" s="53">
        <f>19917300.8</f>
        <v>19917300.800000001</v>
      </c>
      <c r="D21" s="53">
        <f>20090234.29</f>
        <v>20090234.289999999</v>
      </c>
      <c r="E21" s="87" t="s">
        <v>81</v>
      </c>
      <c r="F21" s="87" t="s">
        <v>81</v>
      </c>
      <c r="G21" s="87" t="s">
        <v>81</v>
      </c>
      <c r="H21" s="87" t="s">
        <v>81</v>
      </c>
      <c r="I21" s="87" t="s">
        <v>81</v>
      </c>
      <c r="J21" s="20">
        <f t="shared" si="0"/>
        <v>0.60486162512783936</v>
      </c>
      <c r="K21" s="20">
        <f t="shared" si="1"/>
        <v>100.86825766069667</v>
      </c>
      <c r="L21" s="17"/>
    </row>
    <row r="22" spans="2:12" ht="12.75" customHeight="1" outlineLevel="1" x14ac:dyDescent="0.2">
      <c r="B22" s="98" t="s">
        <v>6</v>
      </c>
      <c r="C22" s="53">
        <f>224934.02</f>
        <v>224934.02</v>
      </c>
      <c r="D22" s="53">
        <f>224934.02</f>
        <v>224934.02</v>
      </c>
      <c r="E22" s="87" t="s">
        <v>81</v>
      </c>
      <c r="F22" s="87" t="s">
        <v>81</v>
      </c>
      <c r="G22" s="87" t="s">
        <v>81</v>
      </c>
      <c r="H22" s="87" t="s">
        <v>81</v>
      </c>
      <c r="I22" s="87" t="s">
        <v>81</v>
      </c>
      <c r="J22" s="20">
        <f t="shared" si="0"/>
        <v>6.7721438645172681E-3</v>
      </c>
      <c r="K22" s="20">
        <f t="shared" si="1"/>
        <v>100</v>
      </c>
      <c r="L22" s="17"/>
    </row>
    <row r="23" spans="2:12" ht="34.5" customHeight="1" outlineLevel="1" x14ac:dyDescent="0.2">
      <c r="B23" s="99" t="s">
        <v>42</v>
      </c>
      <c r="C23" s="53">
        <f>3466692.18</f>
        <v>3466692.18</v>
      </c>
      <c r="D23" s="53">
        <f>2330397.46</f>
        <v>2330397.46</v>
      </c>
      <c r="E23" s="87" t="s">
        <v>81</v>
      </c>
      <c r="F23" s="87" t="s">
        <v>81</v>
      </c>
      <c r="G23" s="87" t="s">
        <v>81</v>
      </c>
      <c r="H23" s="87" t="s">
        <v>81</v>
      </c>
      <c r="I23" s="87" t="s">
        <v>81</v>
      </c>
      <c r="J23" s="20">
        <f t="shared" si="0"/>
        <v>7.0161849508694266E-2</v>
      </c>
      <c r="K23" s="20">
        <f t="shared" si="1"/>
        <v>67.222508922035288</v>
      </c>
      <c r="L23" s="17"/>
    </row>
    <row r="24" spans="2:12" ht="12.75" customHeight="1" outlineLevel="1" x14ac:dyDescent="0.2">
      <c r="B24" s="98" t="s">
        <v>6</v>
      </c>
      <c r="C24" s="53">
        <f>3082100.18</f>
        <v>3082100.18</v>
      </c>
      <c r="D24" s="53">
        <f>1951602.92</f>
        <v>1951602.92</v>
      </c>
      <c r="E24" s="87" t="s">
        <v>81</v>
      </c>
      <c r="F24" s="87" t="s">
        <v>81</v>
      </c>
      <c r="G24" s="87" t="s">
        <v>81</v>
      </c>
      <c r="H24" s="87" t="s">
        <v>81</v>
      </c>
      <c r="I24" s="87" t="s">
        <v>81</v>
      </c>
      <c r="J24" s="20">
        <f t="shared" si="0"/>
        <v>5.8757389125273202E-2</v>
      </c>
      <c r="K24" s="20">
        <f t="shared" si="1"/>
        <v>63.320554363031768</v>
      </c>
      <c r="L24" s="17"/>
    </row>
    <row r="25" spans="2:12" ht="12.75" customHeight="1" outlineLevel="1" x14ac:dyDescent="0.2">
      <c r="B25" s="96" t="s">
        <v>8</v>
      </c>
      <c r="C25" s="53">
        <f>106720</f>
        <v>106720</v>
      </c>
      <c r="D25" s="53">
        <f>106720</f>
        <v>106720</v>
      </c>
      <c r="E25" s="87" t="s">
        <v>81</v>
      </c>
      <c r="F25" s="87" t="s">
        <v>81</v>
      </c>
      <c r="G25" s="87" t="s">
        <v>81</v>
      </c>
      <c r="H25" s="87" t="s">
        <v>81</v>
      </c>
      <c r="I25" s="87" t="s">
        <v>81</v>
      </c>
      <c r="J25" s="20">
        <f t="shared" si="0"/>
        <v>3.2130452886641285E-3</v>
      </c>
      <c r="K25" s="20">
        <f t="shared" si="1"/>
        <v>100</v>
      </c>
      <c r="L25" s="17"/>
    </row>
    <row r="26" spans="2:12" ht="12.75" customHeight="1" outlineLevel="1" x14ac:dyDescent="0.2">
      <c r="B26" s="98" t="s">
        <v>6</v>
      </c>
      <c r="C26" s="53">
        <f>0</f>
        <v>0</v>
      </c>
      <c r="D26" s="53">
        <f>0</f>
        <v>0</v>
      </c>
      <c r="E26" s="87" t="s">
        <v>81</v>
      </c>
      <c r="F26" s="87" t="s">
        <v>81</v>
      </c>
      <c r="G26" s="87" t="s">
        <v>81</v>
      </c>
      <c r="H26" s="87" t="s">
        <v>81</v>
      </c>
      <c r="I26" s="87" t="s">
        <v>81</v>
      </c>
      <c r="J26" s="20">
        <f t="shared" si="0"/>
        <v>0</v>
      </c>
      <c r="K26" s="20" t="str">
        <f t="shared" si="1"/>
        <v/>
      </c>
      <c r="L26" s="17"/>
    </row>
    <row r="27" spans="2:12" ht="67.5" outlineLevel="1" x14ac:dyDescent="0.2">
      <c r="B27" s="100" t="s">
        <v>72</v>
      </c>
      <c r="C27" s="53">
        <f>840000</f>
        <v>840000</v>
      </c>
      <c r="D27" s="53">
        <f>840000</f>
        <v>840000</v>
      </c>
      <c r="E27" s="87" t="s">
        <v>81</v>
      </c>
      <c r="F27" s="87" t="s">
        <v>81</v>
      </c>
      <c r="G27" s="87" t="s">
        <v>81</v>
      </c>
      <c r="H27" s="87" t="s">
        <v>81</v>
      </c>
      <c r="I27" s="87" t="s">
        <v>81</v>
      </c>
      <c r="J27" s="20">
        <f t="shared" si="0"/>
        <v>2.5290086604927549E-2</v>
      </c>
      <c r="K27" s="20">
        <f t="shared" si="1"/>
        <v>100</v>
      </c>
      <c r="L27" s="17"/>
    </row>
    <row r="28" spans="2:12" ht="12.75" customHeight="1" outlineLevel="1" x14ac:dyDescent="0.2">
      <c r="B28" s="98" t="s">
        <v>73</v>
      </c>
      <c r="C28" s="53">
        <f>0</f>
        <v>0</v>
      </c>
      <c r="D28" s="53">
        <f>0</f>
        <v>0</v>
      </c>
      <c r="E28" s="87" t="s">
        <v>81</v>
      </c>
      <c r="F28" s="87" t="s">
        <v>81</v>
      </c>
      <c r="G28" s="87" t="s">
        <v>81</v>
      </c>
      <c r="H28" s="87" t="s">
        <v>81</v>
      </c>
      <c r="I28" s="87" t="s">
        <v>81</v>
      </c>
      <c r="J28" s="20">
        <f t="shared" si="0"/>
        <v>0</v>
      </c>
      <c r="K28" s="20" t="str">
        <f t="shared" si="1"/>
        <v/>
      </c>
      <c r="L28" s="17"/>
    </row>
    <row r="29" spans="2:12" ht="45" outlineLevel="1" x14ac:dyDescent="0.2">
      <c r="B29" s="100" t="s">
        <v>69</v>
      </c>
      <c r="C29" s="53">
        <f>24314120</f>
        <v>24314120</v>
      </c>
      <c r="D29" s="53">
        <f>16103678.84</f>
        <v>16103678.84</v>
      </c>
      <c r="E29" s="87" t="s">
        <v>81</v>
      </c>
      <c r="F29" s="87" t="s">
        <v>81</v>
      </c>
      <c r="G29" s="87" t="s">
        <v>81</v>
      </c>
      <c r="H29" s="87" t="s">
        <v>81</v>
      </c>
      <c r="I29" s="87" t="s">
        <v>81</v>
      </c>
      <c r="J29" s="66">
        <f t="shared" si="0"/>
        <v>0.48483741966849903</v>
      </c>
      <c r="K29" s="66">
        <f t="shared" si="1"/>
        <v>66.231797984052065</v>
      </c>
      <c r="L29" s="17"/>
    </row>
    <row r="30" spans="2:12" ht="12.75" customHeight="1" outlineLevel="1" x14ac:dyDescent="0.2">
      <c r="B30" s="98" t="s">
        <v>6</v>
      </c>
      <c r="C30" s="53">
        <f>24234335</f>
        <v>24234335</v>
      </c>
      <c r="D30" s="53">
        <f>16011986.83</f>
        <v>16011986.83</v>
      </c>
      <c r="E30" s="87" t="s">
        <v>81</v>
      </c>
      <c r="F30" s="87" t="s">
        <v>81</v>
      </c>
      <c r="G30" s="87" t="s">
        <v>81</v>
      </c>
      <c r="H30" s="87" t="s">
        <v>81</v>
      </c>
      <c r="I30" s="87" t="s">
        <v>81</v>
      </c>
      <c r="J30" s="20">
        <f t="shared" si="0"/>
        <v>0.48207682577102301</v>
      </c>
      <c r="K30" s="20">
        <f t="shared" si="1"/>
        <v>66.071492491954075</v>
      </c>
      <c r="L30" s="17"/>
    </row>
    <row r="31" spans="2:12" ht="22.5" outlineLevel="1" x14ac:dyDescent="0.2">
      <c r="B31" s="100" t="s">
        <v>89</v>
      </c>
      <c r="C31" s="53">
        <f>4369821.56</f>
        <v>4369821.5599999996</v>
      </c>
      <c r="D31" s="53">
        <f>3675881.96</f>
        <v>3675881.96</v>
      </c>
      <c r="E31" s="87" t="s">
        <v>81</v>
      </c>
      <c r="F31" s="87" t="s">
        <v>81</v>
      </c>
      <c r="G31" s="87" t="s">
        <v>81</v>
      </c>
      <c r="H31" s="87" t="s">
        <v>81</v>
      </c>
      <c r="I31" s="87" t="s">
        <v>81</v>
      </c>
      <c r="J31" s="20">
        <f t="shared" si="0"/>
        <v>0.11067068228320336</v>
      </c>
      <c r="K31" s="20">
        <f t="shared" si="1"/>
        <v>84.119726847610693</v>
      </c>
      <c r="L31" s="17"/>
    </row>
    <row r="32" spans="2:12" ht="12.75" customHeight="1" outlineLevel="1" x14ac:dyDescent="0.2">
      <c r="B32" s="98" t="s">
        <v>6</v>
      </c>
      <c r="C32" s="53">
        <f>3555929.04</f>
        <v>3555929.04</v>
      </c>
      <c r="D32" s="53">
        <f>3074844.66</f>
        <v>3074844.66</v>
      </c>
      <c r="E32" s="87" t="s">
        <v>81</v>
      </c>
      <c r="F32" s="87" t="s">
        <v>81</v>
      </c>
      <c r="G32" s="87" t="s">
        <v>81</v>
      </c>
      <c r="H32" s="87" t="s">
        <v>81</v>
      </c>
      <c r="I32" s="87" t="s">
        <v>81</v>
      </c>
      <c r="J32" s="20">
        <f t="shared" si="0"/>
        <v>9.257510446202262E-2</v>
      </c>
      <c r="K32" s="20">
        <f t="shared" si="1"/>
        <v>86.470922940577012</v>
      </c>
      <c r="L32" s="17"/>
    </row>
    <row r="33" spans="1:26" s="5" customFormat="1" ht="13.5" customHeight="1" outlineLevel="1" x14ac:dyDescent="0.2">
      <c r="A33" s="2"/>
      <c r="B33" s="97" t="s">
        <v>40</v>
      </c>
      <c r="C33" s="53">
        <f>4369821.56</f>
        <v>4369821.5599999996</v>
      </c>
      <c r="D33" s="53">
        <f>3675881.96</f>
        <v>3675881.96</v>
      </c>
      <c r="E33" s="86" t="s">
        <v>81</v>
      </c>
      <c r="F33" s="86" t="s">
        <v>81</v>
      </c>
      <c r="G33" s="86" t="s">
        <v>81</v>
      </c>
      <c r="H33" s="86" t="s">
        <v>81</v>
      </c>
      <c r="I33" s="86" t="s">
        <v>81</v>
      </c>
      <c r="J33" s="19">
        <f t="shared" si="0"/>
        <v>0.11067068228320336</v>
      </c>
      <c r="K33" s="19">
        <f t="shared" si="1"/>
        <v>84.119726847610693</v>
      </c>
      <c r="L33" s="42"/>
      <c r="M33" s="12"/>
      <c r="N33" s="12"/>
      <c r="O33" s="9"/>
      <c r="P33" s="9"/>
      <c r="Q33" s="3"/>
    </row>
    <row r="34" spans="1:26" s="5" customFormat="1" ht="12.75" customHeight="1" outlineLevel="1" x14ac:dyDescent="0.2">
      <c r="A34" s="2"/>
      <c r="B34" s="101" t="s">
        <v>39</v>
      </c>
      <c r="C34" s="53">
        <f>3555929.04</f>
        <v>3555929.04</v>
      </c>
      <c r="D34" s="53">
        <f>3074844.66</f>
        <v>3074844.66</v>
      </c>
      <c r="E34" s="87" t="s">
        <v>81</v>
      </c>
      <c r="F34" s="87" t="s">
        <v>81</v>
      </c>
      <c r="G34" s="87" t="s">
        <v>81</v>
      </c>
      <c r="H34" s="87" t="s">
        <v>81</v>
      </c>
      <c r="I34" s="87" t="s">
        <v>81</v>
      </c>
      <c r="J34" s="20">
        <f t="shared" si="0"/>
        <v>9.257510446202262E-2</v>
      </c>
      <c r="K34" s="20">
        <f t="shared" si="1"/>
        <v>86.470922940577012</v>
      </c>
      <c r="L34" s="42"/>
      <c r="M34" s="12"/>
      <c r="N34" s="12"/>
      <c r="O34" s="9"/>
      <c r="P34" s="9"/>
      <c r="Q34" s="3"/>
    </row>
    <row r="35" spans="1:26" s="5" customFormat="1" ht="13.5" customHeight="1" outlineLevel="1" x14ac:dyDescent="0.2">
      <c r="A35" s="2"/>
      <c r="B35" s="97" t="s">
        <v>48</v>
      </c>
      <c r="C35" s="53">
        <f>205325585.3</f>
        <v>205325585.30000001</v>
      </c>
      <c r="D35" s="53">
        <f>153512762.14</f>
        <v>153512762.13999999</v>
      </c>
      <c r="E35" s="86" t="s">
        <v>81</v>
      </c>
      <c r="F35" s="86" t="s">
        <v>81</v>
      </c>
      <c r="G35" s="86" t="s">
        <v>81</v>
      </c>
      <c r="H35" s="86" t="s">
        <v>81</v>
      </c>
      <c r="I35" s="86" t="s">
        <v>81</v>
      </c>
      <c r="J35" s="57">
        <f t="shared" si="0"/>
        <v>4.6218464874788596</v>
      </c>
      <c r="K35" s="57">
        <f t="shared" si="1"/>
        <v>74.765530031585385</v>
      </c>
      <c r="L35" s="42"/>
      <c r="M35" s="12"/>
      <c r="N35" s="12"/>
      <c r="O35" s="9"/>
      <c r="P35" s="9"/>
      <c r="Q35" s="3"/>
    </row>
    <row r="36" spans="1:26" s="5" customFormat="1" ht="12.75" customHeight="1" outlineLevel="1" x14ac:dyDescent="0.2">
      <c r="A36" s="2"/>
      <c r="B36" s="101" t="s">
        <v>49</v>
      </c>
      <c r="C36" s="53">
        <f>174135563.02</f>
        <v>174135563.02000001</v>
      </c>
      <c r="D36" s="53">
        <f>137412045.61</f>
        <v>137412045.61000001</v>
      </c>
      <c r="E36" s="87" t="s">
        <v>81</v>
      </c>
      <c r="F36" s="87" t="s">
        <v>81</v>
      </c>
      <c r="G36" s="87" t="s">
        <v>81</v>
      </c>
      <c r="H36" s="87" t="s">
        <v>81</v>
      </c>
      <c r="I36" s="87" t="s">
        <v>81</v>
      </c>
      <c r="J36" s="20">
        <f t="shared" si="0"/>
        <v>4.137098254806137</v>
      </c>
      <c r="K36" s="20">
        <f t="shared" si="1"/>
        <v>78.910960648640057</v>
      </c>
      <c r="L36" s="42"/>
      <c r="M36" s="12"/>
      <c r="N36" s="12"/>
      <c r="O36" s="9"/>
      <c r="P36" s="9"/>
      <c r="Q36" s="3"/>
    </row>
    <row r="37" spans="1:26" s="5" customFormat="1" ht="8.25" customHeight="1" x14ac:dyDescent="0.2">
      <c r="A37" s="2"/>
      <c r="B37" s="90"/>
      <c r="C37" s="35"/>
      <c r="D37" s="35"/>
      <c r="E37" s="35"/>
      <c r="F37" s="35"/>
      <c r="G37" s="35"/>
      <c r="H37" s="35"/>
      <c r="I37" s="35"/>
      <c r="J37" s="35"/>
      <c r="K37" s="35"/>
      <c r="L37" s="42"/>
      <c r="M37" s="12"/>
      <c r="N37" s="12"/>
      <c r="O37" s="9"/>
      <c r="P37" s="9"/>
      <c r="Q37" s="3"/>
    </row>
    <row r="38" spans="1:26" s="5" customFormat="1" ht="13.5" customHeight="1" x14ac:dyDescent="0.2">
      <c r="A38" s="2"/>
      <c r="B38" s="92" t="s">
        <v>5</v>
      </c>
      <c r="C38" s="51">
        <f>+C6</f>
        <v>3325824189.3099999</v>
      </c>
      <c r="D38" s="51">
        <f>+D6</f>
        <v>3321459562.8800001</v>
      </c>
      <c r="E38" s="88" t="s">
        <v>81</v>
      </c>
      <c r="F38" s="88" t="s">
        <v>81</v>
      </c>
      <c r="G38" s="88" t="s">
        <v>81</v>
      </c>
      <c r="H38" s="88" t="s">
        <v>81</v>
      </c>
      <c r="I38" s="88" t="s">
        <v>81</v>
      </c>
      <c r="J38" s="57">
        <f t="shared" si="0"/>
        <v>100</v>
      </c>
      <c r="K38" s="57">
        <f t="shared" si="1"/>
        <v>99.868765569628451</v>
      </c>
      <c r="L38" s="42"/>
      <c r="M38" s="12"/>
      <c r="N38" s="12"/>
      <c r="O38" s="9"/>
      <c r="P38" s="9"/>
      <c r="Q38" s="3"/>
    </row>
    <row r="39" spans="1:26" s="5" customFormat="1" ht="13.5" customHeight="1" x14ac:dyDescent="0.2">
      <c r="A39" s="2"/>
      <c r="B39" s="91" t="s">
        <v>50</v>
      </c>
      <c r="C39" s="14">
        <f>296116937.72</f>
        <v>296116937.72000003</v>
      </c>
      <c r="D39" s="14">
        <f>224412696.36</f>
        <v>224412696.36000001</v>
      </c>
      <c r="E39" s="89" t="s">
        <v>81</v>
      </c>
      <c r="F39" s="89" t="s">
        <v>81</v>
      </c>
      <c r="G39" s="89" t="s">
        <v>81</v>
      </c>
      <c r="H39" s="89" t="s">
        <v>81</v>
      </c>
      <c r="I39" s="89" t="s">
        <v>81</v>
      </c>
      <c r="J39" s="20">
        <f t="shared" si="0"/>
        <v>6.7564482454639396</v>
      </c>
      <c r="K39" s="20">
        <f t="shared" si="1"/>
        <v>75.785160446376906</v>
      </c>
      <c r="L39" s="42"/>
      <c r="M39" s="12"/>
      <c r="N39" s="12"/>
      <c r="O39" s="9"/>
      <c r="P39" s="9"/>
      <c r="Q39" s="3"/>
    </row>
    <row r="40" spans="1:26" s="5" customFormat="1" ht="13.5" customHeight="1" x14ac:dyDescent="0.2">
      <c r="A40" s="2"/>
      <c r="B40" s="91" t="s">
        <v>51</v>
      </c>
      <c r="C40" s="14">
        <f>C38-C39</f>
        <v>3029707251.5900002</v>
      </c>
      <c r="D40" s="14">
        <f>D38-D39</f>
        <v>3097046866.52</v>
      </c>
      <c r="E40" s="89" t="s">
        <v>81</v>
      </c>
      <c r="F40" s="89" t="s">
        <v>81</v>
      </c>
      <c r="G40" s="89" t="s">
        <v>81</v>
      </c>
      <c r="H40" s="89" t="s">
        <v>81</v>
      </c>
      <c r="I40" s="89" t="s">
        <v>81</v>
      </c>
      <c r="J40" s="20">
        <f t="shared" si="0"/>
        <v>93.243551754536057</v>
      </c>
      <c r="K40" s="20">
        <f t="shared" si="1"/>
        <v>102.22264428005907</v>
      </c>
      <c r="L40" s="42"/>
      <c r="M40" s="12"/>
      <c r="N40" s="12"/>
      <c r="O40" s="9"/>
      <c r="P40" s="9"/>
      <c r="Q40" s="3"/>
    </row>
    <row r="41" spans="1:26" s="5" customFormat="1" x14ac:dyDescent="0.2">
      <c r="A41" s="2"/>
      <c r="B41" s="117" t="s">
        <v>90</v>
      </c>
      <c r="C41" s="7"/>
      <c r="D41" s="8"/>
      <c r="E41" s="8"/>
      <c r="F41" s="12"/>
      <c r="G41" s="12"/>
      <c r="H41" s="12"/>
      <c r="I41" s="12"/>
      <c r="J41" s="12"/>
      <c r="K41" s="9"/>
      <c r="L41" s="9"/>
      <c r="M41" s="3"/>
    </row>
    <row r="42" spans="1:26" ht="18" customHeight="1" x14ac:dyDescent="0.2">
      <c r="B42" s="112" t="str">
        <f>CONCATENATE("Informacja z wykonania budżetów związków jednostek samorządu terytorialnego za ",$D$92," ",$C$93," rok        ",$C$95,"")</f>
        <v xml:space="preserve">Informacja z wykonania budżetów związków jednostek samorządu terytorialnego za IV Kwartały 2022 rok        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50"/>
    </row>
    <row r="43" spans="1:26" s="5" customFormat="1" ht="6" hidden="1" customHeight="1" x14ac:dyDescent="0.2">
      <c r="B43" s="6"/>
      <c r="C43" s="7"/>
      <c r="D43" s="8"/>
      <c r="E43" s="8"/>
      <c r="F43" s="4"/>
      <c r="G43" s="4"/>
      <c r="H43" s="4"/>
      <c r="I43" s="4"/>
      <c r="J43" s="4"/>
      <c r="K43" s="9"/>
      <c r="L43" s="9"/>
      <c r="M43" s="3"/>
    </row>
    <row r="44" spans="1:26" ht="29.25" customHeight="1" x14ac:dyDescent="0.2">
      <c r="B44" s="131" t="s">
        <v>0</v>
      </c>
      <c r="C44" s="135" t="s">
        <v>52</v>
      </c>
      <c r="D44" s="135" t="s">
        <v>54</v>
      </c>
      <c r="E44" s="135" t="s">
        <v>53</v>
      </c>
      <c r="F44" s="135" t="s">
        <v>12</v>
      </c>
      <c r="G44" s="135"/>
      <c r="H44" s="135"/>
      <c r="I44" s="132" t="s">
        <v>55</v>
      </c>
      <c r="J44" s="135" t="s">
        <v>2</v>
      </c>
      <c r="K44" s="130" t="s">
        <v>18</v>
      </c>
      <c r="L44" s="37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customHeight="1" x14ac:dyDescent="0.2">
      <c r="B45" s="131"/>
      <c r="C45" s="135"/>
      <c r="D45" s="135"/>
      <c r="E45" s="142"/>
      <c r="F45" s="145" t="s">
        <v>56</v>
      </c>
      <c r="G45" s="144" t="s">
        <v>24</v>
      </c>
      <c r="H45" s="142"/>
      <c r="I45" s="133"/>
      <c r="J45" s="135"/>
      <c r="K45" s="130"/>
      <c r="L45" s="45"/>
      <c r="M45" s="12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64.5" customHeight="1" x14ac:dyDescent="0.2">
      <c r="B46" s="131"/>
      <c r="C46" s="135"/>
      <c r="D46" s="135"/>
      <c r="E46" s="142"/>
      <c r="F46" s="142"/>
      <c r="G46" s="38" t="s">
        <v>57</v>
      </c>
      <c r="H46" s="38" t="s">
        <v>58</v>
      </c>
      <c r="I46" s="134"/>
      <c r="J46" s="135"/>
      <c r="K46" s="130"/>
      <c r="L46" s="45"/>
      <c r="M46" s="12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">
      <c r="B47" s="131"/>
      <c r="C47" s="138" t="s">
        <v>41</v>
      </c>
      <c r="D47" s="139"/>
      <c r="E47" s="139"/>
      <c r="F47" s="139"/>
      <c r="G47" s="139"/>
      <c r="H47" s="139"/>
      <c r="I47" s="140"/>
      <c r="J47" s="141" t="s">
        <v>4</v>
      </c>
      <c r="K47" s="141"/>
      <c r="L47" s="3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customHeight="1" x14ac:dyDescent="0.2">
      <c r="B48" s="41">
        <v>1</v>
      </c>
      <c r="C48" s="40">
        <v>2</v>
      </c>
      <c r="D48" s="40">
        <v>3</v>
      </c>
      <c r="E48" s="40">
        <v>4</v>
      </c>
      <c r="F48" s="41">
        <v>5</v>
      </c>
      <c r="G48" s="41">
        <v>6</v>
      </c>
      <c r="H48" s="40">
        <v>7</v>
      </c>
      <c r="I48" s="83">
        <v>8</v>
      </c>
      <c r="J48" s="41">
        <v>9</v>
      </c>
      <c r="K48" s="40">
        <v>10</v>
      </c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16" ht="27" customHeight="1" x14ac:dyDescent="0.2">
      <c r="B49" s="93" t="s">
        <v>30</v>
      </c>
      <c r="C49" s="58">
        <f>3643930533.22</f>
        <v>3643930533.2199998</v>
      </c>
      <c r="D49" s="68">
        <f>3182635552.67</f>
        <v>3182635552.6700001</v>
      </c>
      <c r="E49" s="68">
        <f>3187688442.64</f>
        <v>3187688442.6399999</v>
      </c>
      <c r="F49" s="58">
        <f>231222562.21</f>
        <v>231222562.21000001</v>
      </c>
      <c r="G49" s="58">
        <f>0</f>
        <v>0</v>
      </c>
      <c r="H49" s="58">
        <f>13420689.12</f>
        <v>13420689.119999999</v>
      </c>
      <c r="I49" s="77">
        <f>1042566</f>
        <v>1042566</v>
      </c>
      <c r="J49" s="34">
        <f>IF($D$49=0,"",100*$D49/$D$49)</f>
        <v>100</v>
      </c>
      <c r="K49" s="34">
        <f>IF(C49=0,"",100*D49/C49)</f>
        <v>87.34073066584034</v>
      </c>
      <c r="L49" s="22"/>
      <c r="M49" s="74"/>
    </row>
    <row r="50" spans="2:16" x14ac:dyDescent="0.2">
      <c r="B50" s="94" t="s">
        <v>14</v>
      </c>
      <c r="C50" s="16">
        <f>535258678.79</f>
        <v>535258678.79000002</v>
      </c>
      <c r="D50" s="16">
        <f>356267922.95</f>
        <v>356267922.94999999</v>
      </c>
      <c r="E50" s="16">
        <f>356882121.33</f>
        <v>356882121.32999998</v>
      </c>
      <c r="F50" s="16">
        <f>31523220.47</f>
        <v>31523220.469999999</v>
      </c>
      <c r="G50" s="16">
        <f>0</f>
        <v>0</v>
      </c>
      <c r="H50" s="16">
        <f>0</f>
        <v>0</v>
      </c>
      <c r="I50" s="78">
        <f>925973</f>
        <v>925973</v>
      </c>
      <c r="J50" s="34">
        <f t="shared" ref="J50:J58" si="3">IF($D$49=0,"",100*$D50/$D$49)</f>
        <v>11.194116230214204</v>
      </c>
      <c r="K50" s="34">
        <f t="shared" ref="K50:K58" si="4">IF(C50=0,"",100*D50/C50)</f>
        <v>66.559952611207621</v>
      </c>
      <c r="L50" s="22"/>
      <c r="M50" s="76"/>
    </row>
    <row r="51" spans="2:16" ht="12.75" customHeight="1" outlineLevel="1" x14ac:dyDescent="0.2">
      <c r="B51" s="56" t="s">
        <v>13</v>
      </c>
      <c r="C51" s="53">
        <f>500363962.9</f>
        <v>500363962.89999998</v>
      </c>
      <c r="D51" s="53">
        <f>348099028.35</f>
        <v>348099028.35000002</v>
      </c>
      <c r="E51" s="53">
        <f>348713226.73</f>
        <v>348713226.73000002</v>
      </c>
      <c r="F51" s="53">
        <f>29523220.47</f>
        <v>29523220.469999999</v>
      </c>
      <c r="G51" s="53">
        <f>0</f>
        <v>0</v>
      </c>
      <c r="H51" s="53">
        <f>0</f>
        <v>0</v>
      </c>
      <c r="I51" s="79">
        <f>925973</f>
        <v>925973</v>
      </c>
      <c r="J51" s="34">
        <f t="shared" si="3"/>
        <v>10.9374454784171</v>
      </c>
      <c r="K51" s="34">
        <f t="shared" si="4"/>
        <v>69.569164480290354</v>
      </c>
      <c r="L51" s="22"/>
      <c r="M51" s="75"/>
    </row>
    <row r="52" spans="2:16" ht="27" customHeight="1" x14ac:dyDescent="0.2">
      <c r="B52" s="95" t="s">
        <v>31</v>
      </c>
      <c r="C52" s="59">
        <f t="shared" ref="C52:I52" si="5">C49-C50</f>
        <v>3108671854.4299998</v>
      </c>
      <c r="D52" s="67">
        <f>D49-D50</f>
        <v>2826367629.7200003</v>
      </c>
      <c r="E52" s="67">
        <f>E49-E50</f>
        <v>2830806321.3099999</v>
      </c>
      <c r="F52" s="59">
        <f t="shared" si="5"/>
        <v>199699341.74000001</v>
      </c>
      <c r="G52" s="59">
        <f t="shared" si="5"/>
        <v>0</v>
      </c>
      <c r="H52" s="59">
        <f t="shared" si="5"/>
        <v>13420689.119999999</v>
      </c>
      <c r="I52" s="78">
        <f t="shared" si="5"/>
        <v>116593</v>
      </c>
      <c r="J52" s="34">
        <f t="shared" si="3"/>
        <v>88.805883769785794</v>
      </c>
      <c r="K52" s="34">
        <f t="shared" si="4"/>
        <v>90.91881556080925</v>
      </c>
      <c r="L52" s="22"/>
      <c r="M52" s="76"/>
    </row>
    <row r="53" spans="2:16" ht="22.5" outlineLevel="1" x14ac:dyDescent="0.2">
      <c r="B53" s="56" t="s">
        <v>74</v>
      </c>
      <c r="C53" s="53">
        <f>235260181.28</f>
        <v>235260181.28</v>
      </c>
      <c r="D53" s="53">
        <f>218799832.12</f>
        <v>218799832.12</v>
      </c>
      <c r="E53" s="53">
        <f>218950750.68</f>
        <v>218950750.68000001</v>
      </c>
      <c r="F53" s="53">
        <f>18355073.67</f>
        <v>18355073.670000002</v>
      </c>
      <c r="G53" s="53">
        <f>0</f>
        <v>0</v>
      </c>
      <c r="H53" s="53">
        <f>0.61</f>
        <v>0.61</v>
      </c>
      <c r="I53" s="79">
        <f>9300</f>
        <v>9300</v>
      </c>
      <c r="J53" s="34">
        <f t="shared" si="3"/>
        <v>6.8748000988188176</v>
      </c>
      <c r="K53" s="34">
        <f t="shared" si="4"/>
        <v>93.003342482164726</v>
      </c>
      <c r="L53" s="22"/>
      <c r="M53" s="75"/>
    </row>
    <row r="54" spans="2:16" ht="12.75" customHeight="1" outlineLevel="1" x14ac:dyDescent="0.2">
      <c r="B54" s="56" t="s">
        <v>27</v>
      </c>
      <c r="C54" s="61">
        <f>38146518.67</f>
        <v>38146518.670000002</v>
      </c>
      <c r="D54" s="61">
        <f>36001192.43</f>
        <v>36001192.43</v>
      </c>
      <c r="E54" s="61">
        <f>36001192.43</f>
        <v>36001192.43</v>
      </c>
      <c r="F54" s="61">
        <f>987.08</f>
        <v>987.08</v>
      </c>
      <c r="G54" s="61">
        <f>0</f>
        <v>0</v>
      </c>
      <c r="H54" s="61">
        <f>0</f>
        <v>0</v>
      </c>
      <c r="I54" s="80">
        <f>0</f>
        <v>0</v>
      </c>
      <c r="J54" s="34">
        <f t="shared" si="3"/>
        <v>1.1311754624181714</v>
      </c>
      <c r="K54" s="34">
        <f t="shared" si="4"/>
        <v>94.376089051378685</v>
      </c>
      <c r="L54" s="22"/>
      <c r="M54" s="75"/>
    </row>
    <row r="55" spans="2:16" ht="12.75" customHeight="1" outlineLevel="1" x14ac:dyDescent="0.2">
      <c r="B55" s="56" t="s">
        <v>26</v>
      </c>
      <c r="C55" s="53">
        <f>19848633</f>
        <v>19848633</v>
      </c>
      <c r="D55" s="53">
        <f>14130446.21</f>
        <v>14130446.210000001</v>
      </c>
      <c r="E55" s="53">
        <f>14130446.21</f>
        <v>14130446.210000001</v>
      </c>
      <c r="F55" s="53">
        <f>680791.52</f>
        <v>680791.52</v>
      </c>
      <c r="G55" s="53">
        <f>0</f>
        <v>0</v>
      </c>
      <c r="H55" s="53">
        <f>0</f>
        <v>0</v>
      </c>
      <c r="I55" s="79">
        <f>0</f>
        <v>0</v>
      </c>
      <c r="J55" s="34">
        <f t="shared" si="3"/>
        <v>0.44398568344231504</v>
      </c>
      <c r="K55" s="34">
        <f t="shared" si="4"/>
        <v>71.191029679474653</v>
      </c>
      <c r="L55" s="22"/>
      <c r="M55" s="75"/>
    </row>
    <row r="56" spans="2:16" ht="22.5" customHeight="1" outlineLevel="1" x14ac:dyDescent="0.2">
      <c r="B56" s="56" t="s">
        <v>37</v>
      </c>
      <c r="C56" s="61">
        <f>0</f>
        <v>0</v>
      </c>
      <c r="D56" s="61">
        <f>0</f>
        <v>0</v>
      </c>
      <c r="E56" s="61">
        <f>0</f>
        <v>0</v>
      </c>
      <c r="F56" s="61">
        <f>0</f>
        <v>0</v>
      </c>
      <c r="G56" s="61">
        <f>0</f>
        <v>0</v>
      </c>
      <c r="H56" s="61">
        <f>0</f>
        <v>0</v>
      </c>
      <c r="I56" s="80">
        <f>0</f>
        <v>0</v>
      </c>
      <c r="J56" s="34">
        <f t="shared" si="3"/>
        <v>0</v>
      </c>
      <c r="K56" s="34" t="str">
        <f t="shared" si="4"/>
        <v/>
      </c>
      <c r="L56" s="22"/>
      <c r="M56" s="75"/>
    </row>
    <row r="57" spans="2:16" ht="22.5" outlineLevel="1" x14ac:dyDescent="0.2">
      <c r="B57" s="56" t="s">
        <v>38</v>
      </c>
      <c r="C57" s="61">
        <f>3043634.44</f>
        <v>3043634.44</v>
      </c>
      <c r="D57" s="61">
        <f>1748294.75</f>
        <v>1748294.75</v>
      </c>
      <c r="E57" s="61">
        <f>1748294.75</f>
        <v>1748294.75</v>
      </c>
      <c r="F57" s="61">
        <f>77965.23</f>
        <v>77965.23</v>
      </c>
      <c r="G57" s="61">
        <f>0</f>
        <v>0</v>
      </c>
      <c r="H57" s="61">
        <f>0</f>
        <v>0</v>
      </c>
      <c r="I57" s="81">
        <f>0</f>
        <v>0</v>
      </c>
      <c r="J57" s="34">
        <f t="shared" si="3"/>
        <v>5.4932294982166827E-2</v>
      </c>
      <c r="K57" s="34">
        <f t="shared" si="4"/>
        <v>57.441022713621287</v>
      </c>
      <c r="L57" s="22"/>
      <c r="M57" s="75"/>
    </row>
    <row r="58" spans="2:16" ht="12.75" customHeight="1" outlineLevel="1" x14ac:dyDescent="0.2">
      <c r="B58" s="56" t="s">
        <v>25</v>
      </c>
      <c r="C58" s="53">
        <f t="shared" ref="C58:I58" si="6">C52-C53-C54-C55-C56-C57</f>
        <v>2812372887.0399995</v>
      </c>
      <c r="D58" s="53">
        <f>D52-D53-D54-D55-D56-D57</f>
        <v>2555687864.2100005</v>
      </c>
      <c r="E58" s="71">
        <f>E52-E53-E54-E55-E56-E57</f>
        <v>2559975637.2400002</v>
      </c>
      <c r="F58" s="71">
        <f t="shared" si="6"/>
        <v>180584524.23999998</v>
      </c>
      <c r="G58" s="71">
        <f t="shared" si="6"/>
        <v>0</v>
      </c>
      <c r="H58" s="71">
        <f t="shared" si="6"/>
        <v>13420688.51</v>
      </c>
      <c r="I58" s="82">
        <f t="shared" si="6"/>
        <v>107293</v>
      </c>
      <c r="J58" s="34">
        <f t="shared" si="3"/>
        <v>80.300990230124341</v>
      </c>
      <c r="K58" s="34">
        <f t="shared" si="4"/>
        <v>90.873008909563268</v>
      </c>
      <c r="L58" s="22"/>
      <c r="M58" s="75"/>
    </row>
    <row r="59" spans="2:16" x14ac:dyDescent="0.2">
      <c r="B59" s="93" t="s">
        <v>15</v>
      </c>
      <c r="C59" s="59">
        <f>C6-C49</f>
        <v>-318106343.90999985</v>
      </c>
      <c r="D59" s="67">
        <f>D6-D49</f>
        <v>138824010.21000004</v>
      </c>
      <c r="E59" s="72"/>
      <c r="F59" s="73"/>
      <c r="G59" s="73"/>
      <c r="H59" s="73"/>
      <c r="I59" s="143"/>
      <c r="J59" s="143"/>
      <c r="K59" s="62"/>
      <c r="L59" s="62"/>
      <c r="M59" s="43"/>
    </row>
    <row r="60" spans="2:16" ht="7.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2:16" ht="18" customHeight="1" x14ac:dyDescent="0.2">
      <c r="B61" s="112" t="str">
        <f>CONCATENATE("Informacja z wykonania budżetów związków jednostek samorządu terytorialnego za ",$D$92," ",$C$93," rok        ",$C$95,"")</f>
        <v xml:space="preserve">Informacja z wykonania budżetów związków jednostek samorządu terytorialnego za IV Kwartały 2022 rok        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50"/>
    </row>
    <row r="62" spans="2:16" x14ac:dyDescent="0.2">
      <c r="B62" s="46" t="s">
        <v>16</v>
      </c>
      <c r="C62" s="69" t="s">
        <v>17</v>
      </c>
      <c r="D62" s="69" t="s">
        <v>1</v>
      </c>
      <c r="E62" s="121" t="s">
        <v>81</v>
      </c>
      <c r="F62" s="122"/>
      <c r="G62" s="122"/>
      <c r="H62" s="122"/>
      <c r="I62" s="123"/>
      <c r="J62" s="40" t="s">
        <v>21</v>
      </c>
      <c r="K62" s="40" t="s">
        <v>22</v>
      </c>
      <c r="L62" s="37"/>
      <c r="M62" s="37"/>
      <c r="N62" s="37"/>
      <c r="O62" s="37"/>
      <c r="P62" s="37"/>
    </row>
    <row r="63" spans="2:16" x14ac:dyDescent="0.2">
      <c r="B63" s="46"/>
      <c r="C63" s="145" t="s">
        <v>41</v>
      </c>
      <c r="D63" s="146"/>
      <c r="E63" s="124"/>
      <c r="F63" s="125"/>
      <c r="G63" s="125"/>
      <c r="H63" s="125"/>
      <c r="I63" s="126"/>
      <c r="J63" s="136" t="s">
        <v>4</v>
      </c>
      <c r="K63" s="137"/>
      <c r="L63" s="37"/>
      <c r="M63" s="37"/>
      <c r="N63" s="37"/>
      <c r="O63" s="37"/>
      <c r="P63" s="37"/>
    </row>
    <row r="64" spans="2:16" x14ac:dyDescent="0.2">
      <c r="B64" s="47">
        <v>1</v>
      </c>
      <c r="C64" s="48">
        <v>2</v>
      </c>
      <c r="D64" s="48">
        <v>3</v>
      </c>
      <c r="E64" s="127"/>
      <c r="F64" s="128"/>
      <c r="G64" s="128"/>
      <c r="H64" s="128"/>
      <c r="I64" s="129"/>
      <c r="J64" s="49">
        <v>4</v>
      </c>
      <c r="K64" s="49">
        <v>5</v>
      </c>
      <c r="L64" s="37"/>
      <c r="M64" s="37"/>
      <c r="N64" s="37"/>
      <c r="O64" s="37"/>
      <c r="P64" s="37"/>
    </row>
    <row r="65" spans="2:16" ht="27" customHeight="1" x14ac:dyDescent="0.2">
      <c r="B65" s="106" t="s">
        <v>32</v>
      </c>
      <c r="C65" s="27">
        <f>384384255.58</f>
        <v>384384255.57999998</v>
      </c>
      <c r="D65" s="27">
        <f>1187502372.76</f>
        <v>1187502372.76</v>
      </c>
      <c r="E65" s="102" t="s">
        <v>81</v>
      </c>
      <c r="F65" s="102" t="s">
        <v>81</v>
      </c>
      <c r="G65" s="102" t="s">
        <v>81</v>
      </c>
      <c r="H65" s="102" t="s">
        <v>81</v>
      </c>
      <c r="I65" s="102" t="s">
        <v>81</v>
      </c>
      <c r="J65" s="25">
        <f>IF($D$65=0,"",100*$D65/$D$65)</f>
        <v>100</v>
      </c>
      <c r="K65" s="21">
        <f t="shared" ref="K65:K78" si="7">IF(C65=0,"",100*D65/C65)</f>
        <v>308.9362676856183</v>
      </c>
      <c r="L65" s="37"/>
      <c r="M65" s="37"/>
      <c r="N65" s="37"/>
      <c r="O65" s="37"/>
      <c r="P65" s="37"/>
    </row>
    <row r="66" spans="2:16" ht="22.5" x14ac:dyDescent="0.2">
      <c r="B66" s="108" t="s">
        <v>62</v>
      </c>
      <c r="C66" s="28">
        <f>46249844</f>
        <v>46249844</v>
      </c>
      <c r="D66" s="28">
        <f>46023942.98</f>
        <v>46023942.979999997</v>
      </c>
      <c r="E66" s="103" t="s">
        <v>81</v>
      </c>
      <c r="F66" s="103" t="s">
        <v>81</v>
      </c>
      <c r="G66" s="103" t="s">
        <v>81</v>
      </c>
      <c r="H66" s="103" t="s">
        <v>81</v>
      </c>
      <c r="I66" s="103" t="s">
        <v>81</v>
      </c>
      <c r="J66" s="32">
        <f t="shared" ref="J66:J73" si="8">IF($D$65=0,"",100*$D66/$D$65)</f>
        <v>3.8756927173990299</v>
      </c>
      <c r="K66" s="33">
        <f t="shared" si="7"/>
        <v>99.511563714679767</v>
      </c>
      <c r="L66" s="37"/>
      <c r="M66" s="37"/>
      <c r="N66" s="37"/>
      <c r="O66" s="37"/>
      <c r="P66" s="37"/>
    </row>
    <row r="67" spans="2:16" ht="22.5" x14ac:dyDescent="0.2">
      <c r="B67" s="109" t="s">
        <v>63</v>
      </c>
      <c r="C67" s="64">
        <f>2203000</f>
        <v>2203000</v>
      </c>
      <c r="D67" s="64">
        <f>2119869.05</f>
        <v>2119869.0499999998</v>
      </c>
      <c r="E67" s="103" t="s">
        <v>81</v>
      </c>
      <c r="F67" s="103" t="s">
        <v>81</v>
      </c>
      <c r="G67" s="103" t="s">
        <v>81</v>
      </c>
      <c r="H67" s="103" t="s">
        <v>81</v>
      </c>
      <c r="I67" s="103" t="s">
        <v>81</v>
      </c>
      <c r="J67" s="65">
        <f t="shared" si="8"/>
        <v>0.17851493172792468</v>
      </c>
      <c r="K67" s="60">
        <f t="shared" si="7"/>
        <v>96.226466182478418</v>
      </c>
      <c r="L67" s="37"/>
      <c r="M67" s="37"/>
      <c r="N67" s="37"/>
      <c r="O67" s="37"/>
      <c r="P67" s="37"/>
    </row>
    <row r="68" spans="2:16" ht="12.75" customHeight="1" x14ac:dyDescent="0.2">
      <c r="B68" s="63" t="s">
        <v>64</v>
      </c>
      <c r="C68" s="64">
        <f>150000</f>
        <v>150000</v>
      </c>
      <c r="D68" s="64">
        <f>150000</f>
        <v>150000</v>
      </c>
      <c r="E68" s="103" t="s">
        <v>81</v>
      </c>
      <c r="F68" s="103" t="s">
        <v>81</v>
      </c>
      <c r="G68" s="103" t="s">
        <v>81</v>
      </c>
      <c r="H68" s="103" t="s">
        <v>81</v>
      </c>
      <c r="I68" s="103" t="s">
        <v>81</v>
      </c>
      <c r="J68" s="65">
        <f t="shared" si="8"/>
        <v>1.2631553708088104E-2</v>
      </c>
      <c r="K68" s="60">
        <f t="shared" si="7"/>
        <v>100</v>
      </c>
      <c r="L68" s="37"/>
      <c r="M68" s="37"/>
      <c r="N68" s="37"/>
      <c r="O68" s="37"/>
      <c r="P68" s="37"/>
    </row>
    <row r="69" spans="2:16" ht="60" customHeight="1" x14ac:dyDescent="0.2">
      <c r="B69" s="63" t="s">
        <v>75</v>
      </c>
      <c r="C69" s="64">
        <f>253849386.83</f>
        <v>253849386.83000001</v>
      </c>
      <c r="D69" s="64">
        <f>1009719408.52</f>
        <v>1009719408.52</v>
      </c>
      <c r="E69" s="103" t="s">
        <v>81</v>
      </c>
      <c r="F69" s="103" t="s">
        <v>81</v>
      </c>
      <c r="G69" s="103" t="s">
        <v>81</v>
      </c>
      <c r="H69" s="103" t="s">
        <v>81</v>
      </c>
      <c r="I69" s="103" t="s">
        <v>81</v>
      </c>
      <c r="J69" s="65">
        <f t="shared" si="8"/>
        <v>85.028832925462225</v>
      </c>
      <c r="K69" s="60">
        <f t="shared" si="7"/>
        <v>397.76318593048143</v>
      </c>
      <c r="L69" s="37"/>
      <c r="M69" s="37"/>
      <c r="N69" s="37"/>
      <c r="O69" s="37"/>
      <c r="P69" s="37"/>
    </row>
    <row r="70" spans="2:16" ht="35.25" customHeight="1" x14ac:dyDescent="0.2">
      <c r="B70" s="63" t="s">
        <v>77</v>
      </c>
      <c r="C70" s="64">
        <f>27154457.04</f>
        <v>27154457.039999999</v>
      </c>
      <c r="D70" s="64">
        <f>35376832.9</f>
        <v>35376832.899999999</v>
      </c>
      <c r="E70" s="103" t="s">
        <v>81</v>
      </c>
      <c r="F70" s="103" t="s">
        <v>81</v>
      </c>
      <c r="G70" s="103" t="s">
        <v>81</v>
      </c>
      <c r="H70" s="103" t="s">
        <v>81</v>
      </c>
      <c r="I70" s="103" t="s">
        <v>81</v>
      </c>
      <c r="J70" s="65">
        <f t="shared" si="8"/>
        <v>2.9790957653227217</v>
      </c>
      <c r="K70" s="60">
        <f t="shared" si="7"/>
        <v>130.28002308382742</v>
      </c>
      <c r="L70" s="37"/>
      <c r="M70" s="37"/>
      <c r="N70" s="37"/>
      <c r="O70" s="37"/>
      <c r="P70" s="37"/>
    </row>
    <row r="71" spans="2:16" ht="12.75" customHeight="1" x14ac:dyDescent="0.2">
      <c r="B71" s="63" t="s">
        <v>65</v>
      </c>
      <c r="C71" s="64">
        <f>0</f>
        <v>0</v>
      </c>
      <c r="D71" s="64">
        <f>0</f>
        <v>0</v>
      </c>
      <c r="E71" s="103" t="s">
        <v>81</v>
      </c>
      <c r="F71" s="103" t="s">
        <v>81</v>
      </c>
      <c r="G71" s="103" t="s">
        <v>81</v>
      </c>
      <c r="H71" s="103" t="s">
        <v>81</v>
      </c>
      <c r="I71" s="103" t="s">
        <v>81</v>
      </c>
      <c r="J71" s="65">
        <f t="shared" si="8"/>
        <v>0</v>
      </c>
      <c r="K71" s="60" t="str">
        <f t="shared" si="7"/>
        <v/>
      </c>
      <c r="L71" s="37"/>
      <c r="M71" s="37"/>
      <c r="N71" s="37"/>
      <c r="O71" s="37"/>
      <c r="P71" s="37"/>
    </row>
    <row r="72" spans="2:16" ht="33.75" x14ac:dyDescent="0.2">
      <c r="B72" s="63" t="s">
        <v>66</v>
      </c>
      <c r="C72" s="64">
        <f>49897567.71</f>
        <v>49897567.710000001</v>
      </c>
      <c r="D72" s="64">
        <f>89149351.96</f>
        <v>89149351.959999993</v>
      </c>
      <c r="E72" s="103" t="s">
        <v>81</v>
      </c>
      <c r="F72" s="103" t="s">
        <v>81</v>
      </c>
      <c r="G72" s="103" t="s">
        <v>81</v>
      </c>
      <c r="H72" s="103" t="s">
        <v>81</v>
      </c>
      <c r="I72" s="103" t="s">
        <v>81</v>
      </c>
      <c r="J72" s="65">
        <f t="shared" si="8"/>
        <v>7.507298848826597</v>
      </c>
      <c r="K72" s="60">
        <f t="shared" si="7"/>
        <v>178.66472465777832</v>
      </c>
      <c r="L72" s="37"/>
      <c r="M72" s="37"/>
      <c r="N72" s="37"/>
      <c r="O72" s="37"/>
      <c r="P72" s="37"/>
    </row>
    <row r="73" spans="2:16" ht="12.75" customHeight="1" x14ac:dyDescent="0.2">
      <c r="B73" s="63" t="s">
        <v>43</v>
      </c>
      <c r="C73" s="64">
        <f>7083000</f>
        <v>7083000</v>
      </c>
      <c r="D73" s="64">
        <f>7082836.4</f>
        <v>7082836.4000000004</v>
      </c>
      <c r="E73" s="103" t="s">
        <v>81</v>
      </c>
      <c r="F73" s="103" t="s">
        <v>81</v>
      </c>
      <c r="G73" s="103" t="s">
        <v>81</v>
      </c>
      <c r="H73" s="103" t="s">
        <v>81</v>
      </c>
      <c r="I73" s="103" t="s">
        <v>81</v>
      </c>
      <c r="J73" s="65">
        <f t="shared" si="8"/>
        <v>0.59644818928134269</v>
      </c>
      <c r="K73" s="60">
        <f t="shared" si="7"/>
        <v>99.997690244246783</v>
      </c>
      <c r="L73" s="37"/>
      <c r="M73" s="37"/>
      <c r="N73" s="37"/>
      <c r="O73" s="37"/>
      <c r="P73" s="37"/>
    </row>
    <row r="74" spans="2:16" ht="27" customHeight="1" x14ac:dyDescent="0.2">
      <c r="B74" s="106" t="s">
        <v>33</v>
      </c>
      <c r="C74" s="31">
        <f>66277911.67</f>
        <v>66277911.670000002</v>
      </c>
      <c r="D74" s="31">
        <f>69125480.39</f>
        <v>69125480.390000001</v>
      </c>
      <c r="E74" s="104" t="s">
        <v>81</v>
      </c>
      <c r="F74" s="104" t="s">
        <v>81</v>
      </c>
      <c r="G74" s="104" t="s">
        <v>81</v>
      </c>
      <c r="H74" s="104" t="s">
        <v>81</v>
      </c>
      <c r="I74" s="104" t="s">
        <v>81</v>
      </c>
      <c r="J74" s="25">
        <f>IF($D$74=0,"",100*$D74/$D$74)</f>
        <v>100</v>
      </c>
      <c r="K74" s="21">
        <f t="shared" si="7"/>
        <v>104.29640682430994</v>
      </c>
      <c r="L74" s="37"/>
      <c r="M74" s="37"/>
      <c r="N74" s="37"/>
      <c r="O74" s="37"/>
      <c r="P74" s="37"/>
    </row>
    <row r="75" spans="2:16" ht="22.5" x14ac:dyDescent="0.2">
      <c r="B75" s="108" t="s">
        <v>67</v>
      </c>
      <c r="C75" s="28">
        <f>41694726.81</f>
        <v>41694726.810000002</v>
      </c>
      <c r="D75" s="30">
        <f>41621363.52</f>
        <v>41621363.520000003</v>
      </c>
      <c r="E75" s="105" t="s">
        <v>81</v>
      </c>
      <c r="F75" s="105" t="s">
        <v>81</v>
      </c>
      <c r="G75" s="105" t="s">
        <v>81</v>
      </c>
      <c r="H75" s="105" t="s">
        <v>81</v>
      </c>
      <c r="I75" s="105" t="s">
        <v>81</v>
      </c>
      <c r="J75" s="32">
        <f>IF($D$74=0,"",100*$D75/$D$74)</f>
        <v>60.211319017496677</v>
      </c>
      <c r="K75" s="33">
        <f t="shared" si="7"/>
        <v>99.824046598663884</v>
      </c>
      <c r="L75" s="37"/>
      <c r="M75" s="37"/>
      <c r="N75" s="37"/>
      <c r="O75" s="37"/>
      <c r="P75" s="37"/>
    </row>
    <row r="76" spans="2:16" ht="12.75" customHeight="1" x14ac:dyDescent="0.2">
      <c r="B76" s="109" t="s">
        <v>68</v>
      </c>
      <c r="C76" s="64">
        <f>0</f>
        <v>0</v>
      </c>
      <c r="D76" s="64">
        <f>0</f>
        <v>0</v>
      </c>
      <c r="E76" s="105" t="s">
        <v>81</v>
      </c>
      <c r="F76" s="105" t="s">
        <v>81</v>
      </c>
      <c r="G76" s="105" t="s">
        <v>81</v>
      </c>
      <c r="H76" s="105" t="s">
        <v>81</v>
      </c>
      <c r="I76" s="105" t="s">
        <v>81</v>
      </c>
      <c r="J76" s="65">
        <f>IF($D$74=0,"",100*$D76/$D$74)</f>
        <v>0</v>
      </c>
      <c r="K76" s="60" t="str">
        <f t="shared" si="7"/>
        <v/>
      </c>
      <c r="L76" s="37"/>
      <c r="M76" s="37"/>
      <c r="N76" s="37"/>
      <c r="O76" s="37"/>
      <c r="P76" s="37"/>
    </row>
    <row r="77" spans="2:16" ht="12.75" customHeight="1" x14ac:dyDescent="0.2">
      <c r="B77" s="63" t="s">
        <v>76</v>
      </c>
      <c r="C77" s="64">
        <f>0</f>
        <v>0</v>
      </c>
      <c r="D77" s="64">
        <f>0</f>
        <v>0</v>
      </c>
      <c r="E77" s="105" t="s">
        <v>81</v>
      </c>
      <c r="F77" s="105" t="s">
        <v>81</v>
      </c>
      <c r="G77" s="105" t="s">
        <v>81</v>
      </c>
      <c r="H77" s="105" t="s">
        <v>81</v>
      </c>
      <c r="I77" s="105" t="s">
        <v>81</v>
      </c>
      <c r="J77" s="65">
        <f>IF($D$74=0,"",100*$D77/$D$74)</f>
        <v>0</v>
      </c>
      <c r="K77" s="60" t="str">
        <f t="shared" si="7"/>
        <v/>
      </c>
      <c r="L77" s="37"/>
      <c r="M77" s="37"/>
      <c r="N77" s="37"/>
      <c r="O77" s="37"/>
      <c r="P77" s="37"/>
    </row>
    <row r="78" spans="2:16" ht="12.75" customHeight="1" x14ac:dyDescent="0.2">
      <c r="B78" s="63" t="s">
        <v>23</v>
      </c>
      <c r="C78" s="64">
        <f>24583184.86</f>
        <v>24583184.859999999</v>
      </c>
      <c r="D78" s="64">
        <f>27504116.87</f>
        <v>27504116.870000001</v>
      </c>
      <c r="E78" s="105" t="s">
        <v>81</v>
      </c>
      <c r="F78" s="105" t="s">
        <v>81</v>
      </c>
      <c r="G78" s="105" t="s">
        <v>81</v>
      </c>
      <c r="H78" s="105" t="s">
        <v>81</v>
      </c>
      <c r="I78" s="105" t="s">
        <v>81</v>
      </c>
      <c r="J78" s="65">
        <f>IF($D$74=0,"",100*$D78/$D$74)</f>
        <v>39.78868098250333</v>
      </c>
      <c r="K78" s="60">
        <f t="shared" si="7"/>
        <v>111.88182909022798</v>
      </c>
      <c r="L78" s="37"/>
      <c r="M78" s="37"/>
      <c r="N78" s="37"/>
      <c r="O78" s="37"/>
      <c r="P78" s="37"/>
    </row>
    <row r="79" spans="2:16" x14ac:dyDescent="0.2">
      <c r="B79" s="22"/>
      <c r="C79" s="22"/>
      <c r="D79" s="22"/>
      <c r="E79" s="22"/>
      <c r="F79" s="22"/>
      <c r="G79" s="22"/>
      <c r="H79" s="22"/>
      <c r="I79" s="37"/>
      <c r="J79" s="37"/>
      <c r="K79" s="37"/>
      <c r="L79" s="37"/>
      <c r="M79" s="37"/>
    </row>
    <row r="80" spans="2:16" x14ac:dyDescent="0.2">
      <c r="B80" s="44" t="s">
        <v>16</v>
      </c>
      <c r="C80" s="70" t="s">
        <v>17</v>
      </c>
      <c r="D80" s="13" t="s">
        <v>1</v>
      </c>
      <c r="E80" s="37"/>
      <c r="F80" s="37"/>
      <c r="G80" s="37"/>
      <c r="H80" s="37"/>
      <c r="I80" s="37"/>
    </row>
    <row r="81" spans="2:13" x14ac:dyDescent="0.2">
      <c r="B81" s="44"/>
      <c r="C81" s="147" t="s">
        <v>41</v>
      </c>
      <c r="D81" s="148"/>
      <c r="E81" s="37"/>
      <c r="F81" s="37"/>
      <c r="G81" s="37"/>
      <c r="H81" s="37"/>
      <c r="I81" s="37"/>
    </row>
    <row r="82" spans="2:13" x14ac:dyDescent="0.2">
      <c r="B82" s="23">
        <v>1</v>
      </c>
      <c r="C82" s="26">
        <v>2</v>
      </c>
      <c r="D82" s="24">
        <v>3</v>
      </c>
      <c r="E82" s="37"/>
      <c r="F82" s="37"/>
      <c r="G82" s="37"/>
      <c r="H82" s="37"/>
      <c r="I82" s="37"/>
    </row>
    <row r="83" spans="2:13" ht="36.75" customHeight="1" x14ac:dyDescent="0.2">
      <c r="B83" s="107" t="s">
        <v>82</v>
      </c>
      <c r="C83" s="29">
        <f>326959729.93</f>
        <v>326959729.93000001</v>
      </c>
      <c r="D83" s="85">
        <f>60067186.23</f>
        <v>60067186.229999997</v>
      </c>
      <c r="E83" s="37"/>
      <c r="F83" s="37"/>
      <c r="G83" s="37"/>
      <c r="H83" s="37"/>
      <c r="I83" s="37"/>
    </row>
    <row r="84" spans="2:13" ht="36" customHeight="1" x14ac:dyDescent="0.2">
      <c r="B84" s="110" t="s">
        <v>44</v>
      </c>
      <c r="C84" s="30">
        <f>2203000</f>
        <v>2203000</v>
      </c>
      <c r="D84" s="84">
        <f>2119869.05</f>
        <v>2119869.0499999998</v>
      </c>
      <c r="E84" s="37"/>
      <c r="F84" s="37"/>
      <c r="G84" s="37"/>
      <c r="H84" s="37"/>
      <c r="I84" s="37"/>
    </row>
    <row r="85" spans="2:13" ht="12.75" customHeight="1" x14ac:dyDescent="0.2">
      <c r="B85" s="110" t="s">
        <v>45</v>
      </c>
      <c r="C85" s="30">
        <f>27508877.25</f>
        <v>27508877.25</v>
      </c>
      <c r="D85" s="84">
        <f>20416814.71</f>
        <v>20416814.710000001</v>
      </c>
      <c r="E85" s="37"/>
      <c r="F85" s="37"/>
      <c r="G85" s="37"/>
      <c r="H85" s="37"/>
      <c r="I85" s="37"/>
    </row>
    <row r="86" spans="2:13" ht="25.5" customHeight="1" x14ac:dyDescent="0.2">
      <c r="B86" s="110" t="s">
        <v>46</v>
      </c>
      <c r="C86" s="30">
        <f>0</f>
        <v>0</v>
      </c>
      <c r="D86" s="84">
        <f>0</f>
        <v>0</v>
      </c>
      <c r="E86" s="37"/>
      <c r="F86" s="37"/>
      <c r="G86" s="37"/>
      <c r="H86" s="37"/>
      <c r="I86" s="37"/>
    </row>
    <row r="87" spans="2:13" ht="57.75" customHeight="1" x14ac:dyDescent="0.2">
      <c r="B87" s="110" t="s">
        <v>78</v>
      </c>
      <c r="C87" s="30">
        <f>250755863.03</f>
        <v>250755863.03</v>
      </c>
      <c r="D87" s="84">
        <f>16811628.22</f>
        <v>16811628.219999999</v>
      </c>
      <c r="E87" s="37"/>
      <c r="F87" s="37"/>
      <c r="G87" s="37"/>
      <c r="H87" s="37"/>
      <c r="I87" s="37"/>
    </row>
    <row r="88" spans="2:13" ht="84" customHeight="1" x14ac:dyDescent="0.2">
      <c r="B88" s="110" t="s">
        <v>47</v>
      </c>
      <c r="C88" s="30">
        <f>21382502.43</f>
        <v>21382502.43</v>
      </c>
      <c r="D88" s="84">
        <f>2724736.37</f>
        <v>2724736.37</v>
      </c>
      <c r="E88" s="37"/>
      <c r="F88" s="37"/>
      <c r="G88" s="37"/>
      <c r="H88" s="37"/>
      <c r="I88" s="37"/>
    </row>
    <row r="89" spans="2:13" ht="149.25" customHeight="1" x14ac:dyDescent="0.2">
      <c r="B89" s="110" t="s">
        <v>79</v>
      </c>
      <c r="C89" s="30">
        <f>24959487.22</f>
        <v>24959487.219999999</v>
      </c>
      <c r="D89" s="84">
        <f>17844137.88</f>
        <v>17844137.879999999</v>
      </c>
      <c r="E89" s="37"/>
      <c r="F89" s="37"/>
      <c r="G89" s="37"/>
      <c r="H89" s="37"/>
      <c r="I89" s="37"/>
    </row>
    <row r="90" spans="2:13" ht="24" customHeight="1" x14ac:dyDescent="0.2">
      <c r="B90" s="110" t="s">
        <v>80</v>
      </c>
      <c r="C90" s="30">
        <f>150000</f>
        <v>150000</v>
      </c>
      <c r="D90" s="84">
        <f>150000</f>
        <v>150000</v>
      </c>
      <c r="E90" s="37"/>
      <c r="F90" s="37"/>
      <c r="G90" s="37"/>
      <c r="H90" s="37"/>
      <c r="I90" s="37"/>
    </row>
    <row r="91" spans="2:13" ht="13.5" customHeight="1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2:13" x14ac:dyDescent="0.2">
      <c r="B92" s="116" t="s">
        <v>34</v>
      </c>
      <c r="C92" s="114">
        <f>4</f>
        <v>4</v>
      </c>
      <c r="D92" s="114" t="str">
        <f>IF(C92=1,"I Kwartał",IF(C92=2,"II Kwartały",IF(C92=3,"III Kwartały",IF(C92=4,"IV Kwartały",IF(C92="M1","Styczeń",IF(C92="M11","Listopad",IF(C92="M12","Grudzień","-")))))))</f>
        <v>IV Kwartały</v>
      </c>
      <c r="E92" s="37"/>
      <c r="F92" s="37"/>
      <c r="G92" s="37"/>
      <c r="H92" s="37"/>
      <c r="I92" s="37"/>
      <c r="J92" s="37"/>
      <c r="K92" s="37"/>
      <c r="L92" s="37"/>
      <c r="M92" s="37"/>
    </row>
    <row r="93" spans="2:13" ht="11.25" customHeight="1" x14ac:dyDescent="0.2">
      <c r="B93" s="116" t="s">
        <v>35</v>
      </c>
      <c r="C93" s="115">
        <f>2022</f>
        <v>2022</v>
      </c>
      <c r="D93" s="36"/>
      <c r="E93" s="37"/>
      <c r="F93" s="37"/>
      <c r="G93" s="37"/>
      <c r="H93" s="37"/>
      <c r="I93" s="37"/>
      <c r="J93" s="37"/>
      <c r="K93" s="37"/>
      <c r="L93" s="37"/>
      <c r="M93" s="37"/>
    </row>
    <row r="94" spans="2:13" ht="10.5" customHeight="1" x14ac:dyDescent="0.2">
      <c r="B94" s="116" t="s">
        <v>36</v>
      </c>
      <c r="C94" s="119" t="str">
        <f>"Mar 23 2023 12:00AM"</f>
        <v>Mar 23 2023 12:00AM</v>
      </c>
      <c r="D94" s="120"/>
      <c r="E94" s="37"/>
      <c r="F94" s="37"/>
      <c r="G94" s="37"/>
      <c r="H94" s="37"/>
      <c r="I94" s="37"/>
      <c r="J94" s="37"/>
      <c r="K94" s="37"/>
      <c r="L94" s="37"/>
      <c r="M94" s="37"/>
    </row>
    <row r="95" spans="2:13" hidden="1" x14ac:dyDescent="0.2">
      <c r="B95" s="1" t="s">
        <v>91</v>
      </c>
      <c r="C95" s="118" t="str">
        <f>""</f>
        <v/>
      </c>
    </row>
  </sheetData>
  <mergeCells count="22">
    <mergeCell ref="B3:B4"/>
    <mergeCell ref="F45:F46"/>
    <mergeCell ref="C63:D63"/>
    <mergeCell ref="C81:D81"/>
    <mergeCell ref="C47:I47"/>
    <mergeCell ref="E4:I5"/>
    <mergeCell ref="C4:D4"/>
    <mergeCell ref="J4:L4"/>
    <mergeCell ref="J47:K47"/>
    <mergeCell ref="E44:E46"/>
    <mergeCell ref="C44:C46"/>
    <mergeCell ref="I59:J59"/>
    <mergeCell ref="G45:H45"/>
    <mergeCell ref="F44:H44"/>
    <mergeCell ref="C94:D94"/>
    <mergeCell ref="E62:I64"/>
    <mergeCell ref="K44:K46"/>
    <mergeCell ref="B44:B47"/>
    <mergeCell ref="I44:I46"/>
    <mergeCell ref="J44:J46"/>
    <mergeCell ref="D44:D46"/>
    <mergeCell ref="J63:K63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40" max="11" man="1"/>
    <brk id="60" max="11" man="1"/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2023-03-29T10:55:30Z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2023-03-29T12:55:27.9671826+02:00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GRN-1c0be3f2-4b45-4ddf-a066-af9cc69975a1</vt:lpwstr>
  </property>
  <property fmtid="{D5CDD505-2E9C-101B-9397-08002B2CF9AE}" pid="7" name="MFHash">
    <vt:lpwstr>5WaIXy3JG86qMncCvRruZUsbrwjfyYGe07uPuQYGJSk=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