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bielicka\Desktop\Nowy folder\"/>
    </mc:Choice>
  </mc:AlternateContent>
  <xr:revisionPtr revIDLastSave="0" documentId="13_ncr:1_{5F604B65-7E6B-4142-8AF0-2AD92F73D698}" xr6:coauthVersionLast="36" xr6:coauthVersionMax="36" xr10:uidLastSave="{00000000-0000-0000-0000-000000000000}"/>
  <bookViews>
    <workbookView xWindow="-28920" yWindow="-120" windowWidth="29040" windowHeight="15840" xr2:uid="{00000000-000D-0000-FFFF-FFFF00000000}"/>
  </bookViews>
  <sheets>
    <sheet name="08 - lubuskie" sheetId="7" r:id="rId1"/>
    <sheet name="pow podst" sheetId="3" r:id="rId2"/>
    <sheet name="gm podst" sheetId="5" r:id="rId3"/>
    <sheet name="pow rez" sheetId="4" r:id="rId4"/>
    <sheet name="gm rez" sheetId="6" r:id="rId5"/>
  </sheets>
  <externalReferences>
    <externalReference r:id="rId6"/>
  </externalReferences>
  <definedNames>
    <definedName name="_xlnm.Print_Area" localSheetId="0">'08 - lubuskie'!$A$1:$O$36</definedName>
    <definedName name="_xlnm.Print_Area" localSheetId="2">'gm podst'!$A$1:$X$52</definedName>
    <definedName name="_xlnm.Print_Area" localSheetId="4">'gm rez'!$A$1:$X$31</definedName>
    <definedName name="_xlnm.Print_Area" localSheetId="1">'pow podst'!$A$1:$W$31</definedName>
    <definedName name="_xlnm.Print_Area" localSheetId="3">'pow rez'!$A$1:$W$10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Y4" i="6" l="1"/>
  <c r="Z4" i="6"/>
  <c r="AA4" i="6" s="1"/>
  <c r="AB4" i="6"/>
  <c r="Y5" i="6"/>
  <c r="Z5" i="6"/>
  <c r="AA5" i="6"/>
  <c r="AB5" i="6"/>
  <c r="Y6" i="6"/>
  <c r="Z6" i="6"/>
  <c r="AA6" i="6" s="1"/>
  <c r="AB6" i="6"/>
  <c r="Y7" i="6"/>
  <c r="Z7" i="6"/>
  <c r="AA7" i="6"/>
  <c r="AB7" i="6"/>
  <c r="Y8" i="6"/>
  <c r="Z8" i="6"/>
  <c r="AA8" i="6" s="1"/>
  <c r="AB8" i="6"/>
  <c r="Y9" i="6"/>
  <c r="Z9" i="6"/>
  <c r="AA9" i="6"/>
  <c r="AB9" i="6"/>
  <c r="Y10" i="6"/>
  <c r="Z10" i="6"/>
  <c r="AA10" i="6" s="1"/>
  <c r="AB10" i="6"/>
  <c r="Y11" i="6"/>
  <c r="Z11" i="6"/>
  <c r="AA11" i="6"/>
  <c r="AB11" i="6"/>
  <c r="Y12" i="6"/>
  <c r="Z12" i="6"/>
  <c r="AA12" i="6" s="1"/>
  <c r="AB12" i="6"/>
  <c r="Y13" i="6"/>
  <c r="Z13" i="6"/>
  <c r="AA13" i="6"/>
  <c r="AB13" i="6"/>
  <c r="Y14" i="6"/>
  <c r="Z14" i="6"/>
  <c r="AA14" i="6" s="1"/>
  <c r="AB14" i="6"/>
  <c r="Y15" i="6"/>
  <c r="Z15" i="6"/>
  <c r="AA15" i="6"/>
  <c r="AB15" i="6"/>
  <c r="Y16" i="6"/>
  <c r="Z16" i="6"/>
  <c r="AA16" i="6" s="1"/>
  <c r="AB16" i="6"/>
  <c r="Y17" i="6"/>
  <c r="Z17" i="6"/>
  <c r="AA17" i="6"/>
  <c r="AB17" i="6"/>
  <c r="Y18" i="6"/>
  <c r="Z18" i="6"/>
  <c r="AA18" i="6" s="1"/>
  <c r="AB18" i="6"/>
  <c r="Y19" i="6"/>
  <c r="Z19" i="6"/>
  <c r="AA19" i="6"/>
  <c r="AB19" i="6"/>
  <c r="Y20" i="6"/>
  <c r="Z20" i="6"/>
  <c r="AA20" i="6" s="1"/>
  <c r="AB20" i="6"/>
  <c r="Y21" i="6"/>
  <c r="Z21" i="6"/>
  <c r="AA21" i="6"/>
  <c r="AB21" i="6"/>
  <c r="Y22" i="6"/>
  <c r="Z22" i="6"/>
  <c r="AA22" i="6" s="1"/>
  <c r="AB22" i="6"/>
  <c r="Y23" i="6"/>
  <c r="Z23" i="6"/>
  <c r="AA23" i="6"/>
  <c r="AB23" i="6"/>
  <c r="Y24" i="6"/>
  <c r="Z24" i="6"/>
  <c r="AA24" i="6" s="1"/>
  <c r="AB24" i="6"/>
  <c r="Y4" i="5"/>
  <c r="Z4" i="5"/>
  <c r="AA4" i="5" s="1"/>
  <c r="AB4" i="5"/>
  <c r="Y5" i="5"/>
  <c r="Z5" i="5"/>
  <c r="AA5" i="5"/>
  <c r="AB5" i="5"/>
  <c r="Y6" i="5"/>
  <c r="Z6" i="5"/>
  <c r="AA6" i="5" s="1"/>
  <c r="AB6" i="5"/>
  <c r="Y7" i="5"/>
  <c r="Z7" i="5"/>
  <c r="AA7" i="5"/>
  <c r="AB7" i="5"/>
  <c r="Y8" i="5"/>
  <c r="Z8" i="5"/>
  <c r="AA8" i="5" s="1"/>
  <c r="AB8" i="5"/>
  <c r="Y9" i="5"/>
  <c r="Z9" i="5"/>
  <c r="AA9" i="5"/>
  <c r="AB9" i="5"/>
  <c r="Y10" i="5"/>
  <c r="Z10" i="5"/>
  <c r="AA10" i="5" s="1"/>
  <c r="AB10" i="5"/>
  <c r="Y11" i="5"/>
  <c r="Z11" i="5"/>
  <c r="AA11" i="5"/>
  <c r="AB11" i="5"/>
  <c r="Y12" i="5"/>
  <c r="Z12" i="5"/>
  <c r="AA12" i="5" s="1"/>
  <c r="AB12" i="5"/>
  <c r="Y13" i="5"/>
  <c r="Z13" i="5"/>
  <c r="AA13" i="5"/>
  <c r="AB13" i="5"/>
  <c r="Y14" i="5"/>
  <c r="Z14" i="5"/>
  <c r="AA14" i="5" s="1"/>
  <c r="AB14" i="5"/>
  <c r="Y15" i="5"/>
  <c r="Z15" i="5"/>
  <c r="AA15" i="5"/>
  <c r="AB15" i="5"/>
  <c r="Y16" i="5"/>
  <c r="Z16" i="5"/>
  <c r="AA16" i="5" s="1"/>
  <c r="AB16" i="5"/>
  <c r="Y17" i="5"/>
  <c r="Z17" i="5"/>
  <c r="AA17" i="5"/>
  <c r="AB17" i="5"/>
  <c r="Y18" i="5"/>
  <c r="Z18" i="5"/>
  <c r="AA18" i="5" s="1"/>
  <c r="AB18" i="5"/>
  <c r="Y19" i="5"/>
  <c r="Z19" i="5"/>
  <c r="AA19" i="5"/>
  <c r="AB19" i="5"/>
  <c r="Y20" i="5"/>
  <c r="Z20" i="5"/>
  <c r="AA20" i="5" s="1"/>
  <c r="AB20" i="5"/>
  <c r="Y21" i="5"/>
  <c r="Z21" i="5"/>
  <c r="AA21" i="5"/>
  <c r="AB21" i="5"/>
  <c r="Y22" i="5"/>
  <c r="Z22" i="5"/>
  <c r="AA22" i="5" s="1"/>
  <c r="AB22" i="5"/>
  <c r="Y23" i="5"/>
  <c r="Z23" i="5"/>
  <c r="AA23" i="5"/>
  <c r="AB23" i="5"/>
  <c r="Y24" i="5"/>
  <c r="Z24" i="5"/>
  <c r="AA24" i="5" s="1"/>
  <c r="AB24" i="5"/>
  <c r="Y25" i="5"/>
  <c r="Z25" i="5"/>
  <c r="AA25" i="5"/>
  <c r="AB25" i="5"/>
  <c r="Y26" i="5"/>
  <c r="Z26" i="5"/>
  <c r="AA26" i="5" s="1"/>
  <c r="AB26" i="5"/>
  <c r="Y27" i="5"/>
  <c r="Z27" i="5"/>
  <c r="AA27" i="5"/>
  <c r="AB27" i="5"/>
  <c r="Y28" i="5"/>
  <c r="Z28" i="5"/>
  <c r="AA28" i="5" s="1"/>
  <c r="AB28" i="5"/>
  <c r="Y29" i="5"/>
  <c r="Z29" i="5"/>
  <c r="AA29" i="5"/>
  <c r="AB29" i="5"/>
  <c r="Y30" i="5"/>
  <c r="Z30" i="5"/>
  <c r="AA30" i="5" s="1"/>
  <c r="AB30" i="5"/>
  <c r="Y31" i="5"/>
  <c r="Z31" i="5"/>
  <c r="AA31" i="5"/>
  <c r="AB31" i="5"/>
  <c r="Y32" i="5"/>
  <c r="Z32" i="5"/>
  <c r="AA32" i="5" s="1"/>
  <c r="AB32" i="5"/>
  <c r="Y33" i="5"/>
  <c r="Z33" i="5"/>
  <c r="AA33" i="5"/>
  <c r="AB33" i="5"/>
  <c r="Y34" i="5"/>
  <c r="Z34" i="5"/>
  <c r="AA34" i="5" s="1"/>
  <c r="AB34" i="5"/>
  <c r="Y35" i="5"/>
  <c r="Z35" i="5"/>
  <c r="AA35" i="5"/>
  <c r="AB35" i="5"/>
  <c r="Y36" i="5"/>
  <c r="Z36" i="5"/>
  <c r="AA36" i="5" s="1"/>
  <c r="AB36" i="5"/>
  <c r="Y37" i="5"/>
  <c r="Z37" i="5"/>
  <c r="AA37" i="5"/>
  <c r="AB37" i="5"/>
  <c r="Y38" i="5"/>
  <c r="Z38" i="5"/>
  <c r="AA38" i="5" s="1"/>
  <c r="AB38" i="5"/>
  <c r="Y39" i="5"/>
  <c r="Z39" i="5"/>
  <c r="AA39" i="5"/>
  <c r="AB39" i="5"/>
  <c r="Y40" i="5"/>
  <c r="Z40" i="5"/>
  <c r="AA40" i="5" s="1"/>
  <c r="AB40" i="5"/>
  <c r="Y41" i="5"/>
  <c r="Z41" i="5"/>
  <c r="AA41" i="5"/>
  <c r="AB41" i="5"/>
  <c r="Y42" i="5"/>
  <c r="Z42" i="5"/>
  <c r="AA42" i="5" s="1"/>
  <c r="AB42" i="5"/>
  <c r="Y43" i="5"/>
  <c r="Z43" i="5"/>
  <c r="AA43" i="5"/>
  <c r="AB43" i="5"/>
  <c r="X4" i="3"/>
  <c r="Y4" i="3"/>
  <c r="Z4" i="3" s="1"/>
  <c r="AA4" i="3"/>
  <c r="X5" i="3"/>
  <c r="Y5" i="3"/>
  <c r="Z5" i="3"/>
  <c r="AA5" i="3"/>
  <c r="X6" i="3"/>
  <c r="Y6" i="3"/>
  <c r="Z6" i="3" s="1"/>
  <c r="AA6" i="3"/>
  <c r="X7" i="3"/>
  <c r="Y7" i="3"/>
  <c r="Z7" i="3"/>
  <c r="AA7" i="3"/>
  <c r="X8" i="3"/>
  <c r="Y8" i="3"/>
  <c r="Z8" i="3" s="1"/>
  <c r="AA8" i="3"/>
  <c r="X9" i="3"/>
  <c r="Y9" i="3"/>
  <c r="Z9" i="3"/>
  <c r="AA9" i="3"/>
  <c r="X10" i="3"/>
  <c r="Y10" i="3"/>
  <c r="Z10" i="3" s="1"/>
  <c r="AA10" i="3"/>
  <c r="X11" i="3"/>
  <c r="Y11" i="3"/>
  <c r="Z11" i="3"/>
  <c r="AA11" i="3"/>
  <c r="X12" i="3"/>
  <c r="Y12" i="3"/>
  <c r="Z12" i="3" s="1"/>
  <c r="AA12" i="3"/>
  <c r="X13" i="3"/>
  <c r="Y13" i="3"/>
  <c r="Z13" i="3"/>
  <c r="AA13" i="3"/>
  <c r="X14" i="3"/>
  <c r="Y14" i="3"/>
  <c r="Z14" i="3" s="1"/>
  <c r="AA14" i="3"/>
  <c r="X15" i="3"/>
  <c r="Y15" i="3"/>
  <c r="Z15" i="3"/>
  <c r="AA15" i="3"/>
  <c r="X16" i="3"/>
  <c r="Y16" i="3"/>
  <c r="Z16" i="3" s="1"/>
  <c r="AA16" i="3"/>
  <c r="X17" i="3"/>
  <c r="Y17" i="3"/>
  <c r="Z17" i="3"/>
  <c r="AA17" i="3"/>
  <c r="X18" i="3"/>
  <c r="Y18" i="3"/>
  <c r="Z18" i="3" s="1"/>
  <c r="AA18" i="3"/>
  <c r="X19" i="3"/>
  <c r="Y19" i="3"/>
  <c r="Z19" i="3"/>
  <c r="AA19" i="3"/>
  <c r="X20" i="3"/>
  <c r="Y20" i="3"/>
  <c r="Z20" i="3" s="1"/>
  <c r="AA20" i="3"/>
  <c r="X21" i="3"/>
  <c r="Y21" i="3"/>
  <c r="Z21" i="3"/>
  <c r="AA21" i="3"/>
  <c r="X22" i="3"/>
  <c r="Y22" i="3"/>
  <c r="Z22" i="3" s="1"/>
  <c r="AA22" i="3"/>
  <c r="N33" i="5" l="1"/>
  <c r="N25" i="5"/>
  <c r="P25" i="6" l="1"/>
  <c r="Q25" i="6"/>
  <c r="R25" i="6"/>
  <c r="T25" i="6"/>
  <c r="U25" i="6"/>
  <c r="V25" i="6"/>
  <c r="W25" i="6"/>
  <c r="X25" i="6"/>
  <c r="O25" i="6"/>
  <c r="O27" i="7"/>
  <c r="N27" i="7"/>
  <c r="M27" i="7"/>
  <c r="L27" i="7"/>
  <c r="K27" i="7"/>
  <c r="J27" i="7"/>
  <c r="I27" i="7"/>
  <c r="H27" i="7"/>
  <c r="G27" i="7"/>
  <c r="F27" i="7"/>
  <c r="E27" i="7"/>
  <c r="D27" i="7"/>
  <c r="M10" i="5" l="1"/>
  <c r="L8" i="5" l="1"/>
  <c r="L7" i="5"/>
  <c r="M6" i="5"/>
  <c r="O29" i="7" l="1"/>
  <c r="N29" i="7"/>
  <c r="M29" i="7"/>
  <c r="L29" i="7"/>
  <c r="K29" i="7"/>
  <c r="J29" i="7"/>
  <c r="I29" i="7"/>
  <c r="H29" i="7"/>
  <c r="G29" i="7"/>
  <c r="F29" i="7"/>
  <c r="C29" i="7"/>
  <c r="B29" i="7"/>
  <c r="O28" i="7"/>
  <c r="N28" i="7"/>
  <c r="M28" i="7"/>
  <c r="L28" i="7"/>
  <c r="K28" i="7"/>
  <c r="I28" i="7"/>
  <c r="H28" i="7"/>
  <c r="G28" i="7"/>
  <c r="F28" i="7"/>
  <c r="C28" i="7"/>
  <c r="B28" i="7"/>
  <c r="C27" i="7"/>
  <c r="K27" i="6"/>
  <c r="O27" i="6"/>
  <c r="P27" i="6"/>
  <c r="Q27" i="6"/>
  <c r="R27" i="6"/>
  <c r="S27" i="6"/>
  <c r="T27" i="6"/>
  <c r="U27" i="6"/>
  <c r="V27" i="6"/>
  <c r="W27" i="6"/>
  <c r="X27" i="6"/>
  <c r="I27" i="6"/>
  <c r="O26" i="6"/>
  <c r="P26" i="6"/>
  <c r="Q26" i="6"/>
  <c r="R26" i="6"/>
  <c r="T26" i="6"/>
  <c r="U26" i="6"/>
  <c r="V26" i="6"/>
  <c r="W26" i="6"/>
  <c r="X26" i="6"/>
  <c r="K26" i="6"/>
  <c r="I26" i="6"/>
  <c r="I25" i="6"/>
  <c r="K25" i="6"/>
  <c r="L5" i="6"/>
  <c r="M5" i="6" s="1"/>
  <c r="L9" i="6"/>
  <c r="L3" i="6"/>
  <c r="L24" i="6"/>
  <c r="L27" i="6" s="1"/>
  <c r="Y27" i="6" s="1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8" i="6"/>
  <c r="L7" i="6"/>
  <c r="L6" i="6"/>
  <c r="L4" i="6"/>
  <c r="L23" i="5"/>
  <c r="M23" i="5" s="1"/>
  <c r="L24" i="5"/>
  <c r="S24" i="5" s="1"/>
  <c r="M25" i="5"/>
  <c r="L26" i="5"/>
  <c r="M26" i="5" s="1"/>
  <c r="L27" i="5"/>
  <c r="S27" i="5" s="1"/>
  <c r="L28" i="5"/>
  <c r="M28" i="5" s="1"/>
  <c r="L29" i="5"/>
  <c r="S29" i="5" s="1"/>
  <c r="L30" i="5"/>
  <c r="M30" i="5" s="1"/>
  <c r="L31" i="5"/>
  <c r="M31" i="5" s="1"/>
  <c r="L32" i="5"/>
  <c r="S33" i="5"/>
  <c r="L34" i="5"/>
  <c r="L35" i="5"/>
  <c r="M35" i="5" s="1"/>
  <c r="L36" i="5"/>
  <c r="M36" i="5" s="1"/>
  <c r="L37" i="5"/>
  <c r="S37" i="5" s="1"/>
  <c r="L40" i="5"/>
  <c r="L42" i="5"/>
  <c r="L38" i="5"/>
  <c r="L39" i="5"/>
  <c r="L41" i="5"/>
  <c r="L22" i="5"/>
  <c r="M22" i="5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14" i="3"/>
  <c r="R14" i="3" s="1"/>
  <c r="M21" i="5"/>
  <c r="M20" i="5"/>
  <c r="M19" i="5"/>
  <c r="M18" i="5"/>
  <c r="M17" i="5"/>
  <c r="M16" i="5"/>
  <c r="M15" i="5"/>
  <c r="M14" i="5"/>
  <c r="M13" i="5"/>
  <c r="L12" i="5"/>
  <c r="M12" i="5" s="1"/>
  <c r="L11" i="5"/>
  <c r="M11" i="5" s="1"/>
  <c r="M9" i="5"/>
  <c r="M8" i="5"/>
  <c r="M7" i="5"/>
  <c r="L5" i="5"/>
  <c r="M5" i="5" s="1"/>
  <c r="L4" i="5"/>
  <c r="M4" i="5" s="1"/>
  <c r="L3" i="5"/>
  <c r="M3" i="5" s="1"/>
  <c r="L13" i="3"/>
  <c r="K12" i="3"/>
  <c r="L12" i="3" s="1"/>
  <c r="L11" i="3"/>
  <c r="K10" i="3"/>
  <c r="L10" i="3" s="1"/>
  <c r="K9" i="3"/>
  <c r="L9" i="3" s="1"/>
  <c r="L8" i="3"/>
  <c r="K7" i="3"/>
  <c r="Q7" i="3" s="1"/>
  <c r="K6" i="3"/>
  <c r="L6" i="3" s="1"/>
  <c r="L5" i="3"/>
  <c r="K4" i="3"/>
  <c r="L4" i="3" s="1"/>
  <c r="K3" i="3"/>
  <c r="L3" i="3" s="1"/>
  <c r="L25" i="6" l="1"/>
  <c r="R21" i="3"/>
  <c r="S19" i="6"/>
  <c r="S38" i="5"/>
  <c r="R19" i="3"/>
  <c r="M42" i="5"/>
  <c r="S13" i="6"/>
  <c r="S21" i="6"/>
  <c r="B27" i="7"/>
  <c r="M12" i="6"/>
  <c r="M4" i="6"/>
  <c r="M22" i="6"/>
  <c r="R16" i="3"/>
  <c r="M6" i="6"/>
  <c r="S15" i="6"/>
  <c r="S23" i="6"/>
  <c r="R17" i="3"/>
  <c r="L14" i="3"/>
  <c r="R15" i="3"/>
  <c r="S7" i="6"/>
  <c r="M16" i="6"/>
  <c r="M24" i="6"/>
  <c r="E29" i="7"/>
  <c r="S11" i="6"/>
  <c r="S5" i="6"/>
  <c r="L26" i="6"/>
  <c r="M40" i="5"/>
  <c r="M8" i="6"/>
  <c r="S17" i="6"/>
  <c r="S3" i="6"/>
  <c r="Z3" i="6"/>
  <c r="AA3" i="6" s="1"/>
  <c r="R20" i="3"/>
  <c r="M20" i="6"/>
  <c r="M14" i="6"/>
  <c r="R22" i="3"/>
  <c r="M10" i="6"/>
  <c r="M18" i="6"/>
  <c r="S9" i="6"/>
  <c r="E28" i="7"/>
  <c r="M19" i="6"/>
  <c r="M11" i="6"/>
  <c r="M3" i="6"/>
  <c r="AB3" i="6" s="1"/>
  <c r="M9" i="6"/>
  <c r="M7" i="6"/>
  <c r="M15" i="6"/>
  <c r="M23" i="6"/>
  <c r="M13" i="6"/>
  <c r="M17" i="6"/>
  <c r="M21" i="6"/>
  <c r="S4" i="6"/>
  <c r="S6" i="6"/>
  <c r="S8" i="6"/>
  <c r="S10" i="6"/>
  <c r="S12" i="6"/>
  <c r="S14" i="6"/>
  <c r="S16" i="6"/>
  <c r="S18" i="6"/>
  <c r="S20" i="6"/>
  <c r="S22" i="6"/>
  <c r="S36" i="5"/>
  <c r="M38" i="5"/>
  <c r="M37" i="5"/>
  <c r="M27" i="5"/>
  <c r="M24" i="5"/>
  <c r="S42" i="5"/>
  <c r="M33" i="5"/>
  <c r="M29" i="5"/>
  <c r="R18" i="3"/>
  <c r="S41" i="5"/>
  <c r="M41" i="5"/>
  <c r="S39" i="5"/>
  <c r="M39" i="5"/>
  <c r="M43" i="5"/>
  <c r="S34" i="5"/>
  <c r="M34" i="5"/>
  <c r="S32" i="5"/>
  <c r="M32" i="5"/>
  <c r="S22" i="5"/>
  <c r="S35" i="5"/>
  <c r="S30" i="5"/>
  <c r="L7" i="3"/>
  <c r="I47" i="5"/>
  <c r="I46" i="5"/>
  <c r="I45" i="5"/>
  <c r="S25" i="6" l="1"/>
  <c r="Y25" i="6" s="1"/>
  <c r="S26" i="6"/>
  <c r="Y26" i="6" s="1"/>
  <c r="J28" i="7"/>
  <c r="D28" i="7"/>
  <c r="M25" i="6"/>
  <c r="AB25" i="6" s="1"/>
  <c r="M26" i="6"/>
  <c r="AB26" i="6" s="1"/>
  <c r="Y3" i="6"/>
  <c r="M27" i="6"/>
  <c r="AB27" i="6" s="1"/>
  <c r="D29" i="7"/>
  <c r="W6" i="4" l="1"/>
  <c r="V6" i="4"/>
  <c r="U6" i="4"/>
  <c r="T6" i="4"/>
  <c r="S6" i="4"/>
  <c r="R6" i="4"/>
  <c r="Q6" i="4"/>
  <c r="P6" i="4"/>
  <c r="O6" i="4"/>
  <c r="N6" i="4"/>
  <c r="J6" i="4"/>
  <c r="W5" i="4"/>
  <c r="V5" i="4"/>
  <c r="U5" i="4"/>
  <c r="T5" i="4"/>
  <c r="S5" i="4"/>
  <c r="R5" i="4"/>
  <c r="P5" i="4"/>
  <c r="O5" i="4"/>
  <c r="N5" i="4"/>
  <c r="J5" i="4"/>
  <c r="W4" i="4"/>
  <c r="V4" i="4"/>
  <c r="U4" i="4"/>
  <c r="T4" i="4"/>
  <c r="S4" i="4"/>
  <c r="R4" i="4"/>
  <c r="P4" i="4"/>
  <c r="O4" i="4"/>
  <c r="N4" i="4"/>
  <c r="J4" i="4"/>
  <c r="H6" i="4"/>
  <c r="H5" i="4"/>
  <c r="H4" i="4"/>
  <c r="O26" i="7"/>
  <c r="N26" i="7"/>
  <c r="M26" i="7"/>
  <c r="L26" i="7"/>
  <c r="K26" i="7"/>
  <c r="J26" i="7"/>
  <c r="I26" i="7"/>
  <c r="H26" i="7"/>
  <c r="G26" i="7"/>
  <c r="F26" i="7"/>
  <c r="B26" i="7"/>
  <c r="C26" i="7"/>
  <c r="O25" i="7"/>
  <c r="N25" i="7"/>
  <c r="M25" i="7"/>
  <c r="L25" i="7"/>
  <c r="K25" i="7"/>
  <c r="J25" i="7"/>
  <c r="H25" i="7"/>
  <c r="G25" i="7"/>
  <c r="F25" i="7"/>
  <c r="C25" i="7"/>
  <c r="B25" i="7"/>
  <c r="O24" i="7"/>
  <c r="N24" i="7"/>
  <c r="M24" i="7"/>
  <c r="L24" i="7"/>
  <c r="K24" i="7"/>
  <c r="J24" i="7"/>
  <c r="H24" i="7"/>
  <c r="G24" i="7"/>
  <c r="F24" i="7"/>
  <c r="C24" i="7"/>
  <c r="X3" i="4" l="1"/>
  <c r="B24" i="7"/>
  <c r="K4" i="4"/>
  <c r="K6" i="4"/>
  <c r="E24" i="7"/>
  <c r="E25" i="7"/>
  <c r="E26" i="7"/>
  <c r="K5" i="4"/>
  <c r="L4" i="4" l="1"/>
  <c r="AA4" i="4" s="1"/>
  <c r="L5" i="4"/>
  <c r="D25" i="7"/>
  <c r="D24" i="7"/>
  <c r="L6" i="4"/>
  <c r="D26" i="7"/>
  <c r="Q4" i="4"/>
  <c r="I25" i="7"/>
  <c r="I24" i="7"/>
  <c r="Q5" i="4"/>
  <c r="AA3" i="4"/>
  <c r="I44" i="5"/>
  <c r="H23" i="3"/>
  <c r="B16" i="7" l="1"/>
  <c r="Q23" i="3"/>
  <c r="P23" i="3"/>
  <c r="N23" i="3"/>
  <c r="J23" i="3"/>
  <c r="W23" i="3" l="1"/>
  <c r="V23" i="3"/>
  <c r="U23" i="3"/>
  <c r="T23" i="3"/>
  <c r="S23" i="3"/>
  <c r="R23" i="3"/>
  <c r="H16" i="7" l="1"/>
  <c r="I16" i="7"/>
  <c r="J16" i="7"/>
  <c r="K16" i="7"/>
  <c r="L16" i="7"/>
  <c r="M16" i="7"/>
  <c r="N16" i="7"/>
  <c r="O16" i="7"/>
  <c r="G17" i="7"/>
  <c r="H17" i="7"/>
  <c r="I17" i="7"/>
  <c r="J17" i="7"/>
  <c r="K17" i="7"/>
  <c r="L17" i="7"/>
  <c r="M17" i="7"/>
  <c r="N17" i="7"/>
  <c r="O17" i="7"/>
  <c r="H18" i="7"/>
  <c r="I18" i="7"/>
  <c r="J18" i="7"/>
  <c r="K18" i="7"/>
  <c r="L18" i="7"/>
  <c r="M18" i="7"/>
  <c r="N18" i="7"/>
  <c r="O18" i="7"/>
  <c r="G19" i="7"/>
  <c r="H19" i="7"/>
  <c r="I19" i="7"/>
  <c r="J19" i="7"/>
  <c r="K19" i="7"/>
  <c r="L19" i="7"/>
  <c r="M19" i="7"/>
  <c r="N19" i="7"/>
  <c r="O19" i="7"/>
  <c r="F19" i="7"/>
  <c r="F18" i="7"/>
  <c r="F17" i="7"/>
  <c r="H12" i="7"/>
  <c r="I12" i="7"/>
  <c r="J12" i="7"/>
  <c r="K12" i="7"/>
  <c r="L12" i="7"/>
  <c r="M12" i="7"/>
  <c r="N12" i="7"/>
  <c r="O12" i="7"/>
  <c r="H13" i="7"/>
  <c r="I13" i="7"/>
  <c r="J13" i="7"/>
  <c r="K13" i="7"/>
  <c r="L13" i="7"/>
  <c r="M13" i="7"/>
  <c r="N13" i="7"/>
  <c r="O13" i="7"/>
  <c r="H14" i="7"/>
  <c r="I14" i="7"/>
  <c r="J14" i="7"/>
  <c r="K14" i="7"/>
  <c r="L14" i="7"/>
  <c r="M14" i="7"/>
  <c r="N14" i="7"/>
  <c r="O14" i="7"/>
  <c r="H15" i="7"/>
  <c r="I15" i="7"/>
  <c r="J15" i="7"/>
  <c r="K15" i="7"/>
  <c r="L15" i="7"/>
  <c r="M15" i="7"/>
  <c r="N15" i="7"/>
  <c r="O15" i="7"/>
  <c r="G15" i="7"/>
  <c r="G13" i="7"/>
  <c r="B19" i="7"/>
  <c r="B18" i="7"/>
  <c r="B17" i="7"/>
  <c r="B15" i="7"/>
  <c r="B14" i="7"/>
  <c r="C16" i="7"/>
  <c r="F16" i="7"/>
  <c r="C19" i="7"/>
  <c r="C18" i="7"/>
  <c r="C17" i="7"/>
  <c r="F15" i="7"/>
  <c r="F14" i="7"/>
  <c r="F13" i="7"/>
  <c r="C15" i="7"/>
  <c r="C14" i="7"/>
  <c r="C13" i="7"/>
  <c r="F12" i="7"/>
  <c r="C12" i="7"/>
  <c r="B13" i="7"/>
  <c r="F43" i="7" l="1"/>
  <c r="H42" i="7"/>
  <c r="M42" i="7"/>
  <c r="I42" i="7"/>
  <c r="C42" i="7"/>
  <c r="C43" i="7"/>
  <c r="O42" i="7"/>
  <c r="K42" i="7"/>
  <c r="L43" i="7"/>
  <c r="H43" i="7"/>
  <c r="M43" i="7"/>
  <c r="I43" i="7"/>
  <c r="N43" i="7"/>
  <c r="J43" i="7"/>
  <c r="L42" i="7"/>
  <c r="F42" i="7"/>
  <c r="N42" i="7"/>
  <c r="J42" i="7"/>
  <c r="O43" i="7"/>
  <c r="K43" i="7"/>
  <c r="R44" i="5"/>
  <c r="S44" i="5"/>
  <c r="T44" i="5"/>
  <c r="U44" i="5"/>
  <c r="V44" i="5"/>
  <c r="W44" i="5"/>
  <c r="X44" i="5"/>
  <c r="R45" i="5"/>
  <c r="S45" i="5"/>
  <c r="T45" i="5"/>
  <c r="U45" i="5"/>
  <c r="V45" i="5"/>
  <c r="W45" i="5"/>
  <c r="X45" i="5"/>
  <c r="R46" i="5"/>
  <c r="S46" i="5"/>
  <c r="T46" i="5"/>
  <c r="U46" i="5"/>
  <c r="V46" i="5"/>
  <c r="W46" i="5"/>
  <c r="X46" i="5"/>
  <c r="R47" i="5"/>
  <c r="S47" i="5"/>
  <c r="T47" i="5"/>
  <c r="U47" i="5"/>
  <c r="V47" i="5"/>
  <c r="W47" i="5"/>
  <c r="X47" i="5"/>
  <c r="Q47" i="5"/>
  <c r="Q46" i="5"/>
  <c r="Q45" i="5"/>
  <c r="Q44" i="5"/>
  <c r="P47" i="5"/>
  <c r="P45" i="5"/>
  <c r="O47" i="5"/>
  <c r="O46" i="5"/>
  <c r="O45" i="5"/>
  <c r="O44" i="5"/>
  <c r="K47" i="5"/>
  <c r="K46" i="5"/>
  <c r="K45" i="5"/>
  <c r="K44" i="5"/>
  <c r="P24" i="3"/>
  <c r="Q24" i="3"/>
  <c r="R24" i="3"/>
  <c r="S24" i="3"/>
  <c r="T24" i="3"/>
  <c r="U24" i="3"/>
  <c r="V24" i="3"/>
  <c r="W24" i="3"/>
  <c r="P25" i="3"/>
  <c r="Q25" i="3"/>
  <c r="R25" i="3"/>
  <c r="S25" i="3"/>
  <c r="T25" i="3"/>
  <c r="U25" i="3"/>
  <c r="V25" i="3"/>
  <c r="W25" i="3"/>
  <c r="P26" i="3"/>
  <c r="Q26" i="3"/>
  <c r="R26" i="3"/>
  <c r="S26" i="3"/>
  <c r="T26" i="3"/>
  <c r="U26" i="3"/>
  <c r="V26" i="3"/>
  <c r="W26" i="3"/>
  <c r="O24" i="3"/>
  <c r="O26" i="3"/>
  <c r="N26" i="3"/>
  <c r="N25" i="3"/>
  <c r="N24" i="3"/>
  <c r="J26" i="3"/>
  <c r="J25" i="3"/>
  <c r="J24" i="3"/>
  <c r="H26" i="3"/>
  <c r="H25" i="3"/>
  <c r="H24" i="3"/>
  <c r="C45" i="7" l="1"/>
  <c r="F45" i="7"/>
  <c r="H45" i="7"/>
  <c r="J45" i="7"/>
  <c r="K45" i="7"/>
  <c r="L45" i="7"/>
  <c r="M45" i="7"/>
  <c r="N45" i="7"/>
  <c r="O45" i="7"/>
  <c r="I45" i="7" l="1"/>
  <c r="B31" i="7"/>
  <c r="B32" i="7"/>
  <c r="C32" i="7"/>
  <c r="C30" i="7" l="1"/>
  <c r="C46" i="7"/>
  <c r="C31" i="7"/>
  <c r="E19" i="7" l="1"/>
  <c r="C47" i="7"/>
  <c r="B46" i="7"/>
  <c r="L47" i="5"/>
  <c r="D19" i="7" l="1"/>
  <c r="M47" i="5"/>
  <c r="D32" i="7"/>
  <c r="D46" i="7" l="1"/>
  <c r="B30" i="7" l="1"/>
  <c r="B47" i="7" s="1"/>
  <c r="B45" i="7"/>
  <c r="E45" i="7"/>
  <c r="D31" i="7"/>
  <c r="D30" i="7" l="1"/>
  <c r="D47" i="7" s="1"/>
  <c r="D45" i="7"/>
  <c r="G45" i="7"/>
  <c r="E18" i="7" l="1"/>
  <c r="L46" i="5"/>
  <c r="P44" i="5" l="1"/>
  <c r="G16" i="7"/>
  <c r="P46" i="5"/>
  <c r="G18" i="7"/>
  <c r="D18" i="7"/>
  <c r="M46" i="5"/>
  <c r="G43" i="7" l="1"/>
  <c r="E13" i="7"/>
  <c r="K24" i="3"/>
  <c r="E17" i="7"/>
  <c r="B43" i="7"/>
  <c r="E16" i="7"/>
  <c r="L45" i="5"/>
  <c r="L44" i="5"/>
  <c r="Z3" i="5"/>
  <c r="AA3" i="5" s="1"/>
  <c r="Y3" i="5"/>
  <c r="X3" i="3"/>
  <c r="Y3" i="3"/>
  <c r="Z3" i="3" s="1"/>
  <c r="K23" i="3"/>
  <c r="E12" i="7" l="1"/>
  <c r="E43" i="7"/>
  <c r="D13" i="7"/>
  <c r="L24" i="3"/>
  <c r="AA3" i="3"/>
  <c r="AB3" i="5"/>
  <c r="D17" i="7"/>
  <c r="D16" i="7"/>
  <c r="M45" i="5"/>
  <c r="M44" i="5"/>
  <c r="E14" i="7"/>
  <c r="K25" i="3"/>
  <c r="E15" i="7"/>
  <c r="K26" i="3"/>
  <c r="B12" i="7"/>
  <c r="B42" i="7" s="1"/>
  <c r="O23" i="3"/>
  <c r="L23" i="3" l="1"/>
  <c r="E42" i="7"/>
  <c r="D43" i="7"/>
  <c r="D15" i="7"/>
  <c r="L26" i="3"/>
  <c r="D14" i="7"/>
  <c r="L25" i="3"/>
  <c r="G14" i="7"/>
  <c r="G12" i="7"/>
  <c r="O25" i="3"/>
  <c r="D12" i="7"/>
  <c r="P28" i="7"/>
  <c r="G42" i="7" l="1"/>
  <c r="D42" i="7"/>
  <c r="Q29" i="7"/>
  <c r="P29" i="7"/>
  <c r="Q28" i="7"/>
  <c r="Q26" i="7"/>
  <c r="P26" i="7"/>
  <c r="Q25" i="7"/>
  <c r="P25" i="7"/>
  <c r="O32" i="7"/>
  <c r="N32" i="7"/>
  <c r="M32" i="7"/>
  <c r="L32" i="7"/>
  <c r="K32" i="7"/>
  <c r="J32" i="7"/>
  <c r="I32" i="7"/>
  <c r="H32" i="7"/>
  <c r="G32" i="7"/>
  <c r="F32" i="7"/>
  <c r="E32" i="7"/>
  <c r="O31" i="7"/>
  <c r="N31" i="7"/>
  <c r="M31" i="7"/>
  <c r="L31" i="7"/>
  <c r="K31" i="7"/>
  <c r="J31" i="7"/>
  <c r="I31" i="7"/>
  <c r="H31" i="7"/>
  <c r="G31" i="7"/>
  <c r="F31" i="7"/>
  <c r="E31" i="7"/>
  <c r="O22" i="7"/>
  <c r="N22" i="7"/>
  <c r="M22" i="7"/>
  <c r="L22" i="7"/>
  <c r="K22" i="7"/>
  <c r="J22" i="7"/>
  <c r="I22" i="7"/>
  <c r="H22" i="7"/>
  <c r="G22" i="7"/>
  <c r="F22" i="7"/>
  <c r="C22" i="7"/>
  <c r="C35" i="7" s="1"/>
  <c r="B22" i="7"/>
  <c r="B35" i="7" s="1"/>
  <c r="B40" i="7" s="1"/>
  <c r="O21" i="7"/>
  <c r="N21" i="7"/>
  <c r="M21" i="7"/>
  <c r="L21" i="7"/>
  <c r="K21" i="7"/>
  <c r="K34" i="7" s="1"/>
  <c r="K39" i="7" s="1"/>
  <c r="J21" i="7"/>
  <c r="I21" i="7"/>
  <c r="H21" i="7"/>
  <c r="G21" i="7"/>
  <c r="G34" i="7" s="1"/>
  <c r="G39" i="7" s="1"/>
  <c r="F21" i="7"/>
  <c r="E21" i="7"/>
  <c r="D21" i="7"/>
  <c r="C21" i="7"/>
  <c r="C34" i="7" s="1"/>
  <c r="B21" i="7"/>
  <c r="AA26" i="3"/>
  <c r="Y47" i="5"/>
  <c r="Y45" i="5"/>
  <c r="Q19" i="7"/>
  <c r="P19" i="7"/>
  <c r="Q17" i="7"/>
  <c r="P17" i="7"/>
  <c r="Q15" i="7"/>
  <c r="P15" i="7"/>
  <c r="Q13" i="7"/>
  <c r="P13" i="7"/>
  <c r="I35" i="7" l="1"/>
  <c r="I40" i="7" s="1"/>
  <c r="M35" i="7"/>
  <c r="M40" i="7" s="1"/>
  <c r="G35" i="7"/>
  <c r="G40" i="7" s="1"/>
  <c r="K35" i="7"/>
  <c r="K40" i="7" s="1"/>
  <c r="O35" i="7"/>
  <c r="O40" i="7" s="1"/>
  <c r="C39" i="7"/>
  <c r="O34" i="7"/>
  <c r="B34" i="7"/>
  <c r="B39" i="7" s="1"/>
  <c r="F34" i="7"/>
  <c r="J34" i="7"/>
  <c r="J39" i="7" s="1"/>
  <c r="N34" i="7"/>
  <c r="F35" i="7"/>
  <c r="F40" i="7" s="1"/>
  <c r="J35" i="7"/>
  <c r="J40" i="7" s="1"/>
  <c r="N35" i="7"/>
  <c r="N40" i="7" s="1"/>
  <c r="E34" i="7"/>
  <c r="E39" i="7" s="1"/>
  <c r="I34" i="7"/>
  <c r="I39" i="7" s="1"/>
  <c r="M34" i="7"/>
  <c r="M39" i="7" s="1"/>
  <c r="C40" i="7"/>
  <c r="D34" i="7"/>
  <c r="D39" i="7" s="1"/>
  <c r="H34" i="7"/>
  <c r="H39" i="7" s="1"/>
  <c r="L34" i="7"/>
  <c r="L39" i="7" s="1"/>
  <c r="H35" i="7"/>
  <c r="H40" i="7" s="1"/>
  <c r="L35" i="7"/>
  <c r="L40" i="7" s="1"/>
  <c r="AB45" i="5"/>
  <c r="AB47" i="5"/>
  <c r="X26" i="3"/>
  <c r="AA5" i="4"/>
  <c r="P32" i="7"/>
  <c r="Q32" i="7"/>
  <c r="Q31" i="7"/>
  <c r="P31" i="7"/>
  <c r="P21" i="7"/>
  <c r="Q21" i="7"/>
  <c r="X5" i="4"/>
  <c r="P34" i="7" l="1"/>
  <c r="Q34" i="7"/>
  <c r="N39" i="7"/>
  <c r="F39" i="7"/>
  <c r="O39" i="7"/>
  <c r="Q18" i="7"/>
  <c r="O23" i="7"/>
  <c r="O36" i="7" s="1"/>
  <c r="O41" i="7" s="1"/>
  <c r="N23" i="7"/>
  <c r="N36" i="7" s="1"/>
  <c r="N41" i="7" s="1"/>
  <c r="M23" i="7"/>
  <c r="M36" i="7" s="1"/>
  <c r="M41" i="7" s="1"/>
  <c r="L23" i="7"/>
  <c r="L36" i="7" s="1"/>
  <c r="L41" i="7" s="1"/>
  <c r="K23" i="7"/>
  <c r="K36" i="7" s="1"/>
  <c r="K41" i="7" s="1"/>
  <c r="J23" i="7"/>
  <c r="J36" i="7" s="1"/>
  <c r="J41" i="7" s="1"/>
  <c r="I23" i="7"/>
  <c r="I36" i="7" s="1"/>
  <c r="I41" i="7" s="1"/>
  <c r="H23" i="7"/>
  <c r="H36" i="7" s="1"/>
  <c r="H41" i="7" s="1"/>
  <c r="G23" i="7"/>
  <c r="G36" i="7" s="1"/>
  <c r="G41" i="7" s="1"/>
  <c r="F23" i="7"/>
  <c r="F36" i="7" s="1"/>
  <c r="F41" i="7" s="1"/>
  <c r="E23" i="7"/>
  <c r="E36" i="7" s="1"/>
  <c r="D23" i="7"/>
  <c r="D36" i="7" s="1"/>
  <c r="D41" i="7" s="1"/>
  <c r="C23" i="7"/>
  <c r="C36" i="7" s="1"/>
  <c r="B23" i="7"/>
  <c r="B36" i="7" s="1"/>
  <c r="B41" i="7" s="1"/>
  <c r="O46" i="7"/>
  <c r="N46" i="7"/>
  <c r="M46" i="7"/>
  <c r="L46" i="7"/>
  <c r="K46" i="7"/>
  <c r="J46" i="7"/>
  <c r="I46" i="7"/>
  <c r="H46" i="7"/>
  <c r="G46" i="7"/>
  <c r="F46" i="7"/>
  <c r="E46" i="7"/>
  <c r="Q36" i="7" l="1"/>
  <c r="E41" i="7"/>
  <c r="C41" i="7"/>
  <c r="P36" i="7"/>
  <c r="Y46" i="5"/>
  <c r="X24" i="3"/>
  <c r="X25" i="3"/>
  <c r="H30" i="7"/>
  <c r="H47" i="7" s="1"/>
  <c r="L30" i="7"/>
  <c r="L47" i="7" s="1"/>
  <c r="G30" i="7"/>
  <c r="G47" i="7" s="1"/>
  <c r="K30" i="7"/>
  <c r="K47" i="7" s="1"/>
  <c r="O30" i="7"/>
  <c r="O47" i="7" s="1"/>
  <c r="P24" i="7"/>
  <c r="P18" i="7"/>
  <c r="AB46" i="5"/>
  <c r="AA24" i="3"/>
  <c r="AA25" i="3"/>
  <c r="E22" i="7"/>
  <c r="E35" i="7" s="1"/>
  <c r="Q14" i="7"/>
  <c r="Q27" i="7"/>
  <c r="P27" i="7"/>
  <c r="Q24" i="7"/>
  <c r="J30" i="7"/>
  <c r="J47" i="7" s="1"/>
  <c r="E30" i="7"/>
  <c r="E47" i="7" s="1"/>
  <c r="I30" i="7"/>
  <c r="I47" i="7" s="1"/>
  <c r="M30" i="7"/>
  <c r="M47" i="7" s="1"/>
  <c r="F30" i="7"/>
  <c r="F47" i="7" s="1"/>
  <c r="N30" i="7"/>
  <c r="N47" i="7" s="1"/>
  <c r="E40" i="7" l="1"/>
  <c r="Q35" i="7"/>
  <c r="M20" i="7"/>
  <c r="J20" i="7"/>
  <c r="N20" i="7"/>
  <c r="I20" i="7"/>
  <c r="H20" i="7"/>
  <c r="K20" i="7"/>
  <c r="O20" i="7"/>
  <c r="P14" i="7"/>
  <c r="D22" i="7"/>
  <c r="D35" i="7" s="1"/>
  <c r="Q22" i="7"/>
  <c r="P30" i="7"/>
  <c r="Q30" i="7"/>
  <c r="B20" i="7"/>
  <c r="L20" i="7"/>
  <c r="X4" i="4"/>
  <c r="O33" i="7" l="1"/>
  <c r="O38" i="7" s="1"/>
  <c r="O44" i="7"/>
  <c r="N33" i="7"/>
  <c r="N38" i="7" s="1"/>
  <c r="N44" i="7"/>
  <c r="I33" i="7"/>
  <c r="I38" i="7" s="1"/>
  <c r="I44" i="7"/>
  <c r="H33" i="7"/>
  <c r="H38" i="7" s="1"/>
  <c r="H44" i="7"/>
  <c r="B33" i="7"/>
  <c r="B38" i="7" s="1"/>
  <c r="B44" i="7"/>
  <c r="D40" i="7"/>
  <c r="P35" i="7"/>
  <c r="M33" i="7"/>
  <c r="M38" i="7" s="1"/>
  <c r="M44" i="7"/>
  <c r="L33" i="7"/>
  <c r="L38" i="7" s="1"/>
  <c r="L44" i="7"/>
  <c r="K33" i="7"/>
  <c r="K38" i="7" s="1"/>
  <c r="K44" i="7"/>
  <c r="J33" i="7"/>
  <c r="J38" i="7" s="1"/>
  <c r="J44" i="7"/>
  <c r="P22" i="7"/>
  <c r="E20" i="7" l="1"/>
  <c r="E33" i="7" l="1"/>
  <c r="E38" i="7" s="1"/>
  <c r="E44" i="7"/>
  <c r="Y44" i="5"/>
  <c r="X23" i="3"/>
  <c r="C20" i="7"/>
  <c r="Q16" i="7"/>
  <c r="F20" i="7"/>
  <c r="F44" i="7" s="1"/>
  <c r="G20" i="7"/>
  <c r="X6" i="4"/>
  <c r="P16" i="7"/>
  <c r="AA23" i="3"/>
  <c r="AB44" i="5"/>
  <c r="Q12" i="7"/>
  <c r="AA6" i="4"/>
  <c r="C33" i="7" l="1"/>
  <c r="C38" i="7" s="1"/>
  <c r="C44" i="7"/>
  <c r="G33" i="7"/>
  <c r="G38" i="7" s="1"/>
  <c r="G44" i="7"/>
  <c r="Q20" i="7"/>
  <c r="D20" i="7"/>
  <c r="D44" i="7" s="1"/>
  <c r="Q23" i="7"/>
  <c r="F33" i="7"/>
  <c r="P12" i="7"/>
  <c r="Q33" i="7" l="1"/>
  <c r="F38" i="7"/>
  <c r="P20" i="7"/>
  <c r="D33" i="7"/>
  <c r="D38" i="7" s="1"/>
  <c r="P23" i="7"/>
  <c r="P33" i="7" l="1"/>
</calcChain>
</file>

<file path=xl/sharedStrings.xml><?xml version="1.0" encoding="utf-8"?>
<sst xmlns="http://schemas.openxmlformats.org/spreadsheetml/2006/main" count="818" uniqueCount="403">
  <si>
    <t>Podsumowanie naboru:</t>
  </si>
  <si>
    <t>Kategoria drogi - rodzaj listy</t>
  </si>
  <si>
    <t>powiatowe - lista rezerwowa</t>
  </si>
  <si>
    <t>gminne - lista rezerwowa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</si>
  <si>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</si>
  <si>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</si>
  <si>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</si>
  <si>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</si>
  <si>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</si>
  <si>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</si>
  <si>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</si>
  <si>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</si>
  <si>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</si>
  <si>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</si>
  <si>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</si>
  <si>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</si>
  <si>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</si>
  <si>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</si>
  <si>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</si>
  <si>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</si>
  <si>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</si>
  <si>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</si>
  <si>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</si>
  <si>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</si>
  <si>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</si>
  <si>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</si>
  <si>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</si>
  <si>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spr-lata</t>
  </si>
  <si>
    <t>spr-procent</t>
  </si>
  <si>
    <t>spr-dof</t>
  </si>
  <si>
    <t>spr-montaż</t>
  </si>
  <si>
    <t>TERC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</si>
  <si>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</si>
  <si>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</si>
  <si>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</si>
  <si>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</si>
  <si>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</si>
  <si>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</si>
  <si>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</si>
  <si>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</si>
  <si>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</si>
  <si>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</si>
  <si>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</si>
  <si>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Powiat Gorzowski</t>
  </si>
  <si>
    <t>Powiat Żagański</t>
  </si>
  <si>
    <t>Powiat Międzyrzecki</t>
  </si>
  <si>
    <t>Powiat Zielonogórski</t>
  </si>
  <si>
    <t>Powiat Sulęciński</t>
  </si>
  <si>
    <t>Powiat Żarski</t>
  </si>
  <si>
    <t>Powiat Świebodziński</t>
  </si>
  <si>
    <t>Powiat Nowosolski</t>
  </si>
  <si>
    <t>Gmina Stare Kurowo</t>
  </si>
  <si>
    <t>Gmina Świebodzin</t>
  </si>
  <si>
    <t>Gmina Żagań</t>
  </si>
  <si>
    <t>Gmina Nowa Sól - Miasto</t>
  </si>
  <si>
    <t>Gmina Otyń</t>
  </si>
  <si>
    <t>Gmina Dobiegniew</t>
  </si>
  <si>
    <t>Gmina Kożuchów</t>
  </si>
  <si>
    <t>Gmina Cybinka</t>
  </si>
  <si>
    <t>Gmina Świdnica</t>
  </si>
  <si>
    <t>Gmina Iłowa</t>
  </si>
  <si>
    <t>Gmina Sulęcin</t>
  </si>
  <si>
    <t>Gmina Drezdenko</t>
  </si>
  <si>
    <t>Gmina Babimost</t>
  </si>
  <si>
    <t>Gmina Międzyrzecz</t>
  </si>
  <si>
    <t>Gmina Sulechów</t>
  </si>
  <si>
    <t>Gmina Kargowa</t>
  </si>
  <si>
    <t>Gmina Trzebiechów</t>
  </si>
  <si>
    <t>Gmina Witnica</t>
  </si>
  <si>
    <t>Gmina Słubice</t>
  </si>
  <si>
    <t>0806032</t>
  </si>
  <si>
    <t>Powiat Wschowski</t>
  </si>
  <si>
    <t>0808053</t>
  </si>
  <si>
    <t>0810092</t>
  </si>
  <si>
    <t>0804011</t>
  </si>
  <si>
    <t>0804073</t>
  </si>
  <si>
    <t>Powiat Krośnieński</t>
  </si>
  <si>
    <t>0811021</t>
  </si>
  <si>
    <t>0806013</t>
  </si>
  <si>
    <t>0810021</t>
  </si>
  <si>
    <t>0804043</t>
  </si>
  <si>
    <t>0805013</t>
  </si>
  <si>
    <t>Powiat Słubicki</t>
  </si>
  <si>
    <t>0810043</t>
  </si>
  <si>
    <t>0807043</t>
  </si>
  <si>
    <t>0804052</t>
  </si>
  <si>
    <t>0806023</t>
  </si>
  <si>
    <t>0809013</t>
  </si>
  <si>
    <t>0803023</t>
  </si>
  <si>
    <t>0809063</t>
  </si>
  <si>
    <t>0809043</t>
  </si>
  <si>
    <t>0809082</t>
  </si>
  <si>
    <t>0801073</t>
  </si>
  <si>
    <t>0805053</t>
  </si>
  <si>
    <t>Gmina Strzelce Krajeńskie</t>
  </si>
  <si>
    <t>0806043</t>
  </si>
  <si>
    <t xml:space="preserve">ZATWIERDZAM
</t>
  </si>
  <si>
    <t>RAZEM listy, z tego:</t>
  </si>
  <si>
    <t>RAZEM listy rezerwowe, z tego:</t>
  </si>
  <si>
    <t>Długość odcinka 
(w km)</t>
  </si>
  <si>
    <t>Lp.</t>
  </si>
  <si>
    <t>Zadanie nowe/wieloletnie [N/W]</t>
  </si>
  <si>
    <t>Gmina Żagań o statusie miejskim</t>
  </si>
  <si>
    <t>Gmina Żary o statusie miejskim</t>
  </si>
  <si>
    <t>Gmina Skwierzyna</t>
  </si>
  <si>
    <t>0803053</t>
  </si>
  <si>
    <t>0802052</t>
  </si>
  <si>
    <t>Województwo: Lubuskie</t>
  </si>
  <si>
    <t>0809072</t>
  </si>
  <si>
    <t>0803000</t>
  </si>
  <si>
    <t>0801000</t>
  </si>
  <si>
    <t>0809000</t>
  </si>
  <si>
    <t>0808000</t>
  </si>
  <si>
    <t>0812000</t>
  </si>
  <si>
    <t>0804000</t>
  </si>
  <si>
    <t>Powiat Strzelecko - Drezdenecki</t>
  </si>
  <si>
    <t>Gmina Zwierzyn</t>
  </si>
  <si>
    <t>0806052</t>
  </si>
  <si>
    <t>Gmina Rzepin</t>
  </si>
  <si>
    <t>0805043</t>
  </si>
  <si>
    <t xml:space="preserve">Lista zadań rekomendowanych do dofinansowania w ramach Rządowego Funduszu Rozwoju Dróg 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</si>
  <si>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rok 2023</t>
    </r>
  </si>
  <si>
    <t>Gmina Kłodawa</t>
  </si>
  <si>
    <t>Gmina Trzciel</t>
  </si>
  <si>
    <t>0803063</t>
  </si>
  <si>
    <t>Gmina Jasień</t>
  </si>
  <si>
    <t>0811043</t>
  </si>
  <si>
    <t>Gmina Szlichtyngowa</t>
  </si>
  <si>
    <t>0812023</t>
  </si>
  <si>
    <t>IB-III.3141. 49.4.2019</t>
  </si>
  <si>
    <t>K</t>
  </si>
  <si>
    <t>Przebudowa drogi powiatowej Nr 1339F na odcinku od węzła A2 do planowanej obwodnicy i budowa obwodnicy miasta Trzciel</t>
  </si>
  <si>
    <t>P</t>
  </si>
  <si>
    <t>12.2020 - 12.2023</t>
  </si>
  <si>
    <t>IB-III.3141. 34.3.2020</t>
  </si>
  <si>
    <t>Rozbudowa drogi powiatowej nr 1011F Sława - Krzepielów - etap I</t>
  </si>
  <si>
    <t>B</t>
  </si>
  <si>
    <t>09.2021 -09.2023</t>
  </si>
  <si>
    <t>IB-III.3141. 34.9.2020</t>
  </si>
  <si>
    <t>Przebudowa wraz z rozbudową drogi powiatowej nr 1398F na odcinku Borek-Brzozowiec w Gminie Deszczno</t>
  </si>
  <si>
    <t>09.2021 - 01.2023</t>
  </si>
  <si>
    <t>IB-III.3141. 34.12.2020</t>
  </si>
  <si>
    <t>Przebudowa drogi powiatowej nr 1201F na odcinku Krężoły - Buków wraz ze skrzyżowaniem w m. Buków</t>
  </si>
  <si>
    <t>09.2021 - 04.2023</t>
  </si>
  <si>
    <t>IB-III.3141. 69.6.2021</t>
  </si>
  <si>
    <t>W</t>
  </si>
  <si>
    <t>Budowa skrzyżowania bezkolizyjnego w ciągu nowobudowanej obwodnicy Konradowa w nowym śladzie drogi powiatowej nr 1050F wraz z budową przyległego układu drogowego</t>
  </si>
  <si>
    <t>05.2022 - 05.2023</t>
  </si>
  <si>
    <t>IB-III.3141. 69.14.2021</t>
  </si>
  <si>
    <t>Rozbudowa drogi powiatowej nr 1212F w ciągu ulicy Kosieczyńskiej i ulicy Okrężnej w Zbąszynku od km 0+069 do km 0+851</t>
  </si>
  <si>
    <t>07.2022 - 03.2025</t>
  </si>
  <si>
    <t>IB-III.3141. 69.17.2021</t>
  </si>
  <si>
    <t>Przebudowa i rozbudowa drogi powiatowej nr 1013F w Lginiu - etap I</t>
  </si>
  <si>
    <t>06.2022 - 11.2023</t>
  </si>
  <si>
    <t>IB-III.3141. 69.18.2021</t>
  </si>
  <si>
    <t>0810000</t>
  </si>
  <si>
    <t>Przebudowa drogi powiatowej nr 3907F - ul. Słowackiego w Szprotawie</t>
  </si>
  <si>
    <t>IB-III.3141. 69.1.2021</t>
  </si>
  <si>
    <t>0811000</t>
  </si>
  <si>
    <t>Rozbudowa drogi powiatowej nr 4601F - ul. Artylerzystów (od skrzyżowania ulic Lotników, Artylerzystów, Broni Pancernej do skrzyżowania ulic: Artylerzystów, Śródmiejska) w Żarach</t>
  </si>
  <si>
    <t>IB-III.3141. 69.16.2021</t>
  </si>
  <si>
    <t>Przebudowa i rozbudowa drogi powiatowej nr 1013F w Lginiu - etap II</t>
  </si>
  <si>
    <t>IB-III.3141. 69.5.2021</t>
  </si>
  <si>
    <t>Rozbudowa drogi powiatowej nr 1435F na odcinku od m. Królikowice do m. Bytom Odrzański</t>
  </si>
  <si>
    <t>05.2022 - 12.2025</t>
  </si>
  <si>
    <t>IB-III.3141. 20.73.2019</t>
  </si>
  <si>
    <t>Gmina Szprotawa</t>
  </si>
  <si>
    <t>0810073</t>
  </si>
  <si>
    <t>Rozbudowa drogi gminnej Nr 103573F w Szprotawie</t>
  </si>
  <si>
    <t>12.2019 - 12.2026</t>
  </si>
  <si>
    <t>IB-III.3141. 20.74.2019</t>
  </si>
  <si>
    <t>Rozbudowa dróg gminnych Nr 005947F, Nr 005943 i Nr 005935F w Wiechlicach</t>
  </si>
  <si>
    <t>12.2019 - 07.2023</t>
  </si>
  <si>
    <t>IB-III.3141. 50.51.2019</t>
  </si>
  <si>
    <t>Budowa drogi gminnej wraz z odwodnieniem i oświetleniem w Międzyrzeczu na działkach nr 675/59, 675/30, 675/51, 675/8, 675/111, 78, 675/106 i 35/189 - obręb geodezyjny Międzyrzecz 1</t>
  </si>
  <si>
    <t>07.2020 - 04.2023</t>
  </si>
  <si>
    <t>IB-III.3141.  35.26.2020</t>
  </si>
  <si>
    <t>Gmina Łagów</t>
  </si>
  <si>
    <t>0808022</t>
  </si>
  <si>
    <t>Świebodziński</t>
  </si>
  <si>
    <t>Kompleksowy system modernizacji i budowy infrastruktury drogowej w Gminie Łagów- przebudowa dróg gminnych w Łagowie - Etap II (ul. H. Sienkiewicza 003243F, ul. S. Moniuszki 003241F, ul. M. Reya 003242F)</t>
  </si>
  <si>
    <t>08.2021 - 01.2023</t>
  </si>
  <si>
    <t>IB-III.3141.  35.27.2020</t>
  </si>
  <si>
    <t>Kompleksowy system modernizacji i budowy infrastruktury drogowej w Gminie Łagów - przebudowa dróg gminnych w Łagowie - Etap II (ul. Kolonia 003236F, ul. Adama Mickiewicza 003240F, ul. Marii Konopnickiej 003239F)</t>
  </si>
  <si>
    <t>IB-III.3141.  35.77.2020</t>
  </si>
  <si>
    <t>Gorzowski</t>
  </si>
  <si>
    <t>Przebudowa ulicy Kolejowej w Nowinach Wielkich, gm. Witnica</t>
  </si>
  <si>
    <t>11.2021 - 05.2023</t>
  </si>
  <si>
    <t>IB-III.3141. 68.68.2021</t>
  </si>
  <si>
    <t>Budowa drogi gminnej do terenów inwestycyjnych w południowej części Nowej soli - etap III</t>
  </si>
  <si>
    <t>04.2022 - 06.2023</t>
  </si>
  <si>
    <t>IB-III.3141. 68.51.2021</t>
  </si>
  <si>
    <t>Budowa drogi C. K. Norwida wraz z oświetleniem na działkach zlokalizowanych przy ulicach: Cypriana Karola Norwida, Marii Konopnickiej i Jacka Malczewskiego w Międzyrzeczu</t>
  </si>
  <si>
    <t>06.2022 - 07.2023</t>
  </si>
  <si>
    <t>IB-III.3141. 68.35.2021</t>
  </si>
  <si>
    <t>Gmina Zabór</t>
  </si>
  <si>
    <t>0809092</t>
  </si>
  <si>
    <t>Budowa drogi gminnej - ul. Brzoskwiniowej wraz z budową odwodnienia i oświetlenia drogowego oraz kanału technologicznego w m. Droszków, gmina Zabór</t>
  </si>
  <si>
    <t>08.2022  - 02.2024</t>
  </si>
  <si>
    <t>IB-III.3141. 68.90.2021</t>
  </si>
  <si>
    <t>Gmina Górzyca</t>
  </si>
  <si>
    <t>0805022</t>
  </si>
  <si>
    <t>Przebudowa dróg gminnych w miejscowości Żabice</t>
  </si>
  <si>
    <t>IB-III.3141. 68.72.2021</t>
  </si>
  <si>
    <t>Przebudowa ulicy Moniuszki w Witnicy</t>
  </si>
  <si>
    <t>IB-III.3141. 68.53.2021</t>
  </si>
  <si>
    <t>Gmina Zbąszynek</t>
  </si>
  <si>
    <t>0808063</t>
  </si>
  <si>
    <t>Rozbudowa drogi gminnej nr 006301F w miejscowości Rogoziniec - etap I</t>
  </si>
  <si>
    <t>04.2022 - 04.2025</t>
  </si>
  <si>
    <t>IB-III.3141. 68.41.2021</t>
  </si>
  <si>
    <t>Gmina Słońsk</t>
  </si>
  <si>
    <t>0807032</t>
  </si>
  <si>
    <t>Przebudowa ul.Sienkiewicza, Mickiewicza i Kruczej w m. Słońsk</t>
  </si>
  <si>
    <t>06.2022 - 10.2023</t>
  </si>
  <si>
    <t>IB-III.3141. 68.83.2021</t>
  </si>
  <si>
    <t>Budowa drogi gminnej przy ul. Traugutta w Iłowej z chodnikiem i miejscami parkingowymi wraz z przebudową skrzyżowania z drogą wojewódzką nr 296</t>
  </si>
  <si>
    <t>08.2022 - 01.2024</t>
  </si>
  <si>
    <t>IB-III.3141. 68.79.2021</t>
  </si>
  <si>
    <t>Przebudowa ul. Małoodrzańskiej w m. Urad</t>
  </si>
  <si>
    <t>06.2022 - 08.2023</t>
  </si>
  <si>
    <t>IB-III.3141. 68.32.2021</t>
  </si>
  <si>
    <t>Budowa południowo - zachodniej obwodnicy miasta Świebodzin - odcinek 1</t>
  </si>
  <si>
    <t>03.2022 - 12.2023</t>
  </si>
  <si>
    <t>IB-III.3141. 68.46.2021</t>
  </si>
  <si>
    <t>Przebudowa drogi ul. Bohaterów Getta wraz z drogami przyległymi w Żarach</t>
  </si>
  <si>
    <t>03.2022 - 10.2023</t>
  </si>
  <si>
    <t>11*</t>
  </si>
  <si>
    <t>0801042</t>
  </si>
  <si>
    <t>IB-III.3141.   26.10.2022</t>
  </si>
  <si>
    <t>N</t>
  </si>
  <si>
    <t>0801</t>
  </si>
  <si>
    <t>Przebudowa drogi powiatowej Nr 1289F ul. Pocztowa - miejscowość Witnica</t>
  </si>
  <si>
    <t>04 - 12.2023</t>
  </si>
  <si>
    <t>IB-III.3141.   26.2.2022</t>
  </si>
  <si>
    <t>0803</t>
  </si>
  <si>
    <t>Przebudowa drogi powiatowej Nr 1321F odcinek Chełmsko - Twierdzielewo - Etap I</t>
  </si>
  <si>
    <t>03 - 12.2023</t>
  </si>
  <si>
    <t>IB-III.3141.   26.12.2022</t>
  </si>
  <si>
    <t>0809</t>
  </si>
  <si>
    <t>Rozbudowa drogi powiatowej nr 1144F (od km lok. 0+686,10 do km 1+918,90) realizowanej w ramach zadania pn.: Przebudowa drogi powiatowej Nr 1144F na odcinku od drogi krajowej nr 32 do m. Drzonów - etap II (od km lok. 0+686,10 do km 1+918,90)"</t>
  </si>
  <si>
    <t>06 - 11.2023</t>
  </si>
  <si>
    <t>IB-III.3141.   26.4.2022</t>
  </si>
  <si>
    <t>0802</t>
  </si>
  <si>
    <t>IB-III.3141.   26.13.2022</t>
  </si>
  <si>
    <t>0804</t>
  </si>
  <si>
    <t>Rozbudowa drogi powiatowej Nr 1435F ul. Ogrodowa w Bytomiu Odrzańskim</t>
  </si>
  <si>
    <t>05 - 12.2023</t>
  </si>
  <si>
    <t>IB-III.3141.   26.3.2022</t>
  </si>
  <si>
    <t>0812</t>
  </si>
  <si>
    <t>06 - 12.2023</t>
  </si>
  <si>
    <t>IB-III.3141.   26.6.2022</t>
  </si>
  <si>
    <t>0808</t>
  </si>
  <si>
    <t>Remont drogi powiatowej Nr 4019F ul. Wałowa w m. Świebodzin</t>
  </si>
  <si>
    <t>R</t>
  </si>
  <si>
    <t>06.2023 - 05.2024</t>
  </si>
  <si>
    <t>IB-III.3141.   26.8.2022</t>
  </si>
  <si>
    <t>0805</t>
  </si>
  <si>
    <t>01 - 11.2023</t>
  </si>
  <si>
    <t>IB-III.3141.   26.1.2022</t>
  </si>
  <si>
    <t>0806</t>
  </si>
  <si>
    <t>Remont drogi powiatowej Nr 1361F na odcinku Pławin - Przynotecko  w km 2+696 - 3+696</t>
  </si>
  <si>
    <t>03 -10.2023</t>
  </si>
  <si>
    <t>Przebudowa drogi powiatowej Nr 1248F Cybinka - Kłopot od km  9+400 do km 11+640</t>
  </si>
  <si>
    <t>Przebudowa  ul. Staroleszczyńskiej we Wschowie (droga  Nr 4226F)</t>
  </si>
  <si>
    <t>IB-III.3141.  25.4.2022</t>
  </si>
  <si>
    <t>Zielonogórski</t>
  </si>
  <si>
    <t>03 - 10.2023</t>
  </si>
  <si>
    <t>IB-III.3141.  25.33.2022</t>
  </si>
  <si>
    <t>Nowosolski</t>
  </si>
  <si>
    <t>Budowa publicznej drogi gminnej łączącej ul. Towarową z ul. Topolową  w Nowej Soli wraz z budową oświetlenia drogowego</t>
  </si>
  <si>
    <t>06.2023 - 12.2024</t>
  </si>
  <si>
    <t>IB-III.3141.  25.7.2022</t>
  </si>
  <si>
    <t>Żagański</t>
  </si>
  <si>
    <t>02 - 11.2023</t>
  </si>
  <si>
    <t>IB-III.3141.  25.29.2022</t>
  </si>
  <si>
    <t>Przebudowa drogi  ul. Sikorskiego w Witnicy</t>
  </si>
  <si>
    <t>02.2023 - 05.2024</t>
  </si>
  <si>
    <t>IB-III.3141.  25.58.2022</t>
  </si>
  <si>
    <t>07.2023 - 12.2024</t>
  </si>
  <si>
    <t>IB-III.3141.  25.22.2022</t>
  </si>
  <si>
    <t>Gmina Nowa Sól</t>
  </si>
  <si>
    <t>Budowa dróg gminnych (os. Nad Stawem) - odcinek I w km 0+000,00 + 0+465,44, odcinek II w km 0+000,00 - 0+128,55 w m. Lubieszów wraz z budową odwodnienia drogowego</t>
  </si>
  <si>
    <t>IB-III.3141.  25.10.2022</t>
  </si>
  <si>
    <t>Budowa dróg gminnych na dz. 936 i 937 obręb 3 w m. Świebodzin</t>
  </si>
  <si>
    <t>03 - 11.2023</t>
  </si>
  <si>
    <t>IB-III.3141.  25.54.2022</t>
  </si>
  <si>
    <t>Żarski</t>
  </si>
  <si>
    <t>Rozbudowa drogi ulicy Sportowej w Żarach</t>
  </si>
  <si>
    <t>09.2023 - 09.2025</t>
  </si>
  <si>
    <t>IB-III.3141.  25.11.2022</t>
  </si>
  <si>
    <t>05 - 11.2023</t>
  </si>
  <si>
    <t>IB-III.3141.  25.15.2022</t>
  </si>
  <si>
    <t>Strzelecko - Drezdenecki</t>
  </si>
  <si>
    <t>IB-III.3141.  25.34.2022</t>
  </si>
  <si>
    <t>Gmina Nowa Sól   - Miasto</t>
  </si>
  <si>
    <t>IB-III.3141.  25.36.2022</t>
  </si>
  <si>
    <t>Budowa nawierzchni ulic Południowa, Wspólna, Wesoła w Drezdenku</t>
  </si>
  <si>
    <t>Przebudowa dróg wewnętrznych na terenie byłych zakładów Odra w Nowej Soli</t>
  </si>
  <si>
    <t>Budowa drogi gminnej  Nr 005302F w Rokitnie - gmina Stare Kurowo</t>
  </si>
  <si>
    <t>IB-III.3141.  25.30.2022</t>
  </si>
  <si>
    <t>Przebudowa drogi gminnej Nr 103908F - ul. Kolejowa w Witnicy</t>
  </si>
  <si>
    <t>01 - 12.2023</t>
  </si>
  <si>
    <t>IB-III.3141.  25.1.2022</t>
  </si>
  <si>
    <t>Remont drogi gminnej na dz. 259, 265/2, 260 w sołectwie Głuchów - etap I</t>
  </si>
  <si>
    <t>06 -09.2023</t>
  </si>
  <si>
    <t>IB-III.3141.  25.21.2022</t>
  </si>
  <si>
    <t>Rozbudowa drogi gminnej Nr 003729F oraz budowa dróg gminnych w miejscowości Nowe Żabno</t>
  </si>
  <si>
    <t>04.2023 - 06.2024</t>
  </si>
  <si>
    <t>IB-III.3141.  25.12.2022</t>
  </si>
  <si>
    <t>Przebudowa nawierzchni drogi gminnej - ul. Leśna  w Chwalęcicach, gm. Kłodawa</t>
  </si>
  <si>
    <t>IB-III.3141.  25.18.2022</t>
  </si>
  <si>
    <t xml:space="preserve">Gmina Gubin      </t>
  </si>
  <si>
    <t>Krośnieński</t>
  </si>
  <si>
    <t xml:space="preserve">Przebudowa dróg gminnych w miejscowości Chlebowo Nr 000624F i 000627F </t>
  </si>
  <si>
    <t>IB-III.3141.  25.19.2022</t>
  </si>
  <si>
    <t>Przebudowa dróg gminnych Nr 000601F oraz 000676F w miejscowości Markosice, gmina Gubin</t>
  </si>
  <si>
    <t>05.2023 - 04.2024</t>
  </si>
  <si>
    <t>IB-III.3141.  25.32.2022</t>
  </si>
  <si>
    <t>04 - 11.2023</t>
  </si>
  <si>
    <t>IB-III.3141.  25.49.2022</t>
  </si>
  <si>
    <t>Przebudowa ul. Ks. J. Popiełuszki w Strzelcach Krajeńskich</t>
  </si>
  <si>
    <t>IB-III.3141.  25.59.2022</t>
  </si>
  <si>
    <t>Międzyrzecki</t>
  </si>
  <si>
    <t>04 - 10.2023</t>
  </si>
  <si>
    <t>Budowa i przebudowa dróg gminnych Nr 006015F w Radomi</t>
  </si>
  <si>
    <t>Budowa drogi gminnej  Nr 006310F Jasieniec - Rybojady</t>
  </si>
  <si>
    <t>IB-III.3141.  25.31.2022</t>
  </si>
  <si>
    <t>IB-III.3141.  25.38.2022</t>
  </si>
  <si>
    <t>07.2023 - 06.2024</t>
  </si>
  <si>
    <t>Budowa drogi gminnej Nr 100547F - ul. Akacjowa w Dobiegniewie</t>
  </si>
  <si>
    <t>IB-III.3141.  25.44.2022</t>
  </si>
  <si>
    <t>IB-III.3141.  25.45.2022</t>
  </si>
  <si>
    <t>IB-III.3141.  25.39.2022</t>
  </si>
  <si>
    <t>08.2023 - 06.2024</t>
  </si>
  <si>
    <t>Budowa drogi gminnej Nr 001911F w m. Roztoki, gmina Jasień</t>
  </si>
  <si>
    <t>Budowa drogi gminnej  Nr 101201F ul. Akacjowa w Jasieniu</t>
  </si>
  <si>
    <t>Rozbudowa ulicy  W. Łokietka w Dobiegniewie</t>
  </si>
  <si>
    <t>IB-III.3141.  25.37.2022</t>
  </si>
  <si>
    <t>IB-III.3141.  25.8.2022</t>
  </si>
  <si>
    <t>Słubicki</t>
  </si>
  <si>
    <t>Przebudowa ulicy Szkolnej w Drezdenku</t>
  </si>
  <si>
    <t>Przebudowa ul. Młyńskiej w m. Rąpice</t>
  </si>
  <si>
    <t>IB-III.3141.  25.2.2022</t>
  </si>
  <si>
    <t>Remont drogi gminnej na dz. nr. 270 w m. Radowice</t>
  </si>
  <si>
    <t>IB-III.3141.  25.57.2022</t>
  </si>
  <si>
    <t>IB-III.3141.  25.48.2022</t>
  </si>
  <si>
    <t>Budowa drogi gminnej Nr 102708F (ul. Bocznej) w Rzepinie</t>
  </si>
  <si>
    <t>Budowa drogi gminnej w miejscowości Wiejce</t>
  </si>
  <si>
    <t>IB-III.3141.  25.20.2022</t>
  </si>
  <si>
    <t>Zielonogorski</t>
  </si>
  <si>
    <t>03 -11.2023</t>
  </si>
  <si>
    <t>IB-III.3141.  25.60.2022</t>
  </si>
  <si>
    <t>IB-III.3141.  25.56.2022</t>
  </si>
  <si>
    <t>Budowa drogi -  ul. Słowikowa w Kruszynie</t>
  </si>
  <si>
    <t>IB-III.3141.  25.9.2022</t>
  </si>
  <si>
    <t>IB-III.3141.  25.24.2022</t>
  </si>
  <si>
    <t>Remont drogi gminnej Nr 101106F w miejscowości Iłowa na odcinku od km 0+489 do km 1+620 i drogi gminnej nr 001801F odcinek Iłowa + Kowalice od km 0+000 do km 1+139</t>
  </si>
  <si>
    <t>IB-III.3141.  25.47.2022</t>
  </si>
  <si>
    <t>Odnowa nawierzchni drogi gminnej w Zagajach - etap 1</t>
  </si>
  <si>
    <t>05 - 10.2023</t>
  </si>
  <si>
    <t>IB-III.3141.  25.3.2022</t>
  </si>
  <si>
    <t>Wschowski</t>
  </si>
  <si>
    <t>Remont drogi w Jędrzychowicach</t>
  </si>
  <si>
    <t>IB-III.3141.  25.40.2022</t>
  </si>
  <si>
    <t>Sulęciński</t>
  </si>
  <si>
    <t>Przebudowa drogi gminnej 005632F w miejscowości Żubrów</t>
  </si>
  <si>
    <t>01 - 08.2023</t>
  </si>
  <si>
    <t>IB-III.3141.  25.35.2022</t>
  </si>
  <si>
    <t>IB-III.3141.  25.53.2022</t>
  </si>
  <si>
    <t>Przebudowa drogi wewnętrznej na działkach 614, 612, 179/9 w miejscowości Miodnica, gmina Żagań</t>
  </si>
  <si>
    <t>IB-III.3141.  25.41.2022</t>
  </si>
  <si>
    <t>01.2023 - 11.2023</t>
  </si>
  <si>
    <t>Remont drogi gminnej Nr 102118F ul. Łąkowej  w Międzyrzeczu</t>
  </si>
  <si>
    <t>IB-III.3141.  25.61.2022</t>
  </si>
  <si>
    <t>IB-III.3141.  25.23.2022</t>
  </si>
  <si>
    <t>Remont ulicy Bolesława Chrobrego w miejscowości Iłowa</t>
  </si>
  <si>
    <t>Budowa ulicy Strzeleckiej  w Kargowej</t>
  </si>
  <si>
    <t>Przebudowa drogi gminnej nr 104584F  - ul. Lotników Alianckich w Żaganiu</t>
  </si>
  <si>
    <t>Budowa drogi gminnej Nr 100130F w miejscowości Babimost ul. Działkowa  z infrastrukturą oraz połączeniem z drogami powiatowymi nr 1194F oraz 2101F</t>
  </si>
  <si>
    <t>Budowa dróg gminnych - ul. Polnej, ul. Truskawkowej i ul. Magnolii wraz z budową odwodnienia i oświetlenia drogowego w m. Otyń</t>
  </si>
  <si>
    <t>Przebudowa drogi powiatowej Nr 2612F ul. Legnicka w m. Gubin (0+000,00 - 0+842,80)</t>
  </si>
  <si>
    <t>Przebudowa drogi gminnej Nr 103031F            (ul. Piłsudskiego) w Słubicach</t>
  </si>
  <si>
    <t>Przebudowa drogi gminnej 103321F,                     ul. Okopowa  w Sulęcinie</t>
  </si>
  <si>
    <t>Rozbudowa drogi gminnej - ul. Szkolnej            w miejscowości Kłodawa</t>
  </si>
  <si>
    <t>10.2022 - 10.2023</t>
  </si>
  <si>
    <t>11.2022 - 06.2023</t>
  </si>
  <si>
    <t>Przebudowa drogi w miejscowości Gościkowo od nr 34 do nr 54 gm. Świebodzin</t>
  </si>
  <si>
    <t>Budowa drogi na terenie Strefy Przemysłowej w Podbrzeziu Dolnym w Gminie Kożuchów</t>
  </si>
  <si>
    <t>10.2022 - 02.2024</t>
  </si>
  <si>
    <t>IB-III.3141. 50.42.2019</t>
  </si>
  <si>
    <t>Budowa drogi gminnej - ul. Wiśniowej wraz z budową odwodnienia i oświetlenia drogowego w m. Droszków, gm. Zabór</t>
  </si>
  <si>
    <t>11.2020 - 01.2023</t>
  </si>
  <si>
    <t>7*</t>
  </si>
  <si>
    <t>18*</t>
  </si>
  <si>
    <t>4*</t>
  </si>
  <si>
    <t>19*</t>
  </si>
  <si>
    <t>IB-III.3141.  35.86.2020</t>
  </si>
  <si>
    <t>Strzelecko-Drezdenecki</t>
  </si>
  <si>
    <t>Przebudowa drogi w m. Drezdenko - ul. Poniatowskiego odcinek 1</t>
  </si>
  <si>
    <t>8*</t>
  </si>
  <si>
    <t>41*</t>
  </si>
  <si>
    <t>11.2021 - 04.2023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</si>
</sst>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0\ &quot;zł&quot;"/>
    <numFmt numFmtId="165" formatCode="#,##0.000"/>
    <numFmt numFmtId="166" formatCode="0.000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8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5"/>
      <name val="Times New Roman"/>
      <family val="1"/>
      <charset val="238"/>
    </font>
    <font>
      <sz val="9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5"/>
      <name val="Arial"/>
      <family val="2"/>
      <charset val="238"/>
    </font>
    <font>
      <sz val="9"/>
      <color rgb="FF00B05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8" fillId="0" borderId="0" xfId="0" applyNumberFormat="1" applyFont="1" applyFill="1" applyBorder="1" applyAlignment="1"/>
    <xf numFmtId="4" fontId="8" fillId="0" borderId="0" xfId="0" applyNumberFormat="1" applyFont="1" applyBorder="1" applyAlignment="1"/>
    <xf numFmtId="0" fontId="8" fillId="0" borderId="0" xfId="0" applyFont="1" applyBorder="1"/>
    <xf numFmtId="4" fontId="9" fillId="0" borderId="0" xfId="0" applyNumberFormat="1" applyFont="1" applyFill="1" applyBorder="1" applyAlignment="1"/>
    <xf numFmtId="4" fontId="9" fillId="0" borderId="0" xfId="0" applyNumberFormat="1" applyFont="1" applyBorder="1" applyAlignment="1"/>
    <xf numFmtId="0" fontId="1" fillId="0" borderId="0" xfId="0" applyFont="1"/>
    <xf numFmtId="4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4" fontId="11" fillId="5" borderId="23" xfId="0" applyNumberFormat="1" applyFont="1" applyFill="1" applyBorder="1" applyAlignment="1">
      <alignment vertical="center"/>
    </xf>
    <xf numFmtId="164" fontId="13" fillId="5" borderId="23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4" fontId="11" fillId="4" borderId="22" xfId="0" applyNumberFormat="1" applyFont="1" applyFill="1" applyBorder="1" applyAlignment="1">
      <alignment vertical="center"/>
    </xf>
    <xf numFmtId="0" fontId="11" fillId="4" borderId="23" xfId="0" applyFont="1" applyFill="1" applyBorder="1" applyAlignment="1">
      <alignment horizontal="left" vertical="center" indent="2"/>
    </xf>
    <xf numFmtId="164" fontId="13" fillId="3" borderId="2" xfId="0" applyNumberFormat="1" applyFont="1" applyFill="1" applyBorder="1" applyAlignment="1">
      <alignment vertical="center"/>
    </xf>
    <xf numFmtId="164" fontId="11" fillId="3" borderId="2" xfId="0" applyNumberFormat="1" applyFont="1" applyFill="1" applyBorder="1" applyAlignment="1">
      <alignment vertical="center"/>
    </xf>
    <xf numFmtId="164" fontId="11" fillId="4" borderId="2" xfId="0" applyNumberFormat="1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164" fontId="13" fillId="3" borderId="3" xfId="0" applyNumberFormat="1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164" fontId="11" fillId="4" borderId="3" xfId="0" applyNumberFormat="1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64" fontId="11" fillId="5" borderId="28" xfId="0" applyNumberFormat="1" applyFont="1" applyFill="1" applyBorder="1" applyAlignment="1">
      <alignment vertical="center"/>
    </xf>
    <xf numFmtId="164" fontId="11" fillId="0" borderId="32" xfId="0" applyNumberFormat="1" applyFont="1" applyFill="1" applyBorder="1" applyAlignment="1">
      <alignment vertical="center"/>
    </xf>
    <xf numFmtId="164" fontId="11" fillId="0" borderId="33" xfId="0" applyNumberFormat="1" applyFont="1" applyFill="1" applyBorder="1" applyAlignment="1">
      <alignment vertical="center"/>
    </xf>
    <xf numFmtId="164" fontId="11" fillId="5" borderId="34" xfId="0" applyNumberFormat="1" applyFont="1" applyFill="1" applyBorder="1" applyAlignment="1">
      <alignment vertical="center"/>
    </xf>
    <xf numFmtId="164" fontId="11" fillId="0" borderId="31" xfId="0" applyNumberFormat="1" applyFont="1" applyFill="1" applyBorder="1" applyAlignment="1">
      <alignment vertical="center"/>
    </xf>
    <xf numFmtId="164" fontId="13" fillId="5" borderId="38" xfId="0" applyNumberFormat="1" applyFont="1" applyFill="1" applyBorder="1" applyAlignment="1">
      <alignment vertical="center"/>
    </xf>
    <xf numFmtId="164" fontId="14" fillId="3" borderId="32" xfId="0" applyNumberFormat="1" applyFont="1" applyFill="1" applyBorder="1" applyAlignment="1">
      <alignment vertical="center"/>
    </xf>
    <xf numFmtId="164" fontId="14" fillId="3" borderId="33" xfId="0" applyNumberFormat="1" applyFont="1" applyFill="1" applyBorder="1" applyAlignment="1">
      <alignment vertical="center"/>
    </xf>
    <xf numFmtId="164" fontId="14" fillId="5" borderId="34" xfId="0" applyNumberFormat="1" applyFont="1" applyFill="1" applyBorder="1" applyAlignment="1">
      <alignment vertical="center"/>
    </xf>
    <xf numFmtId="164" fontId="14" fillId="3" borderId="31" xfId="0" applyNumberFormat="1" applyFont="1" applyFill="1" applyBorder="1" applyAlignment="1">
      <alignment vertical="center"/>
    </xf>
    <xf numFmtId="164" fontId="13" fillId="3" borderId="36" xfId="0" applyNumberFormat="1" applyFont="1" applyFill="1" applyBorder="1" applyAlignment="1">
      <alignment vertical="center"/>
    </xf>
    <xf numFmtId="164" fontId="13" fillId="3" borderId="37" xfId="0" applyNumberFormat="1" applyFont="1" applyFill="1" applyBorder="1" applyAlignment="1">
      <alignment vertical="center"/>
    </xf>
    <xf numFmtId="164" fontId="13" fillId="3" borderId="35" xfId="0" applyNumberFormat="1" applyFont="1" applyFill="1" applyBorder="1" applyAlignment="1">
      <alignment vertical="center"/>
    </xf>
    <xf numFmtId="0" fontId="11" fillId="4" borderId="28" xfId="0" applyFont="1" applyFill="1" applyBorder="1" applyAlignment="1">
      <alignment vertical="center"/>
    </xf>
    <xf numFmtId="164" fontId="11" fillId="4" borderId="5" xfId="0" applyNumberFormat="1" applyFont="1" applyFill="1" applyBorder="1" applyAlignment="1">
      <alignment vertical="center"/>
    </xf>
    <xf numFmtId="164" fontId="11" fillId="4" borderId="8" xfId="0" applyNumberFormat="1" applyFont="1" applyFill="1" applyBorder="1" applyAlignment="1">
      <alignment vertical="center"/>
    </xf>
    <xf numFmtId="164" fontId="11" fillId="4" borderId="29" xfId="0" applyNumberFormat="1" applyFont="1" applyFill="1" applyBorder="1" applyAlignment="1">
      <alignment vertical="center"/>
    </xf>
    <xf numFmtId="164" fontId="11" fillId="4" borderId="30" xfId="0" applyNumberFormat="1" applyFont="1" applyFill="1" applyBorder="1" applyAlignment="1">
      <alignment vertical="center"/>
    </xf>
    <xf numFmtId="0" fontId="13" fillId="4" borderId="25" xfId="0" applyFont="1" applyFill="1" applyBorder="1" applyAlignment="1">
      <alignment horizontal="left" vertical="center" indent="2"/>
    </xf>
    <xf numFmtId="164" fontId="13" fillId="4" borderId="4" xfId="0" applyNumberFormat="1" applyFont="1" applyFill="1" applyBorder="1" applyAlignment="1">
      <alignment vertical="center"/>
    </xf>
    <xf numFmtId="164" fontId="13" fillId="4" borderId="7" xfId="0" applyNumberFormat="1" applyFont="1" applyFill="1" applyBorder="1" applyAlignment="1">
      <alignment vertical="center"/>
    </xf>
    <xf numFmtId="164" fontId="13" fillId="5" borderId="25" xfId="0" applyNumberFormat="1" applyFont="1" applyFill="1" applyBorder="1" applyAlignment="1">
      <alignment vertical="center"/>
    </xf>
    <xf numFmtId="164" fontId="13" fillId="4" borderId="26" xfId="0" applyNumberFormat="1" applyFont="1" applyFill="1" applyBorder="1" applyAlignment="1">
      <alignment vertical="center"/>
    </xf>
    <xf numFmtId="164" fontId="13" fillId="4" borderId="27" xfId="0" applyNumberFormat="1" applyFont="1" applyFill="1" applyBorder="1" applyAlignment="1">
      <alignment vertical="center"/>
    </xf>
    <xf numFmtId="164" fontId="12" fillId="6" borderId="32" xfId="0" applyNumberFormat="1" applyFont="1" applyFill="1" applyBorder="1" applyAlignment="1">
      <alignment vertical="center"/>
    </xf>
    <xf numFmtId="164" fontId="12" fillId="6" borderId="33" xfId="0" applyNumberFormat="1" applyFont="1" applyFill="1" applyBorder="1" applyAlignment="1">
      <alignment vertical="center"/>
    </xf>
    <xf numFmtId="164" fontId="12" fillId="5" borderId="34" xfId="0" applyNumberFormat="1" applyFont="1" applyFill="1" applyBorder="1" applyAlignment="1">
      <alignment vertical="center"/>
    </xf>
    <xf numFmtId="164" fontId="12" fillId="6" borderId="3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164" fontId="13" fillId="2" borderId="2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164" fontId="11" fillId="2" borderId="2" xfId="0" applyNumberFormat="1" applyFont="1" applyFill="1" applyBorder="1" applyAlignment="1">
      <alignment vertical="center"/>
    </xf>
    <xf numFmtId="164" fontId="13" fillId="2" borderId="36" xfId="0" applyNumberFormat="1" applyFont="1" applyFill="1" applyBorder="1" applyAlignment="1">
      <alignment vertical="center"/>
    </xf>
    <xf numFmtId="164" fontId="13" fillId="2" borderId="37" xfId="0" applyNumberFormat="1" applyFont="1" applyFill="1" applyBorder="1" applyAlignment="1">
      <alignment vertical="center"/>
    </xf>
    <xf numFmtId="164" fontId="13" fillId="2" borderId="3" xfId="0" applyNumberFormat="1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164" fontId="13" fillId="2" borderId="35" xfId="0" applyNumberFormat="1" applyFont="1" applyFill="1" applyBorder="1" applyAlignment="1">
      <alignment vertical="center"/>
    </xf>
    <xf numFmtId="164" fontId="11" fillId="2" borderId="31" xfId="0" applyNumberFormat="1" applyFont="1" applyFill="1" applyBorder="1" applyAlignment="1">
      <alignment vertical="center"/>
    </xf>
    <xf numFmtId="164" fontId="11" fillId="2" borderId="32" xfId="0" applyNumberFormat="1" applyFont="1" applyFill="1" applyBorder="1" applyAlignment="1">
      <alignment vertical="center"/>
    </xf>
    <xf numFmtId="164" fontId="11" fillId="2" borderId="33" xfId="0" applyNumberFormat="1" applyFont="1" applyFill="1" applyBorder="1" applyAlignment="1">
      <alignment vertical="center"/>
    </xf>
    <xf numFmtId="164" fontId="12" fillId="6" borderId="5" xfId="0" applyNumberFormat="1" applyFont="1" applyFill="1" applyBorder="1" applyAlignment="1">
      <alignment vertical="center"/>
    </xf>
    <xf numFmtId="164" fontId="12" fillId="6" borderId="8" xfId="0" applyNumberFormat="1" applyFont="1" applyFill="1" applyBorder="1" applyAlignment="1">
      <alignment vertical="center"/>
    </xf>
    <xf numFmtId="164" fontId="12" fillId="5" borderId="28" xfId="0" applyNumberFormat="1" applyFont="1" applyFill="1" applyBorder="1" applyAlignment="1">
      <alignment vertical="center"/>
    </xf>
    <xf numFmtId="164" fontId="12" fillId="6" borderId="29" xfId="0" applyNumberFormat="1" applyFont="1" applyFill="1" applyBorder="1" applyAlignment="1">
      <alignment vertical="center"/>
    </xf>
    <xf numFmtId="164" fontId="13" fillId="6" borderId="1" xfId="0" applyNumberFormat="1" applyFont="1" applyFill="1" applyBorder="1" applyAlignment="1">
      <alignment vertical="center"/>
    </xf>
    <xf numFmtId="164" fontId="13" fillId="6" borderId="2" xfId="0" applyNumberFormat="1" applyFont="1" applyFill="1" applyBorder="1" applyAlignment="1">
      <alignment vertical="center"/>
    </xf>
    <xf numFmtId="164" fontId="13" fillId="6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0" borderId="31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3" fillId="2" borderId="35" xfId="0" applyNumberFormat="1" applyFont="1" applyFill="1" applyBorder="1" applyAlignment="1">
      <alignment horizontal="center" vertical="center"/>
    </xf>
    <xf numFmtId="0" fontId="14" fillId="3" borderId="31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3" fillId="3" borderId="35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/>
    </xf>
    <xf numFmtId="0" fontId="11" fillId="4" borderId="29" xfId="0" applyNumberFormat="1" applyFont="1" applyFill="1" applyBorder="1" applyAlignment="1">
      <alignment horizontal="center" vertical="center"/>
    </xf>
    <xf numFmtId="0" fontId="11" fillId="4" borderId="3" xfId="0" applyNumberFormat="1" applyFont="1" applyFill="1" applyBorder="1" applyAlignment="1">
      <alignment horizontal="center" vertical="center"/>
    </xf>
    <xf numFmtId="0" fontId="13" fillId="4" borderId="26" xfId="0" applyNumberFormat="1" applyFont="1" applyFill="1" applyBorder="1" applyAlignment="1">
      <alignment horizontal="center" vertical="center"/>
    </xf>
    <xf numFmtId="0" fontId="12" fillId="6" borderId="31" xfId="0" applyNumberFormat="1" applyFont="1" applyFill="1" applyBorder="1" applyAlignment="1">
      <alignment horizontal="center" vertical="center"/>
    </xf>
    <xf numFmtId="0" fontId="13" fillId="6" borderId="3" xfId="0" applyNumberFormat="1" applyFont="1" applyFill="1" applyBorder="1" applyAlignment="1">
      <alignment horizontal="center" vertical="center"/>
    </xf>
    <xf numFmtId="0" fontId="12" fillId="6" borderId="2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34" xfId="0" applyFont="1" applyFill="1" applyBorder="1" applyAlignment="1">
      <alignment vertical="center"/>
    </xf>
    <xf numFmtId="164" fontId="11" fillId="0" borderId="39" xfId="0" applyNumberFormat="1" applyFont="1" applyFill="1" applyBorder="1" applyAlignment="1">
      <alignment vertical="center"/>
    </xf>
    <xf numFmtId="0" fontId="13" fillId="0" borderId="23" xfId="0" applyFont="1" applyFill="1" applyBorder="1" applyAlignment="1">
      <alignment horizontal="left" vertical="center" wrapText="1" indent="2"/>
    </xf>
    <xf numFmtId="164" fontId="13" fillId="2" borderId="40" xfId="0" applyNumberFormat="1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indent="2"/>
    </xf>
    <xf numFmtId="164" fontId="11" fillId="2" borderId="40" xfId="0" applyNumberFormat="1" applyFont="1" applyFill="1" applyBorder="1" applyAlignment="1">
      <alignment vertical="center"/>
    </xf>
    <xf numFmtId="0" fontId="13" fillId="0" borderId="38" xfId="0" applyFont="1" applyFill="1" applyBorder="1" applyAlignment="1">
      <alignment horizontal="left" vertical="center" indent="2"/>
    </xf>
    <xf numFmtId="164" fontId="13" fillId="2" borderId="41" xfId="0" applyNumberFormat="1" applyFont="1" applyFill="1" applyBorder="1" applyAlignment="1">
      <alignment vertical="center"/>
    </xf>
    <xf numFmtId="164" fontId="11" fillId="2" borderId="39" xfId="0" applyNumberFormat="1" applyFont="1" applyFill="1" applyBorder="1" applyAlignment="1">
      <alignment vertical="center"/>
    </xf>
    <xf numFmtId="0" fontId="14" fillId="3" borderId="34" xfId="0" applyFont="1" applyFill="1" applyBorder="1" applyAlignment="1">
      <alignment vertical="center"/>
    </xf>
    <xf numFmtId="164" fontId="14" fillId="3" borderId="42" xfId="0" applyNumberFormat="1" applyFont="1" applyFill="1" applyBorder="1" applyAlignment="1">
      <alignment vertical="center"/>
    </xf>
    <xf numFmtId="0" fontId="13" fillId="3" borderId="23" xfId="0" applyFont="1" applyFill="1" applyBorder="1" applyAlignment="1">
      <alignment horizontal="left" vertical="center" wrapText="1" indent="2"/>
    </xf>
    <xf numFmtId="164" fontId="13" fillId="3" borderId="22" xfId="0" applyNumberFormat="1" applyFont="1" applyFill="1" applyBorder="1" applyAlignment="1">
      <alignment vertical="center"/>
    </xf>
    <xf numFmtId="0" fontId="11" fillId="3" borderId="23" xfId="0" applyFont="1" applyFill="1" applyBorder="1" applyAlignment="1">
      <alignment horizontal="left" vertical="center" indent="2"/>
    </xf>
    <xf numFmtId="164" fontId="11" fillId="3" borderId="22" xfId="0" applyNumberFormat="1" applyFont="1" applyFill="1" applyBorder="1" applyAlignment="1">
      <alignment vertical="center"/>
    </xf>
    <xf numFmtId="0" fontId="13" fillId="3" borderId="38" xfId="0" applyFont="1" applyFill="1" applyBorder="1" applyAlignment="1">
      <alignment horizontal="left" vertical="center" indent="2"/>
    </xf>
    <xf numFmtId="164" fontId="13" fillId="3" borderId="43" xfId="0" applyNumberFormat="1" applyFont="1" applyFill="1" applyBorder="1" applyAlignment="1">
      <alignment vertical="center"/>
    </xf>
    <xf numFmtId="164" fontId="11" fillId="2" borderId="42" xfId="0" applyNumberFormat="1" applyFont="1" applyFill="1" applyBorder="1" applyAlignment="1">
      <alignment vertical="center"/>
    </xf>
    <xf numFmtId="164" fontId="11" fillId="2" borderId="22" xfId="0" applyNumberFormat="1" applyFont="1" applyFill="1" applyBorder="1" applyAlignment="1">
      <alignment vertical="center"/>
    </xf>
    <xf numFmtId="164" fontId="13" fillId="2" borderId="43" xfId="0" applyNumberFormat="1" applyFont="1" applyFill="1" applyBorder="1" applyAlignment="1">
      <alignment vertical="center"/>
    </xf>
    <xf numFmtId="0" fontId="11" fillId="6" borderId="34" xfId="0" applyFont="1" applyFill="1" applyBorder="1" applyAlignment="1">
      <alignment vertical="center"/>
    </xf>
    <xf numFmtId="164" fontId="12" fillId="6" borderId="42" xfId="0" applyNumberFormat="1" applyFont="1" applyFill="1" applyBorder="1" applyAlignment="1">
      <alignment vertical="center"/>
    </xf>
    <xf numFmtId="0" fontId="13" fillId="6" borderId="23" xfId="0" applyFont="1" applyFill="1" applyBorder="1" applyAlignment="1">
      <alignment horizontal="left" vertical="center" indent="2"/>
    </xf>
    <xf numFmtId="164" fontId="13" fillId="6" borderId="22" xfId="0" applyNumberFormat="1" applyFont="1" applyFill="1" applyBorder="1" applyAlignment="1">
      <alignment vertical="center"/>
    </xf>
    <xf numFmtId="0" fontId="11" fillId="6" borderId="28" xfId="0" applyFont="1" applyFill="1" applyBorder="1" applyAlignment="1">
      <alignment horizontal="left" vertical="center" indent="2"/>
    </xf>
    <xf numFmtId="164" fontId="12" fillId="6" borderId="30" xfId="0" applyNumberFormat="1" applyFont="1" applyFill="1" applyBorder="1" applyAlignment="1">
      <alignment vertical="center"/>
    </xf>
    <xf numFmtId="0" fontId="13" fillId="6" borderId="44" xfId="0" applyFont="1" applyFill="1" applyBorder="1" applyAlignment="1">
      <alignment horizontal="left" vertical="center" indent="2"/>
    </xf>
    <xf numFmtId="0" fontId="13" fillId="6" borderId="45" xfId="0" applyNumberFormat="1" applyFont="1" applyFill="1" applyBorder="1" applyAlignment="1">
      <alignment horizontal="center" vertical="center"/>
    </xf>
    <xf numFmtId="164" fontId="13" fillId="6" borderId="46" xfId="0" applyNumberFormat="1" applyFont="1" applyFill="1" applyBorder="1" applyAlignment="1">
      <alignment vertical="center"/>
    </xf>
    <xf numFmtId="164" fontId="13" fillId="6" borderId="47" xfId="0" applyNumberFormat="1" applyFont="1" applyFill="1" applyBorder="1" applyAlignment="1">
      <alignment vertical="center"/>
    </xf>
    <xf numFmtId="164" fontId="13" fillId="5" borderId="44" xfId="0" applyNumberFormat="1" applyFont="1" applyFill="1" applyBorder="1" applyAlignment="1">
      <alignment vertical="center"/>
    </xf>
    <xf numFmtId="164" fontId="13" fillId="6" borderId="45" xfId="0" applyNumberFormat="1" applyFont="1" applyFill="1" applyBorder="1" applyAlignment="1">
      <alignment vertical="center"/>
    </xf>
    <xf numFmtId="164" fontId="13" fillId="6" borderId="48" xfId="0" applyNumberFormat="1" applyFont="1" applyFill="1" applyBorder="1" applyAlignment="1">
      <alignment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17" fillId="0" borderId="2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/>
    </xf>
    <xf numFmtId="4" fontId="17" fillId="0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9" fontId="17" fillId="0" borderId="0" xfId="2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 wrapText="1"/>
    </xf>
    <xf numFmtId="165" fontId="18" fillId="2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right" vertical="center" wrapText="1"/>
    </xf>
    <xf numFmtId="9" fontId="18" fillId="2" borderId="1" xfId="0" applyNumberFormat="1" applyFont="1" applyFill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 wrapText="1"/>
    </xf>
    <xf numFmtId="0" fontId="8" fillId="0" borderId="0" xfId="1" applyFont="1" applyFill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1" applyFont="1" applyFill="1" applyAlignment="1">
      <alignment vertical="center"/>
    </xf>
    <xf numFmtId="4" fontId="19" fillId="0" borderId="1" xfId="0" applyNumberFormat="1" applyFont="1" applyBorder="1" applyAlignment="1">
      <alignment vertical="center" wrapText="1"/>
    </xf>
    <xf numFmtId="4" fontId="17" fillId="0" borderId="0" xfId="0" applyNumberFormat="1" applyFont="1" applyAlignment="1">
      <alignment vertical="center"/>
    </xf>
    <xf numFmtId="4" fontId="18" fillId="0" borderId="1" xfId="0" applyNumberFormat="1" applyFont="1" applyBorder="1" applyAlignment="1">
      <alignment vertical="center" wrapText="1"/>
    </xf>
    <xf numFmtId="0" fontId="17" fillId="0" borderId="0" xfId="0" applyFont="1" applyFill="1" applyAlignment="1">
      <alignment vertical="center" wrapText="1" shrinkToFit="1"/>
    </xf>
    <xf numFmtId="0" fontId="17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4" fontId="22" fillId="2" borderId="1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9" fontId="25" fillId="0" borderId="0" xfId="2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0" fontId="22" fillId="0" borderId="0" xfId="0" applyFont="1"/>
    <xf numFmtId="165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25" fillId="0" borderId="0" xfId="0" applyFont="1" applyFill="1"/>
    <xf numFmtId="0" fontId="15" fillId="0" borderId="0" xfId="1" applyFont="1" applyFill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2" fillId="0" borderId="0" xfId="1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/>
    <xf numFmtId="0" fontId="29" fillId="0" borderId="0" xfId="0" applyFont="1"/>
    <xf numFmtId="0" fontId="25" fillId="0" borderId="0" xfId="0" applyFont="1" applyFill="1" applyAlignment="1">
      <alignment wrapText="1" shrinkToFit="1"/>
    </xf>
    <xf numFmtId="0" fontId="24" fillId="0" borderId="6" xfId="0" applyFont="1" applyFill="1" applyBorder="1" applyAlignment="1">
      <alignment vertical="center" wrapText="1"/>
    </xf>
    <xf numFmtId="0" fontId="25" fillId="0" borderId="0" xfId="0" applyFont="1" applyAlignment="1">
      <alignment horizontal="right"/>
    </xf>
    <xf numFmtId="0" fontId="25" fillId="7" borderId="0" xfId="0" applyFont="1" applyFill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4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166" fontId="22" fillId="2" borderId="1" xfId="0" applyNumberFormat="1" applyFont="1" applyFill="1" applyBorder="1" applyAlignment="1">
      <alignment horizontal="center" vertical="center" wrapText="1"/>
    </xf>
    <xf numFmtId="4" fontId="22" fillId="2" borderId="2" xfId="0" applyNumberFormat="1" applyFont="1" applyFill="1" applyBorder="1" applyAlignment="1">
      <alignment vertical="center"/>
    </xf>
    <xf numFmtId="9" fontId="22" fillId="2" borderId="1" xfId="0" applyNumberFormat="1" applyFont="1" applyFill="1" applyBorder="1" applyAlignment="1">
      <alignment horizontal="center" vertical="center"/>
    </xf>
    <xf numFmtId="9" fontId="25" fillId="2" borderId="0" xfId="2" applyFont="1" applyFill="1" applyAlignment="1">
      <alignment horizontal="center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 wrapText="1"/>
    </xf>
    <xf numFmtId="49" fontId="25" fillId="2" borderId="1" xfId="3" applyNumberFormat="1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left" vertical="center" wrapText="1"/>
    </xf>
    <xf numFmtId="166" fontId="25" fillId="2" borderId="1" xfId="3" applyNumberFormat="1" applyFont="1" applyFill="1" applyBorder="1" applyAlignment="1">
      <alignment horizontal="center" vertical="center" wrapText="1"/>
    </xf>
    <xf numFmtId="4" fontId="25" fillId="2" borderId="1" xfId="3" applyNumberFormat="1" applyFont="1" applyFill="1" applyBorder="1" applyAlignment="1">
      <alignment horizontal="right" vertical="center"/>
    </xf>
    <xf numFmtId="4" fontId="25" fillId="2" borderId="1" xfId="0" applyNumberFormat="1" applyFont="1" applyFill="1" applyBorder="1" applyAlignment="1">
      <alignment horizontal="right" vertical="center"/>
    </xf>
    <xf numFmtId="9" fontId="25" fillId="2" borderId="1" xfId="0" applyNumberFormat="1" applyFont="1" applyFill="1" applyBorder="1" applyAlignment="1">
      <alignment horizontal="center" vertical="center"/>
    </xf>
    <xf numFmtId="4" fontId="25" fillId="2" borderId="2" xfId="0" applyNumberFormat="1" applyFont="1" applyFill="1" applyBorder="1" applyAlignment="1">
      <alignment vertical="center"/>
    </xf>
    <xf numFmtId="4" fontId="25" fillId="2" borderId="1" xfId="0" applyNumberFormat="1" applyFont="1" applyFill="1" applyBorder="1" applyAlignment="1">
      <alignment vertical="center" wrapText="1"/>
    </xf>
    <xf numFmtId="0" fontId="26" fillId="2" borderId="1" xfId="3" applyFont="1" applyFill="1" applyBorder="1" applyAlignment="1">
      <alignment horizontal="center" vertical="center" wrapText="1"/>
    </xf>
    <xf numFmtId="49" fontId="26" fillId="2" borderId="1" xfId="3" applyNumberFormat="1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left" vertical="center" wrapText="1"/>
    </xf>
    <xf numFmtId="166" fontId="26" fillId="2" borderId="1" xfId="3" applyNumberFormat="1" applyFont="1" applyFill="1" applyBorder="1" applyAlignment="1">
      <alignment horizontal="center" vertical="center" wrapText="1"/>
    </xf>
    <xf numFmtId="4" fontId="25" fillId="2" borderId="1" xfId="3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4" fontId="27" fillId="2" borderId="1" xfId="0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>
      <alignment horizontal="right" vertical="center" wrapText="1"/>
    </xf>
    <xf numFmtId="0" fontId="25" fillId="2" borderId="0" xfId="0" applyFont="1" applyFill="1" applyAlignment="1">
      <alignment vertical="center"/>
    </xf>
    <xf numFmtId="0" fontId="25" fillId="2" borderId="0" xfId="0" applyFont="1" applyFill="1"/>
    <xf numFmtId="0" fontId="22" fillId="2" borderId="1" xfId="0" applyFont="1" applyFill="1" applyBorder="1" applyAlignment="1">
      <alignment horizontal="center" vertical="center"/>
    </xf>
    <xf numFmtId="165" fontId="22" fillId="2" borderId="1" xfId="0" applyNumberFormat="1" applyFont="1" applyFill="1" applyBorder="1" applyAlignment="1">
      <alignment horizontal="center" vertical="center"/>
    </xf>
    <xf numFmtId="9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right" vertical="center" wrapText="1"/>
    </xf>
    <xf numFmtId="3" fontId="22" fillId="2" borderId="1" xfId="0" applyNumberFormat="1" applyFont="1" applyFill="1" applyBorder="1" applyAlignment="1">
      <alignment vertical="center"/>
    </xf>
    <xf numFmtId="4" fontId="22" fillId="2" borderId="1" xfId="0" applyNumberFormat="1" applyFont="1" applyFill="1" applyBorder="1" applyAlignment="1">
      <alignment horizontal="right" vertical="center" wrapText="1"/>
    </xf>
    <xf numFmtId="0" fontId="22" fillId="2" borderId="0" xfId="0" applyFont="1" applyFill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right" vertical="center" wrapText="1"/>
    </xf>
    <xf numFmtId="16" fontId="22" fillId="2" borderId="1" xfId="0" applyNumberFormat="1" applyFont="1" applyFill="1" applyBorder="1" applyAlignment="1">
      <alignment horizontal="center" vertical="center" wrapText="1"/>
    </xf>
    <xf numFmtId="4" fontId="25" fillId="2" borderId="1" xfId="3" applyNumberFormat="1" applyFont="1" applyFill="1" applyBorder="1" applyAlignment="1">
      <alignment horizontal="right" vertical="center" wrapText="1"/>
    </xf>
    <xf numFmtId="4" fontId="25" fillId="2" borderId="1" xfId="0" applyNumberFormat="1" applyFont="1" applyFill="1" applyBorder="1" applyAlignment="1">
      <alignment vertical="center"/>
    </xf>
    <xf numFmtId="0" fontId="22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/>
    </xf>
    <xf numFmtId="49" fontId="22" fillId="2" borderId="1" xfId="3" applyNumberFormat="1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left" vertical="center" wrapText="1"/>
    </xf>
    <xf numFmtId="166" fontId="22" fillId="2" borderId="1" xfId="3" applyNumberFormat="1" applyFont="1" applyFill="1" applyBorder="1" applyAlignment="1">
      <alignment horizontal="center" vertical="center"/>
    </xf>
    <xf numFmtId="49" fontId="22" fillId="2" borderId="1" xfId="3" applyNumberFormat="1" applyFont="1" applyFill="1" applyBorder="1" applyAlignment="1">
      <alignment horizontal="center" vertical="center" wrapText="1"/>
    </xf>
    <xf numFmtId="4" fontId="22" fillId="2" borderId="1" xfId="3" applyNumberFormat="1" applyFont="1" applyFill="1" applyBorder="1" applyAlignment="1">
      <alignment horizontal="right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25" fillId="2" borderId="1" xfId="3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right" vertical="center" wrapText="1"/>
    </xf>
    <xf numFmtId="166" fontId="22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166" fontId="25" fillId="2" borderId="1" xfId="0" applyNumberFormat="1" applyFont="1" applyFill="1" applyBorder="1" applyAlignment="1">
      <alignment horizontal="center" vertical="center"/>
    </xf>
    <xf numFmtId="9" fontId="25" fillId="2" borderId="1" xfId="0" applyNumberFormat="1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/>
    </xf>
    <xf numFmtId="166" fontId="25" fillId="2" borderId="1" xfId="3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166" fontId="22" fillId="2" borderId="1" xfId="3" applyNumberFormat="1" applyFont="1" applyFill="1" applyBorder="1" applyAlignment="1">
      <alignment horizontal="center" vertical="center" wrapText="1"/>
    </xf>
    <xf numFmtId="4" fontId="22" fillId="2" borderId="1" xfId="3" applyNumberFormat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right" vertical="center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4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ielicka/Desktop/Listy%20rekomendowane%20RFRD%202023/lubuskie/AKTUALIZACJA%20ostateczna%20Lubuskie%20lista%20rekomendowana%20RFRD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 - lubuskie"/>
      <sheetName val="pow podst"/>
      <sheetName val="gm podst"/>
      <sheetName val="pow rez"/>
      <sheetName val="gm rez"/>
      <sheetName val="pow poz dof"/>
      <sheetName val="gm poz dof"/>
      <sheetName val="mpp poz dof"/>
    </sheetNames>
    <sheetDataSet>
      <sheetData sheetId="0"/>
      <sheetData sheetId="1"/>
      <sheetData sheetId="2"/>
      <sheetData sheetId="3"/>
      <sheetData sheetId="4">
        <row r="3">
          <cell r="L3">
            <v>1065818</v>
          </cell>
          <cell r="M3">
            <v>1065818.92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1065818</v>
          </cell>
          <cell r="T3"/>
          <cell r="U3"/>
          <cell r="V3"/>
          <cell r="W3"/>
          <cell r="X3"/>
        </row>
        <row r="4">
          <cell r="L4">
            <v>700339</v>
          </cell>
          <cell r="M4">
            <v>466894.04000000004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700339</v>
          </cell>
          <cell r="T4"/>
          <cell r="U4"/>
          <cell r="V4"/>
          <cell r="W4"/>
          <cell r="X4"/>
        </row>
        <row r="5">
          <cell r="L5">
            <v>466786</v>
          </cell>
          <cell r="M5">
            <v>311191.13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466786</v>
          </cell>
          <cell r="T5"/>
          <cell r="U5"/>
          <cell r="V5"/>
          <cell r="W5"/>
          <cell r="X5"/>
        </row>
        <row r="6">
          <cell r="L6">
            <v>525499</v>
          </cell>
          <cell r="M6">
            <v>525500.10000000009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525499</v>
          </cell>
          <cell r="T6"/>
          <cell r="U6"/>
          <cell r="V6"/>
          <cell r="W6"/>
          <cell r="X6"/>
        </row>
        <row r="7">
          <cell r="L7">
            <v>741387</v>
          </cell>
          <cell r="M7">
            <v>494258.37999999989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741387</v>
          </cell>
          <cell r="T7"/>
          <cell r="U7"/>
          <cell r="V7"/>
          <cell r="W7"/>
          <cell r="X7"/>
        </row>
        <row r="8">
          <cell r="L8">
            <v>319707</v>
          </cell>
          <cell r="M8">
            <v>213139.02000000002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319707</v>
          </cell>
          <cell r="T8"/>
          <cell r="U8"/>
          <cell r="V8"/>
          <cell r="W8"/>
          <cell r="X8"/>
        </row>
        <row r="9">
          <cell r="L9">
            <v>1559309</v>
          </cell>
          <cell r="M9">
            <v>1039540.2999999998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1559309</v>
          </cell>
          <cell r="T9"/>
          <cell r="U9"/>
          <cell r="V9"/>
          <cell r="W9"/>
          <cell r="X9"/>
        </row>
        <row r="10">
          <cell r="L10">
            <v>150972</v>
          </cell>
          <cell r="M10">
            <v>150972.96999999997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150972</v>
          </cell>
          <cell r="T10"/>
          <cell r="U10"/>
          <cell r="V10"/>
          <cell r="W10"/>
          <cell r="X10"/>
        </row>
        <row r="11">
          <cell r="L11">
            <v>1452462</v>
          </cell>
          <cell r="M11">
            <v>1452462.1600000001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1452462</v>
          </cell>
          <cell r="T11"/>
          <cell r="U11"/>
          <cell r="V11"/>
          <cell r="W11"/>
          <cell r="X11"/>
        </row>
        <row r="12">
          <cell r="L12">
            <v>375428</v>
          </cell>
          <cell r="M12">
            <v>375429.36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375428</v>
          </cell>
          <cell r="T12"/>
          <cell r="U12"/>
          <cell r="V12"/>
          <cell r="W12"/>
          <cell r="X12"/>
        </row>
        <row r="13">
          <cell r="L13">
            <v>735978</v>
          </cell>
          <cell r="M13">
            <v>315420.56000000006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735978</v>
          </cell>
          <cell r="T13"/>
          <cell r="U13"/>
          <cell r="V13"/>
          <cell r="W13"/>
          <cell r="X13"/>
        </row>
        <row r="14">
          <cell r="L14">
            <v>589838</v>
          </cell>
          <cell r="M14">
            <v>589838.37000000011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589838</v>
          </cell>
          <cell r="T14"/>
          <cell r="U14"/>
          <cell r="V14"/>
          <cell r="W14"/>
          <cell r="X14"/>
        </row>
        <row r="15">
          <cell r="L15">
            <v>1263306</v>
          </cell>
          <cell r="M15">
            <v>541418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1263306</v>
          </cell>
          <cell r="T15"/>
          <cell r="U15"/>
          <cell r="V15"/>
          <cell r="W15"/>
          <cell r="X15"/>
        </row>
        <row r="16">
          <cell r="L16">
            <v>2522453</v>
          </cell>
          <cell r="M16">
            <v>1681635.5599999996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2522453</v>
          </cell>
          <cell r="T16"/>
          <cell r="U16"/>
          <cell r="V16"/>
          <cell r="W16"/>
          <cell r="X16"/>
        </row>
        <row r="17">
          <cell r="L17">
            <v>655787</v>
          </cell>
          <cell r="M17">
            <v>281051.66000000003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655787</v>
          </cell>
          <cell r="T17"/>
          <cell r="U17"/>
          <cell r="V17"/>
          <cell r="W17"/>
          <cell r="X17"/>
        </row>
        <row r="18">
          <cell r="L18">
            <v>1882165</v>
          </cell>
          <cell r="M18">
            <v>806643.18000000017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1882165</v>
          </cell>
          <cell r="T18"/>
          <cell r="U18"/>
          <cell r="V18"/>
          <cell r="W18"/>
          <cell r="X18"/>
        </row>
        <row r="19">
          <cell r="L19">
            <v>431988</v>
          </cell>
          <cell r="M19">
            <v>431989.83999999997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431988</v>
          </cell>
          <cell r="T19"/>
          <cell r="U19"/>
          <cell r="V19"/>
          <cell r="W19"/>
          <cell r="X19"/>
        </row>
        <row r="20">
          <cell r="L20">
            <v>495820</v>
          </cell>
          <cell r="M20">
            <v>330547.93999999994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495820</v>
          </cell>
          <cell r="T20"/>
          <cell r="U20"/>
          <cell r="V20"/>
          <cell r="W20"/>
          <cell r="X20"/>
        </row>
        <row r="21">
          <cell r="L21">
            <v>365581</v>
          </cell>
          <cell r="M21">
            <v>243721.31999999995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365581</v>
          </cell>
          <cell r="T21"/>
          <cell r="U21"/>
          <cell r="V21"/>
          <cell r="W21"/>
          <cell r="X21"/>
        </row>
        <row r="22">
          <cell r="L22">
            <v>297894</v>
          </cell>
          <cell r="M22">
            <v>297894.95999999996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297894</v>
          </cell>
          <cell r="T22"/>
          <cell r="U22"/>
          <cell r="V22"/>
          <cell r="W22"/>
          <cell r="X22"/>
        </row>
        <row r="23">
          <cell r="L23">
            <v>500176</v>
          </cell>
          <cell r="M23">
            <v>333451.74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500176</v>
          </cell>
          <cell r="T23"/>
          <cell r="U23"/>
          <cell r="V23"/>
          <cell r="W23"/>
          <cell r="X23"/>
        </row>
        <row r="24">
          <cell r="L24">
            <v>4232705</v>
          </cell>
          <cell r="M24">
            <v>1814016.6399999997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2520000</v>
          </cell>
          <cell r="T24">
            <v>1712705</v>
          </cell>
          <cell r="U24"/>
          <cell r="V24"/>
          <cell r="W24"/>
          <cell r="X24"/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X47"/>
  <sheetViews>
    <sheetView tabSelected="1" view="pageBreakPreview" zoomScale="90" zoomScaleNormal="100" zoomScaleSheetLayoutView="90" workbookViewId="0"/>
  </sheetViews>
  <sheetFormatPr defaultColWidth="9.109375" defaultRowHeight="14.4" x14ac:dyDescent="0.3"/>
  <cols>
    <col min="1" max="1" width="32.109375" style="11" customWidth="1"/>
    <col min="2" max="2" width="10.6640625" style="1" customWidth="1"/>
    <col min="3" max="5" width="20.6640625" style="11" customWidth="1"/>
    <col min="6" max="15" width="15.6640625" style="11" customWidth="1"/>
    <col min="16" max="16" width="9.109375" style="11"/>
    <col min="17" max="17" width="11.6640625" style="11" bestFit="1" customWidth="1"/>
    <col min="18" max="18" width="12" style="3" bestFit="1" customWidth="1"/>
    <col min="19" max="16384" width="9.109375" style="3"/>
  </cols>
  <sheetData>
    <row r="1" spans="1:24" s="7" customFormat="1" ht="25.5" customHeight="1" thickBot="1" x14ac:dyDescent="0.4">
      <c r="A1" s="4" t="s">
        <v>120</v>
      </c>
      <c r="B1" s="98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6"/>
      <c r="T1" s="6"/>
      <c r="U1" s="6"/>
      <c r="V1" s="6"/>
      <c r="W1" s="6"/>
      <c r="X1" s="6"/>
    </row>
    <row r="2" spans="1:24" x14ac:dyDescent="0.3">
      <c r="A2" s="8"/>
      <c r="B2" s="16"/>
      <c r="C2" s="8"/>
      <c r="D2" s="8"/>
      <c r="E2" s="8"/>
      <c r="F2" s="207" t="s">
        <v>96</v>
      </c>
      <c r="G2" s="208"/>
      <c r="H2" s="208"/>
      <c r="I2" s="208"/>
      <c r="J2" s="208"/>
      <c r="K2" s="208"/>
      <c r="L2" s="208"/>
      <c r="M2" s="208"/>
      <c r="N2" s="209"/>
      <c r="O2" s="8"/>
      <c r="P2" s="8"/>
      <c r="Q2" s="8"/>
      <c r="R2" s="9"/>
      <c r="S2" s="9"/>
      <c r="T2" s="9"/>
      <c r="U2" s="9"/>
      <c r="V2" s="9"/>
      <c r="W2" s="9"/>
      <c r="X2" s="9"/>
    </row>
    <row r="3" spans="1:24" ht="14.25" customHeight="1" x14ac:dyDescent="0.3">
      <c r="A3" s="10"/>
      <c r="B3" s="16"/>
      <c r="C3" s="8"/>
      <c r="D3" s="8"/>
      <c r="E3" s="8"/>
      <c r="F3" s="210"/>
      <c r="G3" s="211"/>
      <c r="H3" s="211"/>
      <c r="I3" s="211"/>
      <c r="J3" s="211"/>
      <c r="K3" s="211"/>
      <c r="L3" s="211"/>
      <c r="M3" s="211"/>
      <c r="N3" s="212"/>
      <c r="X3" s="9"/>
    </row>
    <row r="4" spans="1:24" x14ac:dyDescent="0.3">
      <c r="A4" s="12" t="s">
        <v>121</v>
      </c>
      <c r="B4" s="99"/>
      <c r="C4" s="13"/>
      <c r="D4" s="13"/>
      <c r="E4" s="13"/>
      <c r="F4" s="210"/>
      <c r="G4" s="211"/>
      <c r="H4" s="211"/>
      <c r="I4" s="211"/>
      <c r="J4" s="211"/>
      <c r="K4" s="211"/>
      <c r="L4" s="211"/>
      <c r="M4" s="211"/>
      <c r="N4" s="212"/>
      <c r="X4" s="14"/>
    </row>
    <row r="5" spans="1:24" x14ac:dyDescent="0.3">
      <c r="A5" s="13"/>
      <c r="B5" s="99"/>
      <c r="C5" s="13"/>
      <c r="D5" s="13"/>
      <c r="E5" s="13"/>
      <c r="F5" s="210"/>
      <c r="G5" s="211"/>
      <c r="H5" s="211"/>
      <c r="I5" s="211"/>
      <c r="J5" s="211"/>
      <c r="K5" s="211"/>
      <c r="L5" s="211"/>
      <c r="M5" s="211"/>
      <c r="N5" s="212"/>
      <c r="X5" s="9"/>
    </row>
    <row r="6" spans="1:24" ht="36" customHeight="1" x14ac:dyDescent="0.3">
      <c r="A6" s="12" t="s">
        <v>107</v>
      </c>
      <c r="B6" s="99"/>
      <c r="C6" s="13"/>
      <c r="D6" s="13"/>
      <c r="E6" s="13"/>
      <c r="F6" s="210"/>
      <c r="G6" s="211"/>
      <c r="H6" s="211"/>
      <c r="I6" s="211"/>
      <c r="J6" s="211"/>
      <c r="K6" s="211"/>
      <c r="L6" s="211"/>
      <c r="M6" s="211"/>
      <c r="N6" s="212"/>
      <c r="X6" s="14"/>
    </row>
    <row r="7" spans="1:24" ht="29.25" customHeight="1" thickBot="1" x14ac:dyDescent="0.35">
      <c r="A7" s="13"/>
      <c r="B7" s="99"/>
      <c r="C7" s="13"/>
      <c r="D7" s="13"/>
      <c r="E7" s="13"/>
      <c r="F7" s="213" t="s">
        <v>17</v>
      </c>
      <c r="G7" s="214"/>
      <c r="H7" s="214"/>
      <c r="I7" s="214"/>
      <c r="J7" s="214"/>
      <c r="K7" s="214"/>
      <c r="L7" s="214"/>
      <c r="M7" s="214"/>
      <c r="N7" s="215"/>
      <c r="X7" s="9"/>
    </row>
    <row r="8" spans="1:24" x14ac:dyDescent="0.3">
      <c r="A8" s="13"/>
      <c r="B8" s="99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X8" s="9"/>
    </row>
    <row r="9" spans="1:24" ht="20.100000000000001" customHeight="1" thickBot="1" x14ac:dyDescent="0.35">
      <c r="A9" s="12" t="s">
        <v>0</v>
      </c>
      <c r="B9" s="99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X9" s="9"/>
    </row>
    <row r="10" spans="1:24" ht="20.100000000000001" customHeight="1" x14ac:dyDescent="0.3">
      <c r="A10" s="216" t="s">
        <v>1</v>
      </c>
      <c r="B10" s="218" t="s">
        <v>32</v>
      </c>
      <c r="C10" s="220" t="s">
        <v>18</v>
      </c>
      <c r="D10" s="222" t="s">
        <v>19</v>
      </c>
      <c r="E10" s="224" t="s">
        <v>20</v>
      </c>
      <c r="F10" s="44"/>
      <c r="G10" s="36"/>
      <c r="H10" s="37"/>
      <c r="I10" s="36"/>
      <c r="J10" s="37" t="s">
        <v>11</v>
      </c>
      <c r="K10" s="36"/>
      <c r="L10" s="36"/>
      <c r="M10" s="36"/>
      <c r="N10" s="37"/>
      <c r="O10" s="38"/>
      <c r="P10" s="28"/>
      <c r="Q10" s="28"/>
      <c r="R10" s="2"/>
      <c r="S10" s="2"/>
      <c r="T10" s="2"/>
      <c r="U10" s="2"/>
      <c r="X10" s="9"/>
    </row>
    <row r="11" spans="1:24" s="1" customFormat="1" ht="20.100000000000001" customHeight="1" thickBot="1" x14ac:dyDescent="0.35">
      <c r="A11" s="217"/>
      <c r="B11" s="219"/>
      <c r="C11" s="221"/>
      <c r="D11" s="223"/>
      <c r="E11" s="225"/>
      <c r="F11" s="48">
        <v>2019</v>
      </c>
      <c r="G11" s="49">
        <v>2020</v>
      </c>
      <c r="H11" s="49">
        <v>2021</v>
      </c>
      <c r="I11" s="49">
        <v>2022</v>
      </c>
      <c r="J11" s="49">
        <v>2023</v>
      </c>
      <c r="K11" s="49">
        <v>2024</v>
      </c>
      <c r="L11" s="49">
        <v>2025</v>
      </c>
      <c r="M11" s="49">
        <v>2026</v>
      </c>
      <c r="N11" s="49">
        <v>2027</v>
      </c>
      <c r="O11" s="50">
        <v>2028</v>
      </c>
      <c r="P11" s="15"/>
      <c r="Q11" s="15"/>
      <c r="R11" s="15"/>
      <c r="S11" s="15"/>
      <c r="T11" s="15"/>
      <c r="U11" s="15"/>
      <c r="V11" s="16"/>
      <c r="W11" s="16"/>
      <c r="X11" s="16"/>
    </row>
    <row r="12" spans="1:24" ht="39.9" customHeight="1" thickTop="1" x14ac:dyDescent="0.3">
      <c r="A12" s="116" t="s">
        <v>34</v>
      </c>
      <c r="B12" s="100">
        <f>COUNTA('pow podst'!K3:K22)</f>
        <v>20</v>
      </c>
      <c r="C12" s="52">
        <f>SUM('pow podst'!J3:J22)</f>
        <v>146186693.41</v>
      </c>
      <c r="D12" s="53">
        <f>SUM('pow podst'!L3:L22)</f>
        <v>63638655.409999996</v>
      </c>
      <c r="E12" s="54">
        <f>SUM('pow podst'!K3:K22)</f>
        <v>82548038</v>
      </c>
      <c r="F12" s="55">
        <f>SUM('pow podst'!N3:N22)</f>
        <v>0</v>
      </c>
      <c r="G12" s="55">
        <f>SUM('pow podst'!O3:O22)</f>
        <v>5193812</v>
      </c>
      <c r="H12" s="55">
        <f>SUM('pow podst'!P3:P22)</f>
        <v>13638001</v>
      </c>
      <c r="I12" s="55">
        <f>SUM('pow podst'!Q3:Q22)</f>
        <v>25183232</v>
      </c>
      <c r="J12" s="55">
        <f>SUM('pow podst'!R3:R22)</f>
        <v>31532993</v>
      </c>
      <c r="K12" s="55">
        <f>SUM('pow podst'!S3:S22)</f>
        <v>3500000</v>
      </c>
      <c r="L12" s="55">
        <f>SUM('pow podst'!T3:T22)</f>
        <v>3500000</v>
      </c>
      <c r="M12" s="55">
        <f>SUM('pow podst'!U3:U22)</f>
        <v>0</v>
      </c>
      <c r="N12" s="55">
        <f>SUM('pow podst'!V3:V22)</f>
        <v>0</v>
      </c>
      <c r="O12" s="117">
        <f>SUM('pow podst'!W3:W22)</f>
        <v>0</v>
      </c>
      <c r="P12" s="17" t="b">
        <f>C12=(D12+E12)</f>
        <v>1</v>
      </c>
      <c r="Q12" s="29" t="b">
        <f>E12=SUM(F12:O12)</f>
        <v>1</v>
      </c>
      <c r="R12" s="18"/>
      <c r="S12" s="18"/>
      <c r="T12" s="19"/>
      <c r="U12" s="19"/>
      <c r="V12" s="20"/>
      <c r="W12" s="9"/>
      <c r="X12" s="9"/>
    </row>
    <row r="13" spans="1:24" ht="39.9" customHeight="1" x14ac:dyDescent="0.3">
      <c r="A13" s="118" t="s">
        <v>35</v>
      </c>
      <c r="B13" s="101">
        <f>COUNTIF('pow podst'!C3:C22,"K")</f>
        <v>11</v>
      </c>
      <c r="C13" s="79">
        <f>SUMIF('pow podst'!C3:C22,"K",'pow podst'!J3:J22)</f>
        <v>112195339</v>
      </c>
      <c r="D13" s="80">
        <f>SUMIF('pow podst'!C3:C22,"K",'pow podst'!L3:L22)</f>
        <v>49347480</v>
      </c>
      <c r="E13" s="32">
        <f>SUMIF('pow podst'!C3:C22,"K",'pow podst'!K3:K22)</f>
        <v>62847859</v>
      </c>
      <c r="F13" s="85">
        <f>SUMIF('pow podst'!C3:C22,"K",'pow podst'!N3:N22)</f>
        <v>0</v>
      </c>
      <c r="G13" s="85">
        <f>SUMIF('pow podst'!$C3:$C22,"K",'pow podst'!O3:O22)</f>
        <v>5193812</v>
      </c>
      <c r="H13" s="85">
        <f>SUMIF('pow podst'!$C3:$C22,"K",'pow podst'!P3:P22)</f>
        <v>13638001</v>
      </c>
      <c r="I13" s="85">
        <f>SUMIF('pow podst'!$C3:$C22,"K",'pow podst'!Q3:Q22)</f>
        <v>25183232</v>
      </c>
      <c r="J13" s="85">
        <f>SUMIF('pow podst'!$C3:$C22,"K",'pow podst'!R3:R22)</f>
        <v>11832814</v>
      </c>
      <c r="K13" s="85">
        <f>SUMIF('pow podst'!$C3:$C22,"K",'pow podst'!S3:S22)</f>
        <v>3500000</v>
      </c>
      <c r="L13" s="85">
        <f>SUMIF('pow podst'!$C3:$C22,"K",'pow podst'!T3:T22)</f>
        <v>3500000</v>
      </c>
      <c r="M13" s="85">
        <f>SUMIF('pow podst'!$C3:$C22,"K",'pow podst'!U3:U22)</f>
        <v>0</v>
      </c>
      <c r="N13" s="85">
        <f>SUMIF('pow podst'!$C3:$C22,"K",'pow podst'!V3:V22)</f>
        <v>0</v>
      </c>
      <c r="O13" s="119">
        <f>SUMIF('pow podst'!$C3:$C22,"K",'pow podst'!W3:W22)</f>
        <v>0</v>
      </c>
      <c r="P13" s="17" t="b">
        <f t="shared" ref="P13:P22" si="0">C13=(D13+E13)</f>
        <v>1</v>
      </c>
      <c r="Q13" s="29" t="b">
        <f t="shared" ref="Q13:Q19" si="1">E13=SUM(F13:O13)</f>
        <v>1</v>
      </c>
      <c r="R13" s="18"/>
      <c r="S13" s="18"/>
      <c r="T13" s="19"/>
      <c r="U13" s="19"/>
      <c r="V13" s="20"/>
      <c r="W13" s="9"/>
      <c r="X13" s="9"/>
    </row>
    <row r="14" spans="1:24" ht="39.9" customHeight="1" x14ac:dyDescent="0.3">
      <c r="A14" s="120" t="s">
        <v>36</v>
      </c>
      <c r="B14" s="102">
        <f>COUNTIF('pow podst'!C3:C22,"N")</f>
        <v>9</v>
      </c>
      <c r="C14" s="81">
        <f>SUMIF('pow podst'!C3:C22,"N",'pow podst'!J3:J22)</f>
        <v>33991354.410000004</v>
      </c>
      <c r="D14" s="82">
        <f>SUMIF('pow podst'!C3:C22,"N",'pow podst'!L3:L22)</f>
        <v>14291175.409999998</v>
      </c>
      <c r="E14" s="31">
        <f>SUMIF('pow podst'!C3:C22,"N",'pow podst'!K3:K22)</f>
        <v>19700179</v>
      </c>
      <c r="F14" s="86">
        <f>SUMIF('pow podst'!C3:C22,"N",'pow podst'!N3:N22)</f>
        <v>0</v>
      </c>
      <c r="G14" s="86">
        <f>SUMIF('pow podst'!$C3:$C22,"N",'pow podst'!O3:O22)</f>
        <v>0</v>
      </c>
      <c r="H14" s="86">
        <f>SUMIF('pow podst'!$C3:$C22,"N",'pow podst'!P3:P22)</f>
        <v>0</v>
      </c>
      <c r="I14" s="86">
        <f>SUMIF('pow podst'!$C3:$C22,"N",'pow podst'!Q3:Q22)</f>
        <v>0</v>
      </c>
      <c r="J14" s="86">
        <f>SUMIF('pow podst'!$C3:$C22,"N",'pow podst'!R3:R22)</f>
        <v>19700179</v>
      </c>
      <c r="K14" s="86">
        <f>SUMIF('pow podst'!$C3:$C22,"N",'pow podst'!S3:S22)</f>
        <v>0</v>
      </c>
      <c r="L14" s="86">
        <f>SUMIF('pow podst'!$C3:$C22,"N",'pow podst'!T3:T22)</f>
        <v>0</v>
      </c>
      <c r="M14" s="86">
        <f>SUMIF('pow podst'!$C3:$C22,"N",'pow podst'!U3:U22)</f>
        <v>0</v>
      </c>
      <c r="N14" s="86">
        <f>SUMIF('pow podst'!$C3:$C22,"N",'pow podst'!V3:V22)</f>
        <v>0</v>
      </c>
      <c r="O14" s="121">
        <f>SUMIF('pow podst'!$C3:$C22,"N",'pow podst'!W3:W22)</f>
        <v>0</v>
      </c>
      <c r="P14" s="17" t="b">
        <f t="shared" si="0"/>
        <v>1</v>
      </c>
      <c r="Q14" s="29" t="b">
        <f t="shared" si="1"/>
        <v>1</v>
      </c>
      <c r="R14" s="18"/>
      <c r="S14" s="18"/>
      <c r="T14" s="19"/>
      <c r="U14" s="19"/>
      <c r="V14" s="20"/>
      <c r="W14" s="9"/>
      <c r="X14" s="9"/>
    </row>
    <row r="15" spans="1:24" ht="39.9" customHeight="1" thickBot="1" x14ac:dyDescent="0.35">
      <c r="A15" s="122" t="s">
        <v>37</v>
      </c>
      <c r="B15" s="103">
        <f>COUNTIF('pow podst'!C3:C22,"W")</f>
        <v>0</v>
      </c>
      <c r="C15" s="83">
        <f>SUMIF('pow podst'!C3:C22,"W",'pow podst'!J3:J22)</f>
        <v>0</v>
      </c>
      <c r="D15" s="84">
        <f>SUMIF('pow podst'!C3:C22,"W",'pow podst'!L3:L22)</f>
        <v>0</v>
      </c>
      <c r="E15" s="56">
        <f>SUMIF('pow podst'!C3:C22,"W",'pow podst'!K3:K22)</f>
        <v>0</v>
      </c>
      <c r="F15" s="87">
        <f>SUMIF('pow podst'!C3:C22,"W",'pow podst'!N3:N22)</f>
        <v>0</v>
      </c>
      <c r="G15" s="87">
        <f>SUMIF('pow podst'!$C3:$C22,"W",'pow podst'!O3:O22)</f>
        <v>0</v>
      </c>
      <c r="H15" s="87">
        <f>SUMIF('pow podst'!$C3:$C22,"W",'pow podst'!P3:P22)</f>
        <v>0</v>
      </c>
      <c r="I15" s="87">
        <f>SUMIF('pow podst'!$C3:$C22,"W",'pow podst'!Q3:Q22)</f>
        <v>0</v>
      </c>
      <c r="J15" s="87">
        <f>SUMIF('pow podst'!$C3:$C22,"W",'pow podst'!R3:R22)</f>
        <v>0</v>
      </c>
      <c r="K15" s="87">
        <f>SUMIF('pow podst'!$C3:$C22,"W",'pow podst'!S3:S22)</f>
        <v>0</v>
      </c>
      <c r="L15" s="87">
        <f>SUMIF('pow podst'!$C3:$C22,"W",'pow podst'!T3:T22)</f>
        <v>0</v>
      </c>
      <c r="M15" s="87">
        <f>SUMIF('pow podst'!$C3:$C22,"W",'pow podst'!U3:U22)</f>
        <v>0</v>
      </c>
      <c r="N15" s="87">
        <f>SUMIF('pow podst'!$C3:$C22,"W",'pow podst'!V3:V22)</f>
        <v>0</v>
      </c>
      <c r="O15" s="123">
        <f>SUMIF('pow podst'!$C3:$C22,"W",'pow podst'!W3:W22)</f>
        <v>0</v>
      </c>
      <c r="P15" s="17" t="b">
        <f t="shared" si="0"/>
        <v>1</v>
      </c>
      <c r="Q15" s="29" t="b">
        <f t="shared" si="1"/>
        <v>1</v>
      </c>
      <c r="R15" s="18"/>
      <c r="S15" s="18"/>
      <c r="T15" s="19"/>
      <c r="U15" s="19"/>
      <c r="V15" s="20"/>
      <c r="W15" s="9"/>
      <c r="X15" s="9"/>
    </row>
    <row r="16" spans="1:24" ht="39.9" customHeight="1" thickTop="1" x14ac:dyDescent="0.3">
      <c r="A16" s="116" t="s">
        <v>38</v>
      </c>
      <c r="B16" s="100">
        <f>COUNTA('gm podst'!L3:L43)</f>
        <v>41</v>
      </c>
      <c r="C16" s="52">
        <f>SUM('gm podst'!K3:K43)</f>
        <v>195300330.79999998</v>
      </c>
      <c r="D16" s="53">
        <f>SUM('gm podst'!M3:M43)</f>
        <v>94576472.799999997</v>
      </c>
      <c r="E16" s="54">
        <f>SUM('gm podst'!L3:L43)</f>
        <v>100723857.99999999</v>
      </c>
      <c r="F16" s="88">
        <f>SUM('gm podst'!O3:O43)</f>
        <v>0</v>
      </c>
      <c r="G16" s="88">
        <f>SUM('gm podst'!P3:P43)</f>
        <v>580555</v>
      </c>
      <c r="H16" s="88">
        <f>SUM('gm podst'!Q3:Q43)</f>
        <v>6265724</v>
      </c>
      <c r="I16" s="88">
        <f>SUM('gm podst'!R3:R43)</f>
        <v>16311078</v>
      </c>
      <c r="J16" s="88">
        <f>SUM('gm podst'!S3:S43)</f>
        <v>54178324</v>
      </c>
      <c r="K16" s="88">
        <f>SUM('gm podst'!T3:T43)</f>
        <v>16570996</v>
      </c>
      <c r="L16" s="88">
        <f>SUM('gm podst'!U3:U43)</f>
        <v>4626210</v>
      </c>
      <c r="M16" s="88">
        <f>SUM('gm podst'!V3:V43)</f>
        <v>2190971</v>
      </c>
      <c r="N16" s="88">
        <f>SUM('gm podst'!W3:W43)</f>
        <v>0</v>
      </c>
      <c r="O16" s="124">
        <f>SUM('gm podst'!X3:X43)</f>
        <v>0</v>
      </c>
      <c r="P16" s="17" t="b">
        <f t="shared" si="0"/>
        <v>1</v>
      </c>
      <c r="Q16" s="29" t="b">
        <f t="shared" si="1"/>
        <v>1</v>
      </c>
      <c r="R16" s="18"/>
      <c r="S16" s="18"/>
      <c r="T16" s="19"/>
      <c r="U16" s="19"/>
      <c r="V16" s="19"/>
      <c r="W16" s="19"/>
      <c r="X16" s="19"/>
    </row>
    <row r="17" spans="1:24" ht="39.9" customHeight="1" x14ac:dyDescent="0.3">
      <c r="A17" s="118" t="s">
        <v>35</v>
      </c>
      <c r="B17" s="101">
        <f>COUNTIF('gm podst'!C3:C43,"K")</f>
        <v>19</v>
      </c>
      <c r="C17" s="79">
        <f>SUMIF('gm podst'!C3:C43,"K",'gm podst'!K3:K43)</f>
        <v>116811830</v>
      </c>
      <c r="D17" s="80">
        <f>SUMIF('gm podst'!C3:C43,"K",'gm podst'!M3:M43)</f>
        <v>62147465</v>
      </c>
      <c r="E17" s="32">
        <f>SUMIF('gm podst'!C3:C43,"K",'gm podst'!L3:L43)</f>
        <v>54664365</v>
      </c>
      <c r="F17" s="85">
        <f>SUMIF('gm podst'!$C3:$C43,"K",'gm podst'!O3:O43)</f>
        <v>0</v>
      </c>
      <c r="G17" s="85">
        <f>SUMIF('gm podst'!$C3:$C43,"K",'gm podst'!P3:P43)</f>
        <v>580555</v>
      </c>
      <c r="H17" s="85">
        <f>SUMIF('gm podst'!$C3:$C43,"K",'gm podst'!Q3:Q43)</f>
        <v>6265724</v>
      </c>
      <c r="I17" s="85">
        <f>SUMIF('gm podst'!$C3:$C43,"K",'gm podst'!R3:R43)</f>
        <v>16311078</v>
      </c>
      <c r="J17" s="85">
        <f>SUMIF('gm podst'!$C3:$C43,"K",'gm podst'!S3:S43)</f>
        <v>22090664</v>
      </c>
      <c r="K17" s="85">
        <f>SUMIF('gm podst'!$C3:$C43,"K",'gm podst'!T3:T43)</f>
        <v>5076412</v>
      </c>
      <c r="L17" s="85">
        <f>SUMIF('gm podst'!$C3:$C43,"K",'gm podst'!U3:U43)</f>
        <v>2148961</v>
      </c>
      <c r="M17" s="85">
        <f>SUMIF('gm podst'!$C3:$C43,"K",'gm podst'!V3:V43)</f>
        <v>2190971</v>
      </c>
      <c r="N17" s="85">
        <f>SUMIF('gm podst'!$C3:$C43,"K",'gm podst'!W3:W43)</f>
        <v>0</v>
      </c>
      <c r="O17" s="119">
        <f>SUMIF('gm podst'!$C3:$C43,"K",'gm podst'!X3:X43)</f>
        <v>0</v>
      </c>
      <c r="P17" s="17" t="b">
        <f t="shared" si="0"/>
        <v>1</v>
      </c>
      <c r="Q17" s="29" t="b">
        <f t="shared" si="1"/>
        <v>1</v>
      </c>
      <c r="R17" s="18"/>
      <c r="S17" s="18"/>
      <c r="T17" s="19"/>
      <c r="U17" s="19"/>
      <c r="V17" s="19"/>
      <c r="W17" s="19"/>
      <c r="X17" s="19"/>
    </row>
    <row r="18" spans="1:24" ht="39.9" customHeight="1" x14ac:dyDescent="0.3">
      <c r="A18" s="120" t="s">
        <v>36</v>
      </c>
      <c r="B18" s="102">
        <f>COUNTIF('gm podst'!C3:C43,"N")</f>
        <v>16</v>
      </c>
      <c r="C18" s="81">
        <f>SUMIF('gm podst'!C3:C43,"N",'gm podst'!K3:K43)</f>
        <v>35929660.310000002</v>
      </c>
      <c r="D18" s="82">
        <f>SUMIF('gm podst'!C3:C43,"N",'gm podst'!M3:M43)</f>
        <v>16655793.57</v>
      </c>
      <c r="E18" s="31">
        <f>SUMIF('gm podst'!C3:C43,"N",'gm podst'!L3:L43)</f>
        <v>19273866.740000002</v>
      </c>
      <c r="F18" s="86">
        <f>SUMIF('gm podst'!$C3:$C43,"N",'gm podst'!O3:O43)</f>
        <v>0</v>
      </c>
      <c r="G18" s="86">
        <f>SUMIF('gm podst'!$C3:$C43,"N",'gm podst'!P3:P43)</f>
        <v>0</v>
      </c>
      <c r="H18" s="86">
        <f>SUMIF('gm podst'!$C3:$C43,"N",'gm podst'!Q3:Q43)</f>
        <v>0</v>
      </c>
      <c r="I18" s="86">
        <f>SUMIF('gm podst'!$C3:$C43,"N",'gm podst'!R3:R43)</f>
        <v>0</v>
      </c>
      <c r="J18" s="86">
        <f>SUMIF('gm podst'!$C3:$C43,"N",'gm podst'!S3:S43)</f>
        <v>19273866.740000002</v>
      </c>
      <c r="K18" s="86">
        <f>SUMIF('gm podst'!$C3:$C43,"N",'gm podst'!T3:T43)</f>
        <v>0</v>
      </c>
      <c r="L18" s="86">
        <f>SUMIF('gm podst'!$C3:$C43,"N",'gm podst'!U3:U43)</f>
        <v>0</v>
      </c>
      <c r="M18" s="86">
        <f>SUMIF('gm podst'!$C3:$C43,"N",'gm podst'!V3:V43)</f>
        <v>0</v>
      </c>
      <c r="N18" s="86">
        <f>SUMIF('gm podst'!$C3:$C43,"N",'gm podst'!W3:W43)</f>
        <v>0</v>
      </c>
      <c r="O18" s="121">
        <f>SUMIF('gm podst'!$C3:$C43,"N",'gm podst'!X3:X43)</f>
        <v>0</v>
      </c>
      <c r="P18" s="17" t="b">
        <f t="shared" si="0"/>
        <v>1</v>
      </c>
      <c r="Q18" s="29" t="b">
        <f t="shared" si="1"/>
        <v>1</v>
      </c>
      <c r="R18" s="18"/>
      <c r="S18" s="18"/>
      <c r="T18" s="19"/>
      <c r="U18" s="19"/>
      <c r="V18" s="19"/>
      <c r="W18" s="19"/>
      <c r="X18" s="19"/>
    </row>
    <row r="19" spans="1:24" ht="39.9" customHeight="1" thickBot="1" x14ac:dyDescent="0.35">
      <c r="A19" s="122" t="s">
        <v>37</v>
      </c>
      <c r="B19" s="103">
        <f>COUNTIF('gm podst'!C3:C43,"W")</f>
        <v>6</v>
      </c>
      <c r="C19" s="83">
        <f>SUMIF('gm podst'!C3:C43,"W",'gm podst'!K3:K43)</f>
        <v>42558840.490000002</v>
      </c>
      <c r="D19" s="84">
        <f>SUMIF('gm podst'!C3:C43,"W",'gm podst'!M3:M43)</f>
        <v>15773214.23</v>
      </c>
      <c r="E19" s="56">
        <f>SUMIF('gm podst'!C3:C43,"W",'gm podst'!L3:L43)</f>
        <v>26785626.259999998</v>
      </c>
      <c r="F19" s="87">
        <f>SUMIF('gm podst'!$C3:$C43,"W",'gm podst'!O3:O43)</f>
        <v>0</v>
      </c>
      <c r="G19" s="87">
        <f>SUMIF('gm podst'!$C3:$C43,"W",'gm podst'!P3:P43)</f>
        <v>0</v>
      </c>
      <c r="H19" s="87">
        <f>SUMIF('gm podst'!$C3:$C43,"W",'gm podst'!Q3:Q43)</f>
        <v>0</v>
      </c>
      <c r="I19" s="87">
        <f>SUMIF('gm podst'!$C3:$C43,"W",'gm podst'!R3:R43)</f>
        <v>0</v>
      </c>
      <c r="J19" s="87">
        <f>SUMIF('gm podst'!$C3:$C43,"W",'gm podst'!S3:S43)</f>
        <v>12813793.26</v>
      </c>
      <c r="K19" s="87">
        <f>SUMIF('gm podst'!$C3:$C43,"W",'gm podst'!T3:T43)</f>
        <v>11494584</v>
      </c>
      <c r="L19" s="87">
        <f>SUMIF('gm podst'!$C3:$C43,"W",'gm podst'!U3:U43)</f>
        <v>2477249</v>
      </c>
      <c r="M19" s="87">
        <f>SUMIF('gm podst'!$C3:$C43,"W",'gm podst'!V3:V43)</f>
        <v>0</v>
      </c>
      <c r="N19" s="87">
        <f>SUMIF('gm podst'!$C3:$C43,"W",'gm podst'!W3:W43)</f>
        <v>0</v>
      </c>
      <c r="O19" s="123">
        <f>SUMIF('gm podst'!$C3:$C43,"W",'gm podst'!X3:X43)</f>
        <v>0</v>
      </c>
      <c r="P19" s="17" t="b">
        <f t="shared" si="0"/>
        <v>1</v>
      </c>
      <c r="Q19" s="29" t="b">
        <f t="shared" si="1"/>
        <v>1</v>
      </c>
      <c r="R19" s="18"/>
      <c r="S19" s="18"/>
      <c r="T19" s="19"/>
      <c r="U19" s="19"/>
      <c r="V19" s="19"/>
      <c r="W19" s="19"/>
      <c r="X19" s="19"/>
    </row>
    <row r="20" spans="1:24" s="23" customFormat="1" ht="39.9" customHeight="1" thickTop="1" x14ac:dyDescent="0.3">
      <c r="A20" s="125" t="s">
        <v>39</v>
      </c>
      <c r="B20" s="104">
        <f>B12+B16</f>
        <v>61</v>
      </c>
      <c r="C20" s="57">
        <f>C12+C16</f>
        <v>341487024.20999998</v>
      </c>
      <c r="D20" s="58">
        <f t="shared" ref="C20:O22" si="2">D12+D16</f>
        <v>158215128.20999998</v>
      </c>
      <c r="E20" s="59">
        <f t="shared" si="2"/>
        <v>183271896</v>
      </c>
      <c r="F20" s="60">
        <f t="shared" si="2"/>
        <v>0</v>
      </c>
      <c r="G20" s="57">
        <f t="shared" si="2"/>
        <v>5774367</v>
      </c>
      <c r="H20" s="57">
        <f t="shared" si="2"/>
        <v>19903725</v>
      </c>
      <c r="I20" s="57">
        <f t="shared" si="2"/>
        <v>41494310</v>
      </c>
      <c r="J20" s="57">
        <f t="shared" si="2"/>
        <v>85711317</v>
      </c>
      <c r="K20" s="57">
        <f t="shared" si="2"/>
        <v>20070996</v>
      </c>
      <c r="L20" s="57">
        <f t="shared" si="2"/>
        <v>8126210</v>
      </c>
      <c r="M20" s="57">
        <f t="shared" si="2"/>
        <v>2190971</v>
      </c>
      <c r="N20" s="57">
        <f t="shared" si="2"/>
        <v>0</v>
      </c>
      <c r="O20" s="126">
        <f t="shared" si="2"/>
        <v>0</v>
      </c>
      <c r="P20" s="17" t="b">
        <f t="shared" si="0"/>
        <v>1</v>
      </c>
      <c r="Q20" s="29" t="b">
        <f t="shared" ref="Q20:Q22" si="3">E20=SUM(F20:O20)</f>
        <v>1</v>
      </c>
      <c r="R20" s="21"/>
      <c r="S20" s="21"/>
      <c r="T20" s="22"/>
      <c r="U20" s="22"/>
      <c r="V20" s="22"/>
      <c r="W20" s="22"/>
      <c r="X20" s="22"/>
    </row>
    <row r="21" spans="1:24" s="23" customFormat="1" ht="39.9" customHeight="1" x14ac:dyDescent="0.3">
      <c r="A21" s="127" t="s">
        <v>35</v>
      </c>
      <c r="B21" s="105">
        <f>B13+B17</f>
        <v>30</v>
      </c>
      <c r="C21" s="33">
        <f t="shared" si="2"/>
        <v>229007169</v>
      </c>
      <c r="D21" s="41">
        <f t="shared" si="2"/>
        <v>111494945</v>
      </c>
      <c r="E21" s="32">
        <f t="shared" si="2"/>
        <v>117512224</v>
      </c>
      <c r="F21" s="45">
        <f t="shared" si="2"/>
        <v>0</v>
      </c>
      <c r="G21" s="33">
        <f t="shared" si="2"/>
        <v>5774367</v>
      </c>
      <c r="H21" s="33">
        <f t="shared" si="2"/>
        <v>19903725</v>
      </c>
      <c r="I21" s="33">
        <f t="shared" si="2"/>
        <v>41494310</v>
      </c>
      <c r="J21" s="33">
        <f t="shared" si="2"/>
        <v>33923478</v>
      </c>
      <c r="K21" s="33">
        <f t="shared" si="2"/>
        <v>8576412</v>
      </c>
      <c r="L21" s="33">
        <f t="shared" si="2"/>
        <v>5648961</v>
      </c>
      <c r="M21" s="33">
        <f t="shared" si="2"/>
        <v>2190971</v>
      </c>
      <c r="N21" s="33">
        <f t="shared" si="2"/>
        <v>0</v>
      </c>
      <c r="O21" s="128">
        <f t="shared" si="2"/>
        <v>0</v>
      </c>
      <c r="P21" s="17" t="b">
        <f t="shared" si="0"/>
        <v>1</v>
      </c>
      <c r="Q21" s="29" t="b">
        <f t="shared" si="3"/>
        <v>1</v>
      </c>
      <c r="R21" s="21"/>
      <c r="S21" s="21"/>
      <c r="T21" s="22"/>
      <c r="U21" s="22"/>
      <c r="V21" s="22"/>
      <c r="W21" s="22"/>
      <c r="X21" s="22"/>
    </row>
    <row r="22" spans="1:24" s="23" customFormat="1" ht="39.9" customHeight="1" x14ac:dyDescent="0.3">
      <c r="A22" s="129" t="s">
        <v>36</v>
      </c>
      <c r="B22" s="106">
        <f>B14+B18</f>
        <v>25</v>
      </c>
      <c r="C22" s="35">
        <f t="shared" si="2"/>
        <v>69921014.719999999</v>
      </c>
      <c r="D22" s="42">
        <f t="shared" si="2"/>
        <v>30946968.979999997</v>
      </c>
      <c r="E22" s="31">
        <f t="shared" si="2"/>
        <v>38974045.740000002</v>
      </c>
      <c r="F22" s="46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38974045.740000002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130">
        <f t="shared" si="2"/>
        <v>0</v>
      </c>
      <c r="P22" s="17" t="b">
        <f t="shared" si="0"/>
        <v>1</v>
      </c>
      <c r="Q22" s="29" t="b">
        <f t="shared" si="3"/>
        <v>1</v>
      </c>
      <c r="R22" s="21"/>
      <c r="S22" s="21"/>
      <c r="T22" s="22"/>
      <c r="U22" s="22"/>
      <c r="V22" s="22"/>
      <c r="W22" s="22"/>
      <c r="X22" s="22"/>
    </row>
    <row r="23" spans="1:24" s="23" customFormat="1" ht="39.9" customHeight="1" thickBot="1" x14ac:dyDescent="0.35">
      <c r="A23" s="131" t="s">
        <v>37</v>
      </c>
      <c r="B23" s="107">
        <f>B15+B19</f>
        <v>6</v>
      </c>
      <c r="C23" s="61">
        <f t="shared" ref="C23:O23" si="4">C15+C19</f>
        <v>42558840.490000002</v>
      </c>
      <c r="D23" s="62">
        <f t="shared" si="4"/>
        <v>15773214.23</v>
      </c>
      <c r="E23" s="56">
        <f t="shared" si="4"/>
        <v>26785626.259999998</v>
      </c>
      <c r="F23" s="63">
        <f t="shared" si="4"/>
        <v>0</v>
      </c>
      <c r="G23" s="61">
        <f t="shared" si="4"/>
        <v>0</v>
      </c>
      <c r="H23" s="61">
        <f t="shared" si="4"/>
        <v>0</v>
      </c>
      <c r="I23" s="61">
        <f t="shared" si="4"/>
        <v>0</v>
      </c>
      <c r="J23" s="61">
        <f t="shared" si="4"/>
        <v>12813793.26</v>
      </c>
      <c r="K23" s="61">
        <f t="shared" si="4"/>
        <v>11494584</v>
      </c>
      <c r="L23" s="61">
        <f t="shared" si="4"/>
        <v>2477249</v>
      </c>
      <c r="M23" s="61">
        <f t="shared" si="4"/>
        <v>0</v>
      </c>
      <c r="N23" s="61">
        <f t="shared" si="4"/>
        <v>0</v>
      </c>
      <c r="O23" s="132">
        <f t="shared" si="4"/>
        <v>0</v>
      </c>
      <c r="P23" s="17" t="b">
        <f t="shared" ref="P23" si="5">C23=(D23+E23)</f>
        <v>1</v>
      </c>
      <c r="Q23" s="29" t="b">
        <f t="shared" ref="Q23" si="6">E23=SUM(F23:O23)</f>
        <v>1</v>
      </c>
      <c r="R23" s="21"/>
      <c r="S23" s="21"/>
      <c r="T23" s="22"/>
      <c r="U23" s="22"/>
      <c r="V23" s="22"/>
      <c r="W23" s="22"/>
      <c r="X23" s="22"/>
    </row>
    <row r="24" spans="1:24" ht="39.9" customHeight="1" thickTop="1" x14ac:dyDescent="0.3">
      <c r="A24" s="116" t="s">
        <v>2</v>
      </c>
      <c r="B24" s="108">
        <f>COUNTA('pow rez'!K3:K3)</f>
        <v>0</v>
      </c>
      <c r="C24" s="89">
        <f>SUM('pow rez'!J3:J3)</f>
        <v>0</v>
      </c>
      <c r="D24" s="90">
        <f>SUM('pow rez'!L3:L3)</f>
        <v>0</v>
      </c>
      <c r="E24" s="54">
        <f>SUM('pow rez'!K3:K3)</f>
        <v>0</v>
      </c>
      <c r="F24" s="88">
        <f>SUM('pow rez'!N3:N3)</f>
        <v>0</v>
      </c>
      <c r="G24" s="89">
        <f>SUM('pow rez'!O3:O3)</f>
        <v>0</v>
      </c>
      <c r="H24" s="89">
        <f>SUM('pow rez'!P3:P3)</f>
        <v>0</v>
      </c>
      <c r="I24" s="89">
        <f>SUM('pow rez'!Q3:Q3)</f>
        <v>0</v>
      </c>
      <c r="J24" s="89">
        <f>SUM('pow rez'!R3:R3)</f>
        <v>0</v>
      </c>
      <c r="K24" s="89">
        <f>SUM('pow rez'!S3:S3)</f>
        <v>0</v>
      </c>
      <c r="L24" s="89">
        <f>SUM('pow rez'!T3:T3)</f>
        <v>0</v>
      </c>
      <c r="M24" s="89">
        <f>SUM('pow rez'!U3:U3)</f>
        <v>0</v>
      </c>
      <c r="N24" s="89">
        <f>SUM('pow rez'!V3:V3)</f>
        <v>0</v>
      </c>
      <c r="O24" s="133">
        <f>SUM('pow rez'!W3:W3)</f>
        <v>0</v>
      </c>
      <c r="P24" s="17" t="b">
        <f t="shared" ref="P24:P36" si="7">C24=(D24+E24)</f>
        <v>1</v>
      </c>
      <c r="Q24" s="29" t="b">
        <f t="shared" ref="Q24:Q36" si="8">E24=SUM(F24:O24)</f>
        <v>1</v>
      </c>
      <c r="R24" s="18"/>
      <c r="S24" s="18"/>
      <c r="T24" s="19"/>
      <c r="U24" s="19"/>
      <c r="V24" s="19"/>
      <c r="W24" s="19"/>
      <c r="X24" s="19"/>
    </row>
    <row r="25" spans="1:24" ht="39.9" customHeight="1" x14ac:dyDescent="0.3">
      <c r="A25" s="120" t="s">
        <v>36</v>
      </c>
      <c r="B25" s="102">
        <f>COUNTIF('pow rez'!C3:C3,"N")</f>
        <v>0</v>
      </c>
      <c r="C25" s="81">
        <f>SUMIF('pow rez'!C3:C3,"N",'pow rez'!J3:J3)</f>
        <v>0</v>
      </c>
      <c r="D25" s="82">
        <f>SUMIF('pow rez'!C3:C3,"N",'pow rez'!L3:L3)</f>
        <v>0</v>
      </c>
      <c r="E25" s="31">
        <f>SUMIF('pow rez'!C3:C3,"N",'pow rez'!K3:K3)</f>
        <v>0</v>
      </c>
      <c r="F25" s="86">
        <f>SUMIF('pow rez'!C3:C3,"N",'pow rez'!N3:N3)</f>
        <v>0</v>
      </c>
      <c r="G25" s="81">
        <f>SUMIF('pow rez'!C3:C3,"N",'pow rez'!O3:O3)</f>
        <v>0</v>
      </c>
      <c r="H25" s="81">
        <f>SUMIF('pow rez'!C3:C3,"N",'pow rez'!P3:P3)</f>
        <v>0</v>
      </c>
      <c r="I25" s="81">
        <f>SUMIF('pow rez'!C3:C3,"N",'pow rez'!Q3:Q3)</f>
        <v>0</v>
      </c>
      <c r="J25" s="81">
        <f>SUMIF('pow rez'!C3:C3,"N",'pow rez'!R3:R3)</f>
        <v>0</v>
      </c>
      <c r="K25" s="81">
        <f>SUMIF('pow rez'!C3:C3,"N",'pow rez'!S3:S3)</f>
        <v>0</v>
      </c>
      <c r="L25" s="81">
        <f>SUMIF('pow rez'!C3:C3,"N",'pow rez'!T3:T3)</f>
        <v>0</v>
      </c>
      <c r="M25" s="81">
        <f>SUMIF('pow rez'!C3:C3,"N",'pow rez'!U3:U3)</f>
        <v>0</v>
      </c>
      <c r="N25" s="81">
        <f>SUMIF('pow rez'!C3:C3,"N",'pow rez'!V3:V3)</f>
        <v>0</v>
      </c>
      <c r="O25" s="134">
        <f>SUMIF('pow rez'!C3:C3,"N",'pow rez'!W3:W3)</f>
        <v>0</v>
      </c>
      <c r="P25" s="17" t="b">
        <f t="shared" si="7"/>
        <v>1</v>
      </c>
      <c r="Q25" s="29" t="b">
        <f t="shared" si="8"/>
        <v>1</v>
      </c>
      <c r="R25" s="18"/>
      <c r="S25" s="18"/>
      <c r="T25" s="19"/>
      <c r="U25" s="19"/>
      <c r="V25" s="19"/>
      <c r="W25" s="19"/>
      <c r="X25" s="19"/>
    </row>
    <row r="26" spans="1:24" ht="39.9" customHeight="1" thickBot="1" x14ac:dyDescent="0.35">
      <c r="A26" s="122" t="s">
        <v>37</v>
      </c>
      <c r="B26" s="103">
        <f>COUNTIF('pow rez'!C3:C3,"W")</f>
        <v>0</v>
      </c>
      <c r="C26" s="83">
        <f>SUMIF('pow rez'!C3:C3,"W",'pow rez'!J3:J3)</f>
        <v>0</v>
      </c>
      <c r="D26" s="84">
        <f>SUMIF('pow rez'!C3:C3,"W",'pow rez'!L3:L3)</f>
        <v>0</v>
      </c>
      <c r="E26" s="56">
        <f>SUMIF('pow rez'!C3:C3,"W",'pow rez'!K3:K3)</f>
        <v>0</v>
      </c>
      <c r="F26" s="87">
        <f>SUMIF('pow rez'!C3:C3,"w",'pow rez'!N3:N3)</f>
        <v>0</v>
      </c>
      <c r="G26" s="83">
        <f>SUMIF('pow rez'!C3:C3,"W",'pow rez'!O3:O3)</f>
        <v>0</v>
      </c>
      <c r="H26" s="83">
        <f>SUMIF('pow rez'!C3:C3,"W",'pow rez'!P3:P3)</f>
        <v>0</v>
      </c>
      <c r="I26" s="83">
        <f>SUMIF('pow rez'!C3:C3,"W",'pow rez'!Q3:Q3)</f>
        <v>0</v>
      </c>
      <c r="J26" s="83">
        <f>SUMIF('pow rez'!C3:C3,"W",'pow rez'!R3:R3)</f>
        <v>0</v>
      </c>
      <c r="K26" s="83">
        <f>SUMIF('pow rez'!C3:C3,"W",'pow rez'!S3:S3)</f>
        <v>0</v>
      </c>
      <c r="L26" s="83">
        <f>SUMIF('pow rez'!C3:C3,"W",'pow rez'!T3:T3)</f>
        <v>0</v>
      </c>
      <c r="M26" s="83">
        <f>SUMIF('pow rez'!C3:C3,"W",'pow rez'!U3:U3)</f>
        <v>0</v>
      </c>
      <c r="N26" s="83">
        <f>SUMIF('pow rez'!C3:C3,"W",'pow rez'!V3:V3)</f>
        <v>0</v>
      </c>
      <c r="O26" s="135">
        <f>SUMIF('pow rez'!C3:C3,"W",'pow rez'!W3:W3)</f>
        <v>0</v>
      </c>
      <c r="P26" s="17" t="b">
        <f t="shared" si="7"/>
        <v>1</v>
      </c>
      <c r="Q26" s="29" t="b">
        <f t="shared" si="8"/>
        <v>1</v>
      </c>
      <c r="R26" s="18"/>
      <c r="S26" s="18"/>
      <c r="T26" s="19"/>
      <c r="U26" s="19"/>
      <c r="V26" s="19"/>
      <c r="W26" s="19"/>
      <c r="X26" s="19"/>
    </row>
    <row r="27" spans="1:24" ht="39.9" customHeight="1" thickTop="1" x14ac:dyDescent="0.3">
      <c r="A27" s="116" t="s">
        <v>3</v>
      </c>
      <c r="B27" s="100">
        <f>COUNTA('gm rez'!L3:L24)</f>
        <v>22</v>
      </c>
      <c r="C27" s="52">
        <f>SUM('gm rez'!K3:K24)</f>
        <v>35094234.149999999</v>
      </c>
      <c r="D27" s="52">
        <f>SUM('[1]gm rez'!M3:M24)</f>
        <v>13762836.149999999</v>
      </c>
      <c r="E27" s="54">
        <f>SUM('[1]gm rez'!L3:L24)</f>
        <v>21331398</v>
      </c>
      <c r="F27" s="52">
        <f>SUM('[1]gm rez'!O3:O24)</f>
        <v>0</v>
      </c>
      <c r="G27" s="52">
        <f>SUM('[1]gm rez'!P3:P24)</f>
        <v>0</v>
      </c>
      <c r="H27" s="52">
        <f>SUM('[1]gm rez'!Q3:Q24)</f>
        <v>0</v>
      </c>
      <c r="I27" s="52">
        <f>SUM('[1]gm rez'!R3:R24)</f>
        <v>0</v>
      </c>
      <c r="J27" s="52">
        <f>SUM('[1]gm rez'!S3:S24)</f>
        <v>19618693</v>
      </c>
      <c r="K27" s="52">
        <f>SUM('[1]gm rez'!T3:T24)</f>
        <v>1712705</v>
      </c>
      <c r="L27" s="52">
        <f>SUM('[1]gm rez'!U3:U24)</f>
        <v>0</v>
      </c>
      <c r="M27" s="52">
        <f>SUM('[1]gm rez'!V3:V24)</f>
        <v>0</v>
      </c>
      <c r="N27" s="52">
        <f>SUM('[1]gm rez'!W3:W24)</f>
        <v>0</v>
      </c>
      <c r="O27" s="52">
        <f>SUM('[1]gm rez'!X3:X24)</f>
        <v>0</v>
      </c>
      <c r="P27" s="17" t="b">
        <f t="shared" si="7"/>
        <v>1</v>
      </c>
      <c r="Q27" s="29" t="b">
        <f t="shared" si="8"/>
        <v>1</v>
      </c>
      <c r="R27" s="24"/>
      <c r="S27" s="24"/>
      <c r="T27" s="25"/>
      <c r="U27" s="25"/>
      <c r="V27" s="20"/>
      <c r="W27" s="9"/>
      <c r="X27" s="9"/>
    </row>
    <row r="28" spans="1:24" ht="39.9" customHeight="1" x14ac:dyDescent="0.3">
      <c r="A28" s="120" t="s">
        <v>36</v>
      </c>
      <c r="B28" s="102">
        <f>COUNTIF('gm rez'!C3:C24,"N")</f>
        <v>21</v>
      </c>
      <c r="C28" s="81">
        <f>SUMIF('gm rez'!C3:C24,"N",'gm rez'!K3:K24)</f>
        <v>29047512.510000002</v>
      </c>
      <c r="D28" s="82">
        <f>SUMIF('gm rez'!C3:C24,"N",'gm rez'!M3:M24)</f>
        <v>11948819.51</v>
      </c>
      <c r="E28" s="31">
        <f>SUMIF('gm rez'!C3:C24,"N",'gm rez'!L3:L24)</f>
        <v>17098693</v>
      </c>
      <c r="F28" s="86">
        <f>SUMIF('gm rez'!C3:C24,"N",'gm rez'!O3:O24)</f>
        <v>0</v>
      </c>
      <c r="G28" s="81">
        <f>SUMIF('gm rez'!C3:C24,"N",'gm rez'!P3:P24)</f>
        <v>0</v>
      </c>
      <c r="H28" s="81">
        <f>SUMIF('gm rez'!C3:C24,"N",'gm rez'!Q3:Q24)</f>
        <v>0</v>
      </c>
      <c r="I28" s="81">
        <f>SUMIF('gm rez'!C3:C24,"N",'gm rez'!R3:R24)</f>
        <v>0</v>
      </c>
      <c r="J28" s="81">
        <f>SUMIF('gm rez'!C3:C24,"N",'gm rez'!S3:S24)</f>
        <v>17098693</v>
      </c>
      <c r="K28" s="81">
        <f>SUMIF('gm rez'!C3:C24,"N",'gm rez'!T3:T24)</f>
        <v>0</v>
      </c>
      <c r="L28" s="81">
        <f>SUMIF('gm rez'!C3:C24,"N",'gm rez'!U3:U24)</f>
        <v>0</v>
      </c>
      <c r="M28" s="81">
        <f>SUMIF('gm rez'!C3:C24,"N",'gm rez'!V3:V24)</f>
        <v>0</v>
      </c>
      <c r="N28" s="81">
        <f>SUMIF('gm rez'!C3:C24,"N",'gm rez'!W3:W24)</f>
        <v>0</v>
      </c>
      <c r="O28" s="134">
        <f>SUMIF('gm rez'!C3:C24,"N",'gm rez'!X3:X24)</f>
        <v>0</v>
      </c>
      <c r="P28" s="17" t="b">
        <f t="shared" si="7"/>
        <v>1</v>
      </c>
      <c r="Q28" s="29" t="b">
        <f t="shared" si="8"/>
        <v>1</v>
      </c>
      <c r="R28" s="24"/>
      <c r="S28" s="24"/>
      <c r="T28" s="25"/>
      <c r="U28" s="25"/>
      <c r="V28" s="20"/>
      <c r="W28" s="9"/>
      <c r="X28" s="9"/>
    </row>
    <row r="29" spans="1:24" ht="39.9" customHeight="1" thickBot="1" x14ac:dyDescent="0.35">
      <c r="A29" s="122" t="s">
        <v>37</v>
      </c>
      <c r="B29" s="103">
        <f>COUNTIF('gm rez'!C3:C24,"W")</f>
        <v>1</v>
      </c>
      <c r="C29" s="83">
        <f>SUMIF('gm rez'!C3:C24,"W",'gm rez'!K3:K24)</f>
        <v>6046721.6399999997</v>
      </c>
      <c r="D29" s="84">
        <f>SUMIF('gm rez'!C3:C24,"W",'gm rez'!M3:M24)</f>
        <v>1814016.6399999997</v>
      </c>
      <c r="E29" s="56">
        <f>SUMIF('gm rez'!C3:C24,"W",'gm rez'!L3:L24)</f>
        <v>4232705</v>
      </c>
      <c r="F29" s="87">
        <f>SUMIF('gm rez'!C3:C24,"W",'gm rez'!O3:O24)</f>
        <v>0</v>
      </c>
      <c r="G29" s="83">
        <f>SUMIF('gm rez'!C3:C24,"W",'gm rez'!P3:P24)</f>
        <v>0</v>
      </c>
      <c r="H29" s="83">
        <f>SUMIF('gm rez'!C3:C24,"W",'gm rez'!Q3:Q24)</f>
        <v>0</v>
      </c>
      <c r="I29" s="83">
        <f>SUMIF('gm rez'!C3:C24,"W",'gm rez'!R3:R24)</f>
        <v>0</v>
      </c>
      <c r="J29" s="83">
        <f>SUMIF('gm rez'!C3:C24,"W",'gm rez'!S3:S24)</f>
        <v>2520000</v>
      </c>
      <c r="K29" s="83">
        <f>SUMIF('gm rez'!C3:C24,"W",'gm rez'!T3:T24)</f>
        <v>1712705</v>
      </c>
      <c r="L29" s="83">
        <f>SUMIF('gm rez'!C3:C24,"W",'gm rez'!U3:U24)</f>
        <v>0</v>
      </c>
      <c r="M29" s="83">
        <f>SUMIF('gm rez'!C3:C24,"W",'gm rez'!V3:V24)</f>
        <v>0</v>
      </c>
      <c r="N29" s="83">
        <f>SUMIF('gm rez'!C3:C24,"W",'gm rez'!W3:W24)</f>
        <v>0</v>
      </c>
      <c r="O29" s="135">
        <f>SUMIF('gm rez'!C3:C24,"W",'gm rez'!X3:X24)</f>
        <v>0</v>
      </c>
      <c r="P29" s="17" t="b">
        <f t="shared" si="7"/>
        <v>1</v>
      </c>
      <c r="Q29" s="29" t="b">
        <f t="shared" si="8"/>
        <v>1</v>
      </c>
      <c r="R29" s="24"/>
      <c r="S29" s="24"/>
      <c r="T29" s="25"/>
      <c r="U29" s="25"/>
      <c r="V29" s="20"/>
      <c r="W29" s="9"/>
      <c r="X29" s="9"/>
    </row>
    <row r="30" spans="1:24" ht="39.9" customHeight="1" thickTop="1" x14ac:dyDescent="0.3">
      <c r="A30" s="64" t="s">
        <v>98</v>
      </c>
      <c r="B30" s="109">
        <f>B24+B27</f>
        <v>22</v>
      </c>
      <c r="C30" s="65">
        <f t="shared" ref="C30:O30" si="9">C24+C27</f>
        <v>35094234.149999999</v>
      </c>
      <c r="D30" s="66">
        <f t="shared" si="9"/>
        <v>13762836.149999999</v>
      </c>
      <c r="E30" s="51">
        <f t="shared" si="9"/>
        <v>21331398</v>
      </c>
      <c r="F30" s="67">
        <f t="shared" si="9"/>
        <v>0</v>
      </c>
      <c r="G30" s="65">
        <f t="shared" si="9"/>
        <v>0</v>
      </c>
      <c r="H30" s="65">
        <f t="shared" si="9"/>
        <v>0</v>
      </c>
      <c r="I30" s="65">
        <f t="shared" si="9"/>
        <v>0</v>
      </c>
      <c r="J30" s="65">
        <f t="shared" si="9"/>
        <v>19618693</v>
      </c>
      <c r="K30" s="65">
        <f t="shared" si="9"/>
        <v>1712705</v>
      </c>
      <c r="L30" s="65">
        <f t="shared" si="9"/>
        <v>0</v>
      </c>
      <c r="M30" s="65">
        <f t="shared" si="9"/>
        <v>0</v>
      </c>
      <c r="N30" s="65">
        <f t="shared" si="9"/>
        <v>0</v>
      </c>
      <c r="O30" s="68">
        <f t="shared" si="9"/>
        <v>0</v>
      </c>
      <c r="P30" s="17" t="b">
        <f t="shared" si="7"/>
        <v>1</v>
      </c>
      <c r="Q30" s="29" t="b">
        <f t="shared" si="8"/>
        <v>1</v>
      </c>
      <c r="R30" s="26"/>
      <c r="S30" s="26"/>
      <c r="T30" s="2"/>
      <c r="U30" s="2"/>
    </row>
    <row r="31" spans="1:24" ht="39.9" customHeight="1" x14ac:dyDescent="0.3">
      <c r="A31" s="40" t="s">
        <v>36</v>
      </c>
      <c r="B31" s="110">
        <f t="shared" ref="B31:O31" si="10">B25+B28</f>
        <v>21</v>
      </c>
      <c r="C31" s="34">
        <f t="shared" si="10"/>
        <v>29047512.510000002</v>
      </c>
      <c r="D31" s="43">
        <f t="shared" si="10"/>
        <v>11948819.51</v>
      </c>
      <c r="E31" s="31">
        <f t="shared" si="10"/>
        <v>17098693</v>
      </c>
      <c r="F31" s="47">
        <f t="shared" si="10"/>
        <v>0</v>
      </c>
      <c r="G31" s="34">
        <f t="shared" si="10"/>
        <v>0</v>
      </c>
      <c r="H31" s="34">
        <f t="shared" si="10"/>
        <v>0</v>
      </c>
      <c r="I31" s="34">
        <f t="shared" si="10"/>
        <v>0</v>
      </c>
      <c r="J31" s="34">
        <f t="shared" si="10"/>
        <v>17098693</v>
      </c>
      <c r="K31" s="34">
        <f t="shared" si="10"/>
        <v>0</v>
      </c>
      <c r="L31" s="34">
        <f t="shared" si="10"/>
        <v>0</v>
      </c>
      <c r="M31" s="34">
        <f t="shared" si="10"/>
        <v>0</v>
      </c>
      <c r="N31" s="34">
        <f t="shared" si="10"/>
        <v>0</v>
      </c>
      <c r="O31" s="39">
        <f t="shared" si="10"/>
        <v>0</v>
      </c>
      <c r="P31" s="17" t="b">
        <f t="shared" si="7"/>
        <v>1</v>
      </c>
      <c r="Q31" s="29" t="b">
        <f t="shared" si="8"/>
        <v>1</v>
      </c>
      <c r="R31" s="26"/>
      <c r="S31" s="26"/>
      <c r="T31" s="2"/>
      <c r="U31" s="2"/>
    </row>
    <row r="32" spans="1:24" ht="39.9" customHeight="1" thickBot="1" x14ac:dyDescent="0.35">
      <c r="A32" s="69" t="s">
        <v>37</v>
      </c>
      <c r="B32" s="111">
        <f t="shared" ref="B32:O32" si="11">B26+B29</f>
        <v>1</v>
      </c>
      <c r="C32" s="70">
        <f t="shared" si="11"/>
        <v>6046721.6399999997</v>
      </c>
      <c r="D32" s="71">
        <f t="shared" si="11"/>
        <v>1814016.6399999997</v>
      </c>
      <c r="E32" s="72">
        <f t="shared" si="11"/>
        <v>4232705</v>
      </c>
      <c r="F32" s="73">
        <f t="shared" si="11"/>
        <v>0</v>
      </c>
      <c r="G32" s="70">
        <f t="shared" si="11"/>
        <v>0</v>
      </c>
      <c r="H32" s="70">
        <f t="shared" si="11"/>
        <v>0</v>
      </c>
      <c r="I32" s="70">
        <f t="shared" si="11"/>
        <v>0</v>
      </c>
      <c r="J32" s="70">
        <f t="shared" si="11"/>
        <v>2520000</v>
      </c>
      <c r="K32" s="70">
        <f t="shared" si="11"/>
        <v>1712705</v>
      </c>
      <c r="L32" s="70">
        <f t="shared" si="11"/>
        <v>0</v>
      </c>
      <c r="M32" s="70">
        <f t="shared" si="11"/>
        <v>0</v>
      </c>
      <c r="N32" s="70">
        <f t="shared" si="11"/>
        <v>0</v>
      </c>
      <c r="O32" s="74">
        <f t="shared" si="11"/>
        <v>0</v>
      </c>
      <c r="P32" s="17" t="b">
        <f t="shared" si="7"/>
        <v>1</v>
      </c>
      <c r="Q32" s="29" t="b">
        <f t="shared" si="8"/>
        <v>1</v>
      </c>
      <c r="R32" s="26"/>
      <c r="S32" s="26"/>
      <c r="T32" s="2"/>
      <c r="U32" s="2"/>
    </row>
    <row r="33" spans="1:21" ht="39.9" customHeight="1" thickTop="1" x14ac:dyDescent="0.3">
      <c r="A33" s="136" t="s">
        <v>97</v>
      </c>
      <c r="B33" s="112">
        <f>B20+B30</f>
        <v>83</v>
      </c>
      <c r="C33" s="75">
        <f t="shared" ref="C33:O33" si="12">C20+C30</f>
        <v>376581258.35999995</v>
      </c>
      <c r="D33" s="76">
        <f t="shared" si="12"/>
        <v>171977964.35999998</v>
      </c>
      <c r="E33" s="77">
        <f t="shared" si="12"/>
        <v>204603294</v>
      </c>
      <c r="F33" s="78">
        <f t="shared" si="12"/>
        <v>0</v>
      </c>
      <c r="G33" s="75">
        <f t="shared" si="12"/>
        <v>5774367</v>
      </c>
      <c r="H33" s="75">
        <f t="shared" si="12"/>
        <v>19903725</v>
      </c>
      <c r="I33" s="75">
        <f t="shared" si="12"/>
        <v>41494310</v>
      </c>
      <c r="J33" s="75">
        <f t="shared" si="12"/>
        <v>105330010</v>
      </c>
      <c r="K33" s="75">
        <f t="shared" si="12"/>
        <v>21783701</v>
      </c>
      <c r="L33" s="75">
        <f t="shared" si="12"/>
        <v>8126210</v>
      </c>
      <c r="M33" s="75">
        <f t="shared" si="12"/>
        <v>2190971</v>
      </c>
      <c r="N33" s="75">
        <f t="shared" si="12"/>
        <v>0</v>
      </c>
      <c r="O33" s="137">
        <f t="shared" si="12"/>
        <v>0</v>
      </c>
      <c r="P33" s="17" t="b">
        <f t="shared" si="7"/>
        <v>1</v>
      </c>
      <c r="Q33" s="29" t="b">
        <f t="shared" si="8"/>
        <v>1</v>
      </c>
      <c r="R33" s="26"/>
      <c r="S33" s="26"/>
      <c r="T33" s="2"/>
      <c r="U33" s="2"/>
    </row>
    <row r="34" spans="1:21" ht="39.9" customHeight="1" x14ac:dyDescent="0.3">
      <c r="A34" s="138" t="s">
        <v>35</v>
      </c>
      <c r="B34" s="113">
        <f>B21</f>
        <v>30</v>
      </c>
      <c r="C34" s="95">
        <f t="shared" ref="C34:O34" si="13">C21</f>
        <v>229007169</v>
      </c>
      <c r="D34" s="96">
        <f t="shared" si="13"/>
        <v>111494945</v>
      </c>
      <c r="E34" s="32">
        <f t="shared" si="13"/>
        <v>117512224</v>
      </c>
      <c r="F34" s="97">
        <f t="shared" si="13"/>
        <v>0</v>
      </c>
      <c r="G34" s="97">
        <f t="shared" si="13"/>
        <v>5774367</v>
      </c>
      <c r="H34" s="97">
        <f t="shared" si="13"/>
        <v>19903725</v>
      </c>
      <c r="I34" s="97">
        <f t="shared" si="13"/>
        <v>41494310</v>
      </c>
      <c r="J34" s="97">
        <f t="shared" si="13"/>
        <v>33923478</v>
      </c>
      <c r="K34" s="97">
        <f t="shared" si="13"/>
        <v>8576412</v>
      </c>
      <c r="L34" s="97">
        <f t="shared" si="13"/>
        <v>5648961</v>
      </c>
      <c r="M34" s="97">
        <f t="shared" si="13"/>
        <v>2190971</v>
      </c>
      <c r="N34" s="97">
        <f t="shared" si="13"/>
        <v>0</v>
      </c>
      <c r="O34" s="139">
        <f t="shared" si="13"/>
        <v>0</v>
      </c>
      <c r="P34" s="17" t="b">
        <f t="shared" si="7"/>
        <v>1</v>
      </c>
      <c r="Q34" s="29" t="b">
        <f t="shared" si="8"/>
        <v>1</v>
      </c>
      <c r="R34" s="26"/>
      <c r="S34" s="26"/>
      <c r="T34" s="2"/>
      <c r="U34" s="2"/>
    </row>
    <row r="35" spans="1:21" ht="39.9" customHeight="1" x14ac:dyDescent="0.3">
      <c r="A35" s="140" t="s">
        <v>36</v>
      </c>
      <c r="B35" s="114">
        <f>B22+B31</f>
        <v>46</v>
      </c>
      <c r="C35" s="91">
        <f t="shared" ref="C35:O36" si="14">C22+C31</f>
        <v>98968527.230000004</v>
      </c>
      <c r="D35" s="92">
        <f t="shared" si="14"/>
        <v>42895788.489999995</v>
      </c>
      <c r="E35" s="93">
        <f t="shared" si="14"/>
        <v>56072738.740000002</v>
      </c>
      <c r="F35" s="94">
        <f t="shared" si="14"/>
        <v>0</v>
      </c>
      <c r="G35" s="91">
        <f t="shared" si="14"/>
        <v>0</v>
      </c>
      <c r="H35" s="91">
        <f t="shared" si="14"/>
        <v>0</v>
      </c>
      <c r="I35" s="91">
        <f t="shared" si="14"/>
        <v>0</v>
      </c>
      <c r="J35" s="91">
        <f t="shared" si="14"/>
        <v>56072738.740000002</v>
      </c>
      <c r="K35" s="91">
        <f t="shared" si="14"/>
        <v>0</v>
      </c>
      <c r="L35" s="91">
        <f t="shared" si="14"/>
        <v>0</v>
      </c>
      <c r="M35" s="91">
        <f t="shared" si="14"/>
        <v>0</v>
      </c>
      <c r="N35" s="91">
        <f t="shared" si="14"/>
        <v>0</v>
      </c>
      <c r="O35" s="141">
        <f t="shared" si="14"/>
        <v>0</v>
      </c>
      <c r="P35" s="17" t="b">
        <f t="shared" si="7"/>
        <v>1</v>
      </c>
      <c r="Q35" s="29" t="b">
        <f t="shared" si="8"/>
        <v>1</v>
      </c>
      <c r="R35" s="26"/>
      <c r="S35" s="26"/>
      <c r="T35" s="2"/>
      <c r="U35" s="2"/>
    </row>
    <row r="36" spans="1:21" ht="39.9" customHeight="1" thickBot="1" x14ac:dyDescent="0.35">
      <c r="A36" s="142" t="s">
        <v>37</v>
      </c>
      <c r="B36" s="143">
        <f>B23+B32</f>
        <v>7</v>
      </c>
      <c r="C36" s="144">
        <f t="shared" si="14"/>
        <v>48605562.130000003</v>
      </c>
      <c r="D36" s="145">
        <f t="shared" si="14"/>
        <v>17587230.870000001</v>
      </c>
      <c r="E36" s="146">
        <f t="shared" si="14"/>
        <v>31018331.259999998</v>
      </c>
      <c r="F36" s="147">
        <f t="shared" si="14"/>
        <v>0</v>
      </c>
      <c r="G36" s="144">
        <f t="shared" si="14"/>
        <v>0</v>
      </c>
      <c r="H36" s="144">
        <f t="shared" si="14"/>
        <v>0</v>
      </c>
      <c r="I36" s="144">
        <f t="shared" si="14"/>
        <v>0</v>
      </c>
      <c r="J36" s="144">
        <f t="shared" si="14"/>
        <v>15333793.26</v>
      </c>
      <c r="K36" s="144">
        <f t="shared" si="14"/>
        <v>13207289</v>
      </c>
      <c r="L36" s="144">
        <f t="shared" si="14"/>
        <v>2477249</v>
      </c>
      <c r="M36" s="144">
        <f t="shared" si="14"/>
        <v>0</v>
      </c>
      <c r="N36" s="144">
        <f t="shared" si="14"/>
        <v>0</v>
      </c>
      <c r="O36" s="148">
        <f t="shared" si="14"/>
        <v>0</v>
      </c>
      <c r="P36" s="17" t="b">
        <f t="shared" si="7"/>
        <v>1</v>
      </c>
      <c r="Q36" s="29" t="b">
        <f t="shared" si="8"/>
        <v>1</v>
      </c>
      <c r="R36" s="26"/>
      <c r="S36" s="26"/>
      <c r="T36" s="2"/>
      <c r="U36" s="2"/>
    </row>
    <row r="37" spans="1:21" x14ac:dyDescent="0.3">
      <c r="A37" s="27"/>
      <c r="B37" s="3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6"/>
      <c r="S37" s="26"/>
      <c r="T37" s="2"/>
      <c r="U37" s="2"/>
    </row>
    <row r="38" spans="1:21" x14ac:dyDescent="0.3">
      <c r="A38" s="27"/>
      <c r="B38" s="30" t="b">
        <f>B33=B34+B35+B36</f>
        <v>1</v>
      </c>
      <c r="C38" s="27" t="b">
        <f t="shared" ref="C38:O38" si="15">C33=C34+C35+C36</f>
        <v>1</v>
      </c>
      <c r="D38" s="27" t="b">
        <f t="shared" si="15"/>
        <v>1</v>
      </c>
      <c r="E38" s="27" t="b">
        <f t="shared" si="15"/>
        <v>1</v>
      </c>
      <c r="F38" s="27" t="b">
        <f t="shared" si="15"/>
        <v>1</v>
      </c>
      <c r="G38" s="27" t="b">
        <f t="shared" si="15"/>
        <v>1</v>
      </c>
      <c r="H38" s="27" t="b">
        <f t="shared" si="15"/>
        <v>1</v>
      </c>
      <c r="I38" s="27" t="b">
        <f t="shared" si="15"/>
        <v>1</v>
      </c>
      <c r="J38" s="27" t="b">
        <f t="shared" si="15"/>
        <v>1</v>
      </c>
      <c r="K38" s="27" t="b">
        <f t="shared" si="15"/>
        <v>1</v>
      </c>
      <c r="L38" s="27" t="b">
        <f t="shared" si="15"/>
        <v>1</v>
      </c>
      <c r="M38" s="27" t="b">
        <f t="shared" si="15"/>
        <v>1</v>
      </c>
      <c r="N38" s="27" t="b">
        <f t="shared" si="15"/>
        <v>1</v>
      </c>
      <c r="O38" s="27" t="b">
        <f t="shared" si="15"/>
        <v>1</v>
      </c>
      <c r="P38" s="27"/>
      <c r="Q38" s="27"/>
      <c r="R38" s="26"/>
      <c r="S38" s="26"/>
      <c r="T38" s="2"/>
      <c r="U38" s="2"/>
    </row>
    <row r="39" spans="1:21" x14ac:dyDescent="0.3">
      <c r="A39" s="27"/>
      <c r="B39" s="30" t="b">
        <f>B21=B34</f>
        <v>1</v>
      </c>
      <c r="C39" s="27" t="b">
        <f t="shared" ref="C39:O39" si="16">C21=C34</f>
        <v>1</v>
      </c>
      <c r="D39" s="27" t="b">
        <f t="shared" si="16"/>
        <v>1</v>
      </c>
      <c r="E39" s="27" t="b">
        <f t="shared" si="16"/>
        <v>1</v>
      </c>
      <c r="F39" s="27" t="b">
        <f t="shared" si="16"/>
        <v>1</v>
      </c>
      <c r="G39" s="27" t="b">
        <f t="shared" si="16"/>
        <v>1</v>
      </c>
      <c r="H39" s="27" t="b">
        <f t="shared" si="16"/>
        <v>1</v>
      </c>
      <c r="I39" s="27" t="b">
        <f t="shared" si="16"/>
        <v>1</v>
      </c>
      <c r="J39" s="27" t="b">
        <f t="shared" si="16"/>
        <v>1</v>
      </c>
      <c r="K39" s="27" t="b">
        <f t="shared" si="16"/>
        <v>1</v>
      </c>
      <c r="L39" s="27" t="b">
        <f t="shared" si="16"/>
        <v>1</v>
      </c>
      <c r="M39" s="27" t="b">
        <f t="shared" si="16"/>
        <v>1</v>
      </c>
      <c r="N39" s="27" t="b">
        <f t="shared" si="16"/>
        <v>1</v>
      </c>
      <c r="O39" s="27" t="b">
        <f t="shared" si="16"/>
        <v>1</v>
      </c>
      <c r="P39" s="27"/>
      <c r="Q39" s="27"/>
      <c r="R39" s="26"/>
      <c r="S39" s="26"/>
      <c r="T39" s="2"/>
      <c r="U39" s="2"/>
    </row>
    <row r="40" spans="1:21" x14ac:dyDescent="0.3">
      <c r="A40" s="27"/>
      <c r="B40" s="30" t="b">
        <f>B14+B18+B25+B28=B35</f>
        <v>1</v>
      </c>
      <c r="C40" s="27" t="b">
        <f t="shared" ref="C40:O41" si="17">C14+C18+C25+C28=C35</f>
        <v>1</v>
      </c>
      <c r="D40" s="27" t="b">
        <f t="shared" si="17"/>
        <v>1</v>
      </c>
      <c r="E40" s="27" t="b">
        <f t="shared" si="17"/>
        <v>1</v>
      </c>
      <c r="F40" s="27" t="b">
        <f t="shared" si="17"/>
        <v>1</v>
      </c>
      <c r="G40" s="27" t="b">
        <f t="shared" si="17"/>
        <v>1</v>
      </c>
      <c r="H40" s="27" t="b">
        <f t="shared" si="17"/>
        <v>1</v>
      </c>
      <c r="I40" s="27" t="b">
        <f t="shared" si="17"/>
        <v>1</v>
      </c>
      <c r="J40" s="27" t="b">
        <f t="shared" si="17"/>
        <v>1</v>
      </c>
      <c r="K40" s="27" t="b">
        <f t="shared" si="17"/>
        <v>1</v>
      </c>
      <c r="L40" s="27" t="b">
        <f t="shared" si="17"/>
        <v>1</v>
      </c>
      <c r="M40" s="27" t="b">
        <f t="shared" si="17"/>
        <v>1</v>
      </c>
      <c r="N40" s="27" t="b">
        <f t="shared" si="17"/>
        <v>1</v>
      </c>
      <c r="O40" s="27" t="b">
        <f t="shared" si="17"/>
        <v>1</v>
      </c>
      <c r="P40" s="27"/>
      <c r="Q40" s="27"/>
      <c r="R40" s="26"/>
      <c r="S40" s="26"/>
      <c r="T40" s="2"/>
      <c r="U40" s="2"/>
    </row>
    <row r="41" spans="1:21" x14ac:dyDescent="0.3">
      <c r="A41" s="28"/>
      <c r="B41" s="115" t="b">
        <f>B15+B19+B26+B29=B36</f>
        <v>1</v>
      </c>
      <c r="C41" s="28" t="b">
        <f t="shared" si="17"/>
        <v>1</v>
      </c>
      <c r="D41" s="28" t="b">
        <f t="shared" si="17"/>
        <v>1</v>
      </c>
      <c r="E41" s="28" t="b">
        <f t="shared" si="17"/>
        <v>1</v>
      </c>
      <c r="F41" s="28" t="b">
        <f t="shared" si="17"/>
        <v>1</v>
      </c>
      <c r="G41" s="28" t="b">
        <f t="shared" si="17"/>
        <v>1</v>
      </c>
      <c r="H41" s="28" t="b">
        <f t="shared" si="17"/>
        <v>1</v>
      </c>
      <c r="I41" s="28" t="b">
        <f t="shared" si="17"/>
        <v>1</v>
      </c>
      <c r="J41" s="28" t="b">
        <f t="shared" si="17"/>
        <v>1</v>
      </c>
      <c r="K41" s="28" t="b">
        <f t="shared" si="17"/>
        <v>1</v>
      </c>
      <c r="L41" s="28" t="b">
        <f t="shared" si="17"/>
        <v>1</v>
      </c>
      <c r="M41" s="28" t="b">
        <f t="shared" si="17"/>
        <v>1</v>
      </c>
      <c r="N41" s="28" t="b">
        <f t="shared" si="17"/>
        <v>1</v>
      </c>
      <c r="O41" s="28" t="b">
        <f t="shared" si="17"/>
        <v>1</v>
      </c>
      <c r="P41" s="28"/>
      <c r="Q41" s="28"/>
      <c r="R41" s="2"/>
      <c r="S41" s="2"/>
      <c r="T41" s="2"/>
      <c r="U41" s="2"/>
    </row>
    <row r="42" spans="1:21" x14ac:dyDescent="0.3">
      <c r="A42" s="28"/>
      <c r="B42" s="115" t="b">
        <f>B12=B13+B14+B15</f>
        <v>1</v>
      </c>
      <c r="C42" s="28" t="b">
        <f t="shared" ref="C42:O42" si="18">C12=C13+C14+C15</f>
        <v>1</v>
      </c>
      <c r="D42" s="28" t="b">
        <f t="shared" si="18"/>
        <v>1</v>
      </c>
      <c r="E42" s="28" t="b">
        <f t="shared" si="18"/>
        <v>1</v>
      </c>
      <c r="F42" s="28" t="b">
        <f t="shared" si="18"/>
        <v>1</v>
      </c>
      <c r="G42" s="28" t="b">
        <f t="shared" si="18"/>
        <v>1</v>
      </c>
      <c r="H42" s="28" t="b">
        <f t="shared" si="18"/>
        <v>1</v>
      </c>
      <c r="I42" s="28" t="b">
        <f t="shared" si="18"/>
        <v>1</v>
      </c>
      <c r="J42" s="28" t="b">
        <f t="shared" si="18"/>
        <v>1</v>
      </c>
      <c r="K42" s="28" t="b">
        <f t="shared" si="18"/>
        <v>1</v>
      </c>
      <c r="L42" s="28" t="b">
        <f t="shared" si="18"/>
        <v>1</v>
      </c>
      <c r="M42" s="28" t="b">
        <f t="shared" si="18"/>
        <v>1</v>
      </c>
      <c r="N42" s="28" t="b">
        <f t="shared" si="18"/>
        <v>1</v>
      </c>
      <c r="O42" s="28" t="b">
        <f t="shared" si="18"/>
        <v>1</v>
      </c>
      <c r="P42" s="28"/>
      <c r="Q42" s="28"/>
      <c r="R42" s="2"/>
      <c r="S42" s="2"/>
      <c r="T42" s="2"/>
      <c r="U42" s="2"/>
    </row>
    <row r="43" spans="1:21" x14ac:dyDescent="0.3">
      <c r="A43" s="28"/>
      <c r="B43" s="115" t="b">
        <f>B16=B17+B18+B19</f>
        <v>1</v>
      </c>
      <c r="C43" s="28" t="b">
        <f t="shared" ref="C43:O43" si="19">C16=C17+C18+C19</f>
        <v>1</v>
      </c>
      <c r="D43" s="28" t="b">
        <f t="shared" si="19"/>
        <v>1</v>
      </c>
      <c r="E43" s="28" t="b">
        <f t="shared" si="19"/>
        <v>1</v>
      </c>
      <c r="F43" s="28" t="b">
        <f t="shared" si="19"/>
        <v>1</v>
      </c>
      <c r="G43" s="28" t="b">
        <f t="shared" si="19"/>
        <v>1</v>
      </c>
      <c r="H43" s="28" t="b">
        <f t="shared" si="19"/>
        <v>1</v>
      </c>
      <c r="I43" s="28" t="b">
        <f t="shared" si="19"/>
        <v>1</v>
      </c>
      <c r="J43" s="28" t="b">
        <f t="shared" si="19"/>
        <v>1</v>
      </c>
      <c r="K43" s="28" t="b">
        <f t="shared" si="19"/>
        <v>1</v>
      </c>
      <c r="L43" s="28" t="b">
        <f t="shared" si="19"/>
        <v>1</v>
      </c>
      <c r="M43" s="28" t="b">
        <f t="shared" si="19"/>
        <v>1</v>
      </c>
      <c r="N43" s="28" t="b">
        <f t="shared" si="19"/>
        <v>1</v>
      </c>
      <c r="O43" s="28" t="b">
        <f t="shared" si="19"/>
        <v>1</v>
      </c>
      <c r="P43" s="28"/>
      <c r="Q43" s="28"/>
      <c r="R43" s="2"/>
      <c r="S43" s="2"/>
      <c r="T43" s="2"/>
      <c r="U43" s="2"/>
    </row>
    <row r="44" spans="1:21" x14ac:dyDescent="0.3">
      <c r="B44" s="1" t="b">
        <f>B20=B21+B22+B23</f>
        <v>1</v>
      </c>
      <c r="C44" s="11" t="b">
        <f t="shared" ref="C44:O44" si="20">C20=C21+C22+C23</f>
        <v>1</v>
      </c>
      <c r="D44" s="11" t="b">
        <f t="shared" si="20"/>
        <v>1</v>
      </c>
      <c r="E44" s="11" t="b">
        <f t="shared" si="20"/>
        <v>1</v>
      </c>
      <c r="F44" s="11" t="b">
        <f t="shared" si="20"/>
        <v>1</v>
      </c>
      <c r="G44" s="11" t="b">
        <f t="shared" si="20"/>
        <v>1</v>
      </c>
      <c r="H44" s="11" t="b">
        <f t="shared" si="20"/>
        <v>1</v>
      </c>
      <c r="I44" s="11" t="b">
        <f t="shared" si="20"/>
        <v>1</v>
      </c>
      <c r="J44" s="11" t="b">
        <f t="shared" si="20"/>
        <v>1</v>
      </c>
      <c r="K44" s="11" t="b">
        <f t="shared" si="20"/>
        <v>1</v>
      </c>
      <c r="L44" s="11" t="b">
        <f t="shared" si="20"/>
        <v>1</v>
      </c>
      <c r="M44" s="11" t="b">
        <f t="shared" si="20"/>
        <v>1</v>
      </c>
      <c r="N44" s="11" t="b">
        <f t="shared" si="20"/>
        <v>1</v>
      </c>
      <c r="O44" s="11" t="b">
        <f t="shared" si="20"/>
        <v>1</v>
      </c>
    </row>
    <row r="45" spans="1:21" x14ac:dyDescent="0.3">
      <c r="B45" s="1" t="b">
        <f>B24=B25+B26</f>
        <v>1</v>
      </c>
      <c r="C45" s="11" t="b">
        <f t="shared" ref="C45:O45" si="21">C24=C25+C26</f>
        <v>1</v>
      </c>
      <c r="D45" s="11" t="b">
        <f t="shared" si="21"/>
        <v>1</v>
      </c>
      <c r="E45" s="11" t="b">
        <f t="shared" si="21"/>
        <v>1</v>
      </c>
      <c r="F45" s="11" t="b">
        <f t="shared" si="21"/>
        <v>1</v>
      </c>
      <c r="G45" s="11" t="b">
        <f t="shared" si="21"/>
        <v>1</v>
      </c>
      <c r="H45" s="11" t="b">
        <f t="shared" si="21"/>
        <v>1</v>
      </c>
      <c r="I45" s="11" t="b">
        <f t="shared" si="21"/>
        <v>1</v>
      </c>
      <c r="J45" s="11" t="b">
        <f t="shared" si="21"/>
        <v>1</v>
      </c>
      <c r="K45" s="11" t="b">
        <f t="shared" si="21"/>
        <v>1</v>
      </c>
      <c r="L45" s="11" t="b">
        <f t="shared" si="21"/>
        <v>1</v>
      </c>
      <c r="M45" s="11" t="b">
        <f t="shared" si="21"/>
        <v>1</v>
      </c>
      <c r="N45" s="11" t="b">
        <f t="shared" si="21"/>
        <v>1</v>
      </c>
      <c r="O45" s="11" t="b">
        <f t="shared" si="21"/>
        <v>1</v>
      </c>
    </row>
    <row r="46" spans="1:21" x14ac:dyDescent="0.3">
      <c r="B46" s="1" t="b">
        <f>B27=B28+B29</f>
        <v>1</v>
      </c>
      <c r="C46" s="11" t="b">
        <f t="shared" ref="C46:O46" si="22">C27=C28+C29</f>
        <v>1</v>
      </c>
      <c r="D46" s="11" t="b">
        <f t="shared" si="22"/>
        <v>1</v>
      </c>
      <c r="E46" s="11" t="b">
        <f t="shared" si="22"/>
        <v>1</v>
      </c>
      <c r="F46" s="11" t="b">
        <f t="shared" si="22"/>
        <v>1</v>
      </c>
      <c r="G46" s="11" t="b">
        <f t="shared" si="22"/>
        <v>1</v>
      </c>
      <c r="H46" s="11" t="b">
        <f t="shared" si="22"/>
        <v>1</v>
      </c>
      <c r="I46" s="11" t="b">
        <f t="shared" si="22"/>
        <v>1</v>
      </c>
      <c r="J46" s="11" t="b">
        <f t="shared" si="22"/>
        <v>1</v>
      </c>
      <c r="K46" s="11" t="b">
        <f t="shared" si="22"/>
        <v>1</v>
      </c>
      <c r="L46" s="11" t="b">
        <f t="shared" si="22"/>
        <v>1</v>
      </c>
      <c r="M46" s="11" t="b">
        <f t="shared" si="22"/>
        <v>1</v>
      </c>
      <c r="N46" s="11" t="b">
        <f t="shared" si="22"/>
        <v>1</v>
      </c>
      <c r="O46" s="11" t="b">
        <f t="shared" si="22"/>
        <v>1</v>
      </c>
    </row>
    <row r="47" spans="1:21" x14ac:dyDescent="0.3">
      <c r="B47" s="1" t="b">
        <f>B30=+B31+B32</f>
        <v>1</v>
      </c>
      <c r="C47" s="11" t="b">
        <f t="shared" ref="C47:O47" si="23">C30=+C31+C32</f>
        <v>1</v>
      </c>
      <c r="D47" s="11" t="b">
        <f t="shared" si="23"/>
        <v>1</v>
      </c>
      <c r="E47" s="11" t="b">
        <f t="shared" si="23"/>
        <v>1</v>
      </c>
      <c r="F47" s="11" t="b">
        <f t="shared" si="23"/>
        <v>1</v>
      </c>
      <c r="G47" s="11" t="b">
        <f t="shared" si="23"/>
        <v>1</v>
      </c>
      <c r="H47" s="11" t="b">
        <f t="shared" si="23"/>
        <v>1</v>
      </c>
      <c r="I47" s="11" t="b">
        <f t="shared" si="23"/>
        <v>1</v>
      </c>
      <c r="J47" s="11" t="b">
        <f t="shared" si="23"/>
        <v>1</v>
      </c>
      <c r="K47" s="11" t="b">
        <f t="shared" si="23"/>
        <v>1</v>
      </c>
      <c r="L47" s="11" t="b">
        <f t="shared" si="23"/>
        <v>1</v>
      </c>
      <c r="M47" s="11" t="b">
        <f t="shared" si="23"/>
        <v>1</v>
      </c>
      <c r="N47" s="11" t="b">
        <f t="shared" si="23"/>
        <v>1</v>
      </c>
      <c r="O47" s="11" t="b">
        <f t="shared" si="23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&amp;LWojewództwo &amp;K000000Lubuskie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1"/>
  <sheetViews>
    <sheetView showGridLines="0" view="pageBreakPreview" zoomScale="90" zoomScaleNormal="78" zoomScaleSheetLayoutView="90" workbookViewId="0">
      <selection sqref="A1:A2"/>
    </sheetView>
  </sheetViews>
  <sheetFormatPr defaultColWidth="9.109375" defaultRowHeight="11.4" x14ac:dyDescent="0.2"/>
  <cols>
    <col min="1" max="1" width="5" style="186" customWidth="1"/>
    <col min="2" max="2" width="12" style="186" customWidth="1"/>
    <col min="3" max="3" width="12.44140625" style="186" customWidth="1"/>
    <col min="4" max="4" width="14.6640625" style="186" customWidth="1"/>
    <col min="5" max="5" width="10.6640625" style="186" customWidth="1"/>
    <col min="6" max="6" width="38.6640625" style="186" customWidth="1"/>
    <col min="7" max="7" width="8.6640625" style="186" customWidth="1"/>
    <col min="8" max="8" width="15.88671875" style="186" customWidth="1"/>
    <col min="9" max="9" width="19.6640625" style="186" customWidth="1"/>
    <col min="10" max="10" width="19.33203125" style="195" customWidth="1"/>
    <col min="11" max="11" width="15.5546875" style="186" customWidth="1"/>
    <col min="12" max="12" width="13.88671875" style="186" customWidth="1"/>
    <col min="13" max="13" width="15.6640625" style="184" customWidth="1"/>
    <col min="14" max="14" width="11.33203125" style="186" customWidth="1"/>
    <col min="15" max="16" width="15.109375" style="186" customWidth="1"/>
    <col min="17" max="17" width="14.88671875" style="186" customWidth="1"/>
    <col min="18" max="18" width="13.88671875" style="186" customWidth="1"/>
    <col min="19" max="19" width="12.5546875" style="186" customWidth="1"/>
    <col min="20" max="20" width="12.109375" style="186" customWidth="1"/>
    <col min="21" max="23" width="9.88671875" style="186" customWidth="1"/>
    <col min="24" max="24" width="15.6640625" style="185" customWidth="1"/>
    <col min="25" max="26" width="15.6640625" style="184" customWidth="1"/>
    <col min="27" max="27" width="15.6640625" style="185" customWidth="1"/>
    <col min="28" max="16384" width="9.109375" style="186"/>
  </cols>
  <sheetData>
    <row r="1" spans="1:28" ht="29.25" customHeight="1" x14ac:dyDescent="0.2">
      <c r="A1" s="233" t="s">
        <v>100</v>
      </c>
      <c r="B1" s="233" t="s">
        <v>4</v>
      </c>
      <c r="C1" s="234" t="s">
        <v>41</v>
      </c>
      <c r="D1" s="235" t="s">
        <v>5</v>
      </c>
      <c r="E1" s="235" t="s">
        <v>31</v>
      </c>
      <c r="F1" s="235" t="s">
        <v>6</v>
      </c>
      <c r="G1" s="233" t="s">
        <v>24</v>
      </c>
      <c r="H1" s="233" t="s">
        <v>7</v>
      </c>
      <c r="I1" s="233" t="s">
        <v>21</v>
      </c>
      <c r="J1" s="233" t="s">
        <v>8</v>
      </c>
      <c r="K1" s="233" t="s">
        <v>15</v>
      </c>
      <c r="L1" s="235" t="s">
        <v>12</v>
      </c>
      <c r="M1" s="233" t="s">
        <v>10</v>
      </c>
      <c r="N1" s="233" t="s">
        <v>11</v>
      </c>
      <c r="O1" s="233"/>
      <c r="P1" s="233"/>
      <c r="Q1" s="233"/>
      <c r="R1" s="233"/>
      <c r="S1" s="233"/>
      <c r="T1" s="233"/>
      <c r="U1" s="233"/>
      <c r="V1" s="233"/>
      <c r="W1" s="233"/>
      <c r="X1" s="236"/>
      <c r="Y1" s="236"/>
      <c r="Z1" s="236"/>
      <c r="AA1" s="237"/>
    </row>
    <row r="2" spans="1:28" ht="29.25" customHeight="1" x14ac:dyDescent="0.2">
      <c r="A2" s="233"/>
      <c r="B2" s="233"/>
      <c r="C2" s="238"/>
      <c r="D2" s="239"/>
      <c r="E2" s="239"/>
      <c r="F2" s="239"/>
      <c r="G2" s="233"/>
      <c r="H2" s="233"/>
      <c r="I2" s="233"/>
      <c r="J2" s="233"/>
      <c r="K2" s="233"/>
      <c r="L2" s="239"/>
      <c r="M2" s="233"/>
      <c r="N2" s="240">
        <v>2019</v>
      </c>
      <c r="O2" s="240">
        <v>2020</v>
      </c>
      <c r="P2" s="240">
        <v>2021</v>
      </c>
      <c r="Q2" s="240">
        <v>2022</v>
      </c>
      <c r="R2" s="240">
        <v>2023</v>
      </c>
      <c r="S2" s="240">
        <v>2024</v>
      </c>
      <c r="T2" s="240">
        <v>2025</v>
      </c>
      <c r="U2" s="240">
        <v>2026</v>
      </c>
      <c r="V2" s="240">
        <v>2027</v>
      </c>
      <c r="W2" s="240">
        <v>2028</v>
      </c>
      <c r="X2" s="236" t="s">
        <v>27</v>
      </c>
      <c r="Y2" s="236" t="s">
        <v>28</v>
      </c>
      <c r="Z2" s="236" t="s">
        <v>29</v>
      </c>
      <c r="AA2" s="241" t="s">
        <v>30</v>
      </c>
    </row>
    <row r="3" spans="1:28" ht="54" customHeight="1" x14ac:dyDescent="0.2">
      <c r="A3" s="242">
        <v>1</v>
      </c>
      <c r="B3" s="242" t="s">
        <v>129</v>
      </c>
      <c r="C3" s="243" t="s">
        <v>130</v>
      </c>
      <c r="D3" s="242" t="s">
        <v>45</v>
      </c>
      <c r="E3" s="244" t="s">
        <v>109</v>
      </c>
      <c r="F3" s="245" t="s">
        <v>131</v>
      </c>
      <c r="G3" s="242" t="s">
        <v>132</v>
      </c>
      <c r="H3" s="246">
        <v>3.6659999999999999</v>
      </c>
      <c r="I3" s="242" t="s">
        <v>133</v>
      </c>
      <c r="J3" s="181">
        <v>22090360</v>
      </c>
      <c r="K3" s="247">
        <f>ROUNDDOWN(J3*M3,0)</f>
        <v>11045180</v>
      </c>
      <c r="L3" s="182">
        <f t="shared" ref="L3:L11" si="0">J3-K3</f>
        <v>11045180</v>
      </c>
      <c r="M3" s="248">
        <v>0.5</v>
      </c>
      <c r="N3" s="247">
        <v>0</v>
      </c>
      <c r="O3" s="247">
        <v>5193812</v>
      </c>
      <c r="P3" s="182">
        <v>5851368</v>
      </c>
      <c r="Q3" s="182">
        <v>0</v>
      </c>
      <c r="R3" s="182">
        <v>0</v>
      </c>
      <c r="S3" s="182"/>
      <c r="T3" s="182"/>
      <c r="U3" s="182"/>
      <c r="V3" s="182"/>
      <c r="W3" s="182"/>
      <c r="X3" s="236" t="b">
        <f t="shared" ref="X3:X22" si="1">K3=SUM(N3:W3)</f>
        <v>1</v>
      </c>
      <c r="Y3" s="249">
        <f t="shared" ref="Y3:Y22" si="2">ROUND(K3/J3,4)</f>
        <v>0.5</v>
      </c>
      <c r="Z3" s="250" t="b">
        <f t="shared" ref="Z3:Z22" si="3">Y3=M3</f>
        <v>1</v>
      </c>
      <c r="AA3" s="250" t="b">
        <f t="shared" ref="AA3:AA22" si="4">J3=K3+L3</f>
        <v>1</v>
      </c>
    </row>
    <row r="4" spans="1:28" ht="30.75" customHeight="1" x14ac:dyDescent="0.2">
      <c r="A4" s="242">
        <v>2</v>
      </c>
      <c r="B4" s="242" t="s">
        <v>134</v>
      </c>
      <c r="C4" s="242" t="s">
        <v>130</v>
      </c>
      <c r="D4" s="242" t="s">
        <v>71</v>
      </c>
      <c r="E4" s="244" t="s">
        <v>113</v>
      </c>
      <c r="F4" s="245" t="s">
        <v>135</v>
      </c>
      <c r="G4" s="242" t="s">
        <v>136</v>
      </c>
      <c r="H4" s="246">
        <v>3.8690000000000002</v>
      </c>
      <c r="I4" s="242" t="s">
        <v>137</v>
      </c>
      <c r="J4" s="183">
        <v>13862689</v>
      </c>
      <c r="K4" s="181">
        <f>ROUNDDOWN(J4*M4,0)</f>
        <v>9703882</v>
      </c>
      <c r="L4" s="181">
        <f t="shared" si="0"/>
        <v>4158807</v>
      </c>
      <c r="M4" s="248">
        <v>0.7</v>
      </c>
      <c r="N4" s="247">
        <v>0</v>
      </c>
      <c r="O4" s="247">
        <v>0</v>
      </c>
      <c r="P4" s="182">
        <v>5112726</v>
      </c>
      <c r="Q4" s="182">
        <v>4591156</v>
      </c>
      <c r="R4" s="182">
        <v>0</v>
      </c>
      <c r="S4" s="182"/>
      <c r="T4" s="182"/>
      <c r="U4" s="182"/>
      <c r="V4" s="182"/>
      <c r="W4" s="182"/>
      <c r="X4" s="236" t="b">
        <f t="shared" ref="X4:X22" si="5">K4=SUM(N4:W4)</f>
        <v>1</v>
      </c>
      <c r="Y4" s="249">
        <f t="shared" ref="Y4:Y22" si="6">ROUND(K4/J4,4)</f>
        <v>0.7</v>
      </c>
      <c r="Z4" s="250" t="b">
        <f t="shared" ref="Z4:Z22" si="7">Y4=M4</f>
        <v>1</v>
      </c>
      <c r="AA4" s="250" t="b">
        <f t="shared" ref="AA4:AA22" si="8">J4=K4+L4</f>
        <v>1</v>
      </c>
    </row>
    <row r="5" spans="1:28" s="189" customFormat="1" ht="48" customHeight="1" x14ac:dyDescent="0.2">
      <c r="A5" s="242">
        <v>3</v>
      </c>
      <c r="B5" s="242" t="s">
        <v>138</v>
      </c>
      <c r="C5" s="242" t="s">
        <v>130</v>
      </c>
      <c r="D5" s="242" t="s">
        <v>43</v>
      </c>
      <c r="E5" s="244" t="s">
        <v>110</v>
      </c>
      <c r="F5" s="245" t="s">
        <v>139</v>
      </c>
      <c r="G5" s="242" t="s">
        <v>132</v>
      </c>
      <c r="H5" s="246">
        <v>4.7510000000000003</v>
      </c>
      <c r="I5" s="242" t="s">
        <v>140</v>
      </c>
      <c r="J5" s="181">
        <v>9029972</v>
      </c>
      <c r="K5" s="181">
        <v>4966692</v>
      </c>
      <c r="L5" s="181">
        <f t="shared" si="0"/>
        <v>4063280</v>
      </c>
      <c r="M5" s="248">
        <v>0.6</v>
      </c>
      <c r="N5" s="247">
        <v>0</v>
      </c>
      <c r="O5" s="247">
        <v>0</v>
      </c>
      <c r="P5" s="182">
        <v>444000</v>
      </c>
      <c r="Q5" s="182">
        <v>4522692</v>
      </c>
      <c r="R5" s="182">
        <v>0</v>
      </c>
      <c r="S5" s="182"/>
      <c r="T5" s="182"/>
      <c r="U5" s="182"/>
      <c r="V5" s="182"/>
      <c r="W5" s="182"/>
      <c r="X5" s="236" t="b">
        <f t="shared" si="5"/>
        <v>1</v>
      </c>
      <c r="Y5" s="249">
        <f t="shared" si="6"/>
        <v>0.55000000000000004</v>
      </c>
      <c r="Z5" s="250" t="b">
        <f t="shared" si="7"/>
        <v>0</v>
      </c>
      <c r="AA5" s="250" t="b">
        <f t="shared" si="8"/>
        <v>1</v>
      </c>
      <c r="AB5" s="186"/>
    </row>
    <row r="6" spans="1:28" ht="44.25" customHeight="1" x14ac:dyDescent="0.2">
      <c r="A6" s="242">
        <v>4</v>
      </c>
      <c r="B6" s="242" t="s">
        <v>141</v>
      </c>
      <c r="C6" s="242" t="s">
        <v>130</v>
      </c>
      <c r="D6" s="242" t="s">
        <v>46</v>
      </c>
      <c r="E6" s="244" t="s">
        <v>111</v>
      </c>
      <c r="F6" s="245" t="s">
        <v>142</v>
      </c>
      <c r="G6" s="242" t="s">
        <v>132</v>
      </c>
      <c r="H6" s="246">
        <v>6.0289999999999999</v>
      </c>
      <c r="I6" s="242" t="s">
        <v>143</v>
      </c>
      <c r="J6" s="181">
        <v>7525148</v>
      </c>
      <c r="K6" s="181">
        <f>ROUNDDOWN(J6*M6,0)</f>
        <v>5267603</v>
      </c>
      <c r="L6" s="181">
        <f t="shared" si="0"/>
        <v>2257545</v>
      </c>
      <c r="M6" s="248">
        <v>0.7</v>
      </c>
      <c r="N6" s="247">
        <v>0</v>
      </c>
      <c r="O6" s="247">
        <v>0</v>
      </c>
      <c r="P6" s="182">
        <v>2229907</v>
      </c>
      <c r="Q6" s="182">
        <v>1814328</v>
      </c>
      <c r="R6" s="182">
        <v>1223368</v>
      </c>
      <c r="S6" s="182"/>
      <c r="T6" s="182"/>
      <c r="U6" s="182"/>
      <c r="V6" s="182"/>
      <c r="W6" s="182"/>
      <c r="X6" s="236" t="b">
        <f t="shared" si="5"/>
        <v>1</v>
      </c>
      <c r="Y6" s="249">
        <f t="shared" si="6"/>
        <v>0.7</v>
      </c>
      <c r="Z6" s="250" t="b">
        <f t="shared" si="7"/>
        <v>1</v>
      </c>
      <c r="AA6" s="250" t="b">
        <f t="shared" si="8"/>
        <v>1</v>
      </c>
    </row>
    <row r="7" spans="1:28" ht="69" customHeight="1" x14ac:dyDescent="0.2">
      <c r="A7" s="242">
        <v>5</v>
      </c>
      <c r="B7" s="242" t="s">
        <v>144</v>
      </c>
      <c r="C7" s="242" t="s">
        <v>130</v>
      </c>
      <c r="D7" s="242" t="s">
        <v>50</v>
      </c>
      <c r="E7" s="244" t="s">
        <v>114</v>
      </c>
      <c r="F7" s="245" t="s">
        <v>146</v>
      </c>
      <c r="G7" s="242" t="s">
        <v>136</v>
      </c>
      <c r="H7" s="246">
        <v>0.95799999999999996</v>
      </c>
      <c r="I7" s="242" t="s">
        <v>147</v>
      </c>
      <c r="J7" s="181">
        <v>10591345</v>
      </c>
      <c r="K7" s="181">
        <f t="shared" ref="K7" si="9">ROUNDDOWN(J7*M7,0)</f>
        <v>7413941</v>
      </c>
      <c r="L7" s="181">
        <f t="shared" si="0"/>
        <v>3177404</v>
      </c>
      <c r="M7" s="248">
        <v>0.7</v>
      </c>
      <c r="N7" s="247">
        <v>0</v>
      </c>
      <c r="O7" s="247">
        <v>0</v>
      </c>
      <c r="P7" s="182">
        <v>0</v>
      </c>
      <c r="Q7" s="182">
        <f>K7</f>
        <v>7413941</v>
      </c>
      <c r="R7" s="182">
        <v>0</v>
      </c>
      <c r="S7" s="182"/>
      <c r="T7" s="182"/>
      <c r="U7" s="182"/>
      <c r="V7" s="182"/>
      <c r="W7" s="182"/>
      <c r="X7" s="236" t="b">
        <f t="shared" si="5"/>
        <v>1</v>
      </c>
      <c r="Y7" s="249">
        <f t="shared" si="6"/>
        <v>0.7</v>
      </c>
      <c r="Z7" s="250" t="b">
        <f t="shared" si="7"/>
        <v>1</v>
      </c>
      <c r="AA7" s="250" t="b">
        <f t="shared" si="8"/>
        <v>1</v>
      </c>
    </row>
    <row r="8" spans="1:28" ht="50.25" customHeight="1" x14ac:dyDescent="0.2">
      <c r="A8" s="242">
        <v>6</v>
      </c>
      <c r="B8" s="242" t="s">
        <v>148</v>
      </c>
      <c r="C8" s="242" t="s">
        <v>130</v>
      </c>
      <c r="D8" s="242" t="s">
        <v>49</v>
      </c>
      <c r="E8" s="244" t="s">
        <v>112</v>
      </c>
      <c r="F8" s="245" t="s">
        <v>149</v>
      </c>
      <c r="G8" s="242" t="s">
        <v>136</v>
      </c>
      <c r="H8" s="246">
        <v>0.78200000000000003</v>
      </c>
      <c r="I8" s="242" t="s">
        <v>150</v>
      </c>
      <c r="J8" s="181">
        <v>15414892</v>
      </c>
      <c r="K8" s="181">
        <v>5292386</v>
      </c>
      <c r="L8" s="181">
        <f t="shared" si="0"/>
        <v>10122506</v>
      </c>
      <c r="M8" s="248">
        <v>0.5</v>
      </c>
      <c r="N8" s="247">
        <v>0</v>
      </c>
      <c r="O8" s="247">
        <v>0</v>
      </c>
      <c r="P8" s="182">
        <v>0</v>
      </c>
      <c r="Q8" s="182">
        <v>199675</v>
      </c>
      <c r="R8" s="182">
        <v>5092711</v>
      </c>
      <c r="S8" s="182"/>
      <c r="T8" s="182"/>
      <c r="U8" s="182"/>
      <c r="V8" s="182"/>
      <c r="W8" s="182"/>
      <c r="X8" s="236" t="b">
        <f t="shared" si="5"/>
        <v>1</v>
      </c>
      <c r="Y8" s="249">
        <f t="shared" si="6"/>
        <v>0.34329999999999999</v>
      </c>
      <c r="Z8" s="250" t="b">
        <f t="shared" si="7"/>
        <v>0</v>
      </c>
      <c r="AA8" s="250" t="b">
        <f t="shared" si="8"/>
        <v>1</v>
      </c>
    </row>
    <row r="9" spans="1:28" ht="34.5" customHeight="1" x14ac:dyDescent="0.2">
      <c r="A9" s="242">
        <v>7</v>
      </c>
      <c r="B9" s="242" t="s">
        <v>151</v>
      </c>
      <c r="C9" s="242" t="s">
        <v>130</v>
      </c>
      <c r="D9" s="242" t="s">
        <v>71</v>
      </c>
      <c r="E9" s="244" t="s">
        <v>113</v>
      </c>
      <c r="F9" s="245" t="s">
        <v>152</v>
      </c>
      <c r="G9" s="242" t="s">
        <v>136</v>
      </c>
      <c r="H9" s="246">
        <v>0.86599999999999999</v>
      </c>
      <c r="I9" s="242" t="s">
        <v>153</v>
      </c>
      <c r="J9" s="181">
        <v>2344915</v>
      </c>
      <c r="K9" s="181">
        <f t="shared" ref="K9:K10" si="10">ROUNDDOWN(J9*M9,0)</f>
        <v>1406949</v>
      </c>
      <c r="L9" s="181">
        <f t="shared" si="0"/>
        <v>937966</v>
      </c>
      <c r="M9" s="248">
        <v>0.6</v>
      </c>
      <c r="N9" s="247">
        <v>0</v>
      </c>
      <c r="O9" s="247">
        <v>0</v>
      </c>
      <c r="P9" s="182">
        <v>0</v>
      </c>
      <c r="Q9" s="182">
        <v>53136</v>
      </c>
      <c r="R9" s="182">
        <v>1353813</v>
      </c>
      <c r="S9" s="182"/>
      <c r="T9" s="182"/>
      <c r="U9" s="182"/>
      <c r="V9" s="182"/>
      <c r="W9" s="182"/>
      <c r="X9" s="236" t="b">
        <f t="shared" si="5"/>
        <v>1</v>
      </c>
      <c r="Y9" s="249">
        <f t="shared" si="6"/>
        <v>0.6</v>
      </c>
      <c r="Z9" s="250" t="b">
        <f t="shared" si="7"/>
        <v>1</v>
      </c>
      <c r="AA9" s="250" t="b">
        <f t="shared" si="8"/>
        <v>1</v>
      </c>
    </row>
    <row r="10" spans="1:28" ht="36.75" customHeight="1" x14ac:dyDescent="0.2">
      <c r="A10" s="242">
        <v>8</v>
      </c>
      <c r="B10" s="242" t="s">
        <v>154</v>
      </c>
      <c r="C10" s="242" t="s">
        <v>130</v>
      </c>
      <c r="D10" s="242" t="s">
        <v>44</v>
      </c>
      <c r="E10" s="244" t="s">
        <v>155</v>
      </c>
      <c r="F10" s="245" t="s">
        <v>156</v>
      </c>
      <c r="G10" s="242" t="s">
        <v>132</v>
      </c>
      <c r="H10" s="246">
        <v>0.29299999999999998</v>
      </c>
      <c r="I10" s="242" t="s">
        <v>389</v>
      </c>
      <c r="J10" s="181">
        <v>5484827</v>
      </c>
      <c r="K10" s="181">
        <f t="shared" si="10"/>
        <v>2742413</v>
      </c>
      <c r="L10" s="181">
        <f t="shared" si="0"/>
        <v>2742414</v>
      </c>
      <c r="M10" s="248">
        <v>0.5</v>
      </c>
      <c r="N10" s="247">
        <v>0</v>
      </c>
      <c r="O10" s="247">
        <v>0</v>
      </c>
      <c r="P10" s="182">
        <v>0</v>
      </c>
      <c r="Q10" s="182">
        <v>1100000</v>
      </c>
      <c r="R10" s="182">
        <v>1642413</v>
      </c>
      <c r="S10" s="182"/>
      <c r="T10" s="182"/>
      <c r="U10" s="182"/>
      <c r="V10" s="182"/>
      <c r="W10" s="182"/>
      <c r="X10" s="236" t="b">
        <f t="shared" si="5"/>
        <v>1</v>
      </c>
      <c r="Y10" s="249">
        <f t="shared" si="6"/>
        <v>0.5</v>
      </c>
      <c r="Z10" s="250" t="b">
        <f t="shared" si="7"/>
        <v>1</v>
      </c>
      <c r="AA10" s="250" t="b">
        <f t="shared" si="8"/>
        <v>1</v>
      </c>
    </row>
    <row r="11" spans="1:28" ht="70.5" customHeight="1" x14ac:dyDescent="0.2">
      <c r="A11" s="242">
        <v>9</v>
      </c>
      <c r="B11" s="242" t="s">
        <v>157</v>
      </c>
      <c r="C11" s="242" t="s">
        <v>130</v>
      </c>
      <c r="D11" s="242" t="s">
        <v>48</v>
      </c>
      <c r="E11" s="244" t="s">
        <v>158</v>
      </c>
      <c r="F11" s="245" t="s">
        <v>159</v>
      </c>
      <c r="G11" s="242" t="s">
        <v>136</v>
      </c>
      <c r="H11" s="246">
        <v>0.35199999999999998</v>
      </c>
      <c r="I11" s="242" t="s">
        <v>147</v>
      </c>
      <c r="J11" s="181">
        <v>7423705</v>
      </c>
      <c r="K11" s="181">
        <v>5512880</v>
      </c>
      <c r="L11" s="181">
        <f t="shared" si="0"/>
        <v>1910825</v>
      </c>
      <c r="M11" s="248">
        <v>0.8</v>
      </c>
      <c r="N11" s="247">
        <v>0</v>
      </c>
      <c r="O11" s="247">
        <v>0</v>
      </c>
      <c r="P11" s="182">
        <v>0</v>
      </c>
      <c r="Q11" s="182">
        <v>3912880</v>
      </c>
      <c r="R11" s="182">
        <v>1600000</v>
      </c>
      <c r="S11" s="182"/>
      <c r="T11" s="182"/>
      <c r="U11" s="182"/>
      <c r="V11" s="182"/>
      <c r="W11" s="182"/>
      <c r="X11" s="236" t="b">
        <f t="shared" si="5"/>
        <v>1</v>
      </c>
      <c r="Y11" s="249">
        <f t="shared" si="6"/>
        <v>0.74260000000000004</v>
      </c>
      <c r="Z11" s="250" t="b">
        <f t="shared" si="7"/>
        <v>0</v>
      </c>
      <c r="AA11" s="250" t="b">
        <f t="shared" si="8"/>
        <v>1</v>
      </c>
    </row>
    <row r="12" spans="1:28" ht="36.75" customHeight="1" x14ac:dyDescent="0.2">
      <c r="A12" s="242">
        <v>10</v>
      </c>
      <c r="B12" s="242" t="s">
        <v>160</v>
      </c>
      <c r="C12" s="242" t="s">
        <v>130</v>
      </c>
      <c r="D12" s="242" t="s">
        <v>71</v>
      </c>
      <c r="E12" s="244" t="s">
        <v>113</v>
      </c>
      <c r="F12" s="245" t="s">
        <v>161</v>
      </c>
      <c r="G12" s="242" t="s">
        <v>132</v>
      </c>
      <c r="H12" s="246">
        <v>0.55900000000000005</v>
      </c>
      <c r="I12" s="242" t="s">
        <v>153</v>
      </c>
      <c r="J12" s="181">
        <v>1227486</v>
      </c>
      <c r="K12" s="181">
        <f>ROUNDDOWN(J12*M12,0)</f>
        <v>736491</v>
      </c>
      <c r="L12" s="181">
        <f>J12-K12</f>
        <v>490995</v>
      </c>
      <c r="M12" s="248">
        <v>0.6</v>
      </c>
      <c r="N12" s="247">
        <v>0</v>
      </c>
      <c r="O12" s="247">
        <v>0</v>
      </c>
      <c r="P12" s="182">
        <v>0</v>
      </c>
      <c r="Q12" s="182">
        <v>35424</v>
      </c>
      <c r="R12" s="182">
        <v>701067</v>
      </c>
      <c r="S12" s="182"/>
      <c r="T12" s="182"/>
      <c r="U12" s="182"/>
      <c r="V12" s="182"/>
      <c r="W12" s="182"/>
      <c r="X12" s="236" t="b">
        <f t="shared" si="5"/>
        <v>1</v>
      </c>
      <c r="Y12" s="249">
        <f t="shared" si="6"/>
        <v>0.6</v>
      </c>
      <c r="Z12" s="250" t="b">
        <f t="shared" si="7"/>
        <v>1</v>
      </c>
      <c r="AA12" s="250" t="b">
        <f t="shared" si="8"/>
        <v>1</v>
      </c>
    </row>
    <row r="13" spans="1:28" ht="48" customHeight="1" x14ac:dyDescent="0.2">
      <c r="A13" s="242" t="s">
        <v>227</v>
      </c>
      <c r="B13" s="242" t="s">
        <v>162</v>
      </c>
      <c r="C13" s="242" t="s">
        <v>130</v>
      </c>
      <c r="D13" s="242" t="s">
        <v>50</v>
      </c>
      <c r="E13" s="244" t="s">
        <v>114</v>
      </c>
      <c r="F13" s="245" t="s">
        <v>163</v>
      </c>
      <c r="G13" s="242" t="s">
        <v>136</v>
      </c>
      <c r="H13" s="246">
        <v>4.7699999999999996</v>
      </c>
      <c r="I13" s="242" t="s">
        <v>164</v>
      </c>
      <c r="J13" s="181">
        <v>17200000</v>
      </c>
      <c r="K13" s="181">
        <v>8759442</v>
      </c>
      <c r="L13" s="181">
        <f>J13-K13</f>
        <v>8440558</v>
      </c>
      <c r="M13" s="248">
        <v>0.7</v>
      </c>
      <c r="N13" s="247">
        <v>0</v>
      </c>
      <c r="O13" s="247">
        <v>0</v>
      </c>
      <c r="P13" s="182">
        <v>0</v>
      </c>
      <c r="Q13" s="182">
        <v>1540000</v>
      </c>
      <c r="R13" s="182">
        <v>219442</v>
      </c>
      <c r="S13" s="182">
        <v>3500000</v>
      </c>
      <c r="T13" s="182">
        <v>3500000</v>
      </c>
      <c r="U13" s="182"/>
      <c r="V13" s="182"/>
      <c r="W13" s="182"/>
      <c r="X13" s="236" t="b">
        <f t="shared" si="5"/>
        <v>1</v>
      </c>
      <c r="Y13" s="249">
        <f t="shared" si="6"/>
        <v>0.50929999999999997</v>
      </c>
      <c r="Z13" s="250" t="b">
        <f t="shared" si="7"/>
        <v>0</v>
      </c>
      <c r="AA13" s="250" t="b">
        <f t="shared" si="8"/>
        <v>1</v>
      </c>
    </row>
    <row r="14" spans="1:28" ht="34.5" customHeight="1" x14ac:dyDescent="0.2">
      <c r="A14" s="251">
        <v>12</v>
      </c>
      <c r="B14" s="252" t="s">
        <v>229</v>
      </c>
      <c r="C14" s="252" t="s">
        <v>230</v>
      </c>
      <c r="D14" s="252" t="s">
        <v>43</v>
      </c>
      <c r="E14" s="253" t="s">
        <v>231</v>
      </c>
      <c r="F14" s="254" t="s">
        <v>232</v>
      </c>
      <c r="G14" s="252" t="s">
        <v>132</v>
      </c>
      <c r="H14" s="255">
        <v>0.628</v>
      </c>
      <c r="I14" s="253" t="s">
        <v>233</v>
      </c>
      <c r="J14" s="256">
        <v>6656633.04</v>
      </c>
      <c r="K14" s="257">
        <f>ROUNDDOWN(J14*M14,0)</f>
        <v>3993979</v>
      </c>
      <c r="L14" s="257">
        <f>J14-K14</f>
        <v>2662654.04</v>
      </c>
      <c r="M14" s="258">
        <v>0.6</v>
      </c>
      <c r="N14" s="259">
        <v>0</v>
      </c>
      <c r="O14" s="259">
        <v>0</v>
      </c>
      <c r="P14" s="260">
        <v>0</v>
      </c>
      <c r="Q14" s="260">
        <v>0</v>
      </c>
      <c r="R14" s="260">
        <f>K14</f>
        <v>3993979</v>
      </c>
      <c r="S14" s="182"/>
      <c r="T14" s="182"/>
      <c r="U14" s="182"/>
      <c r="V14" s="182"/>
      <c r="W14" s="182"/>
      <c r="X14" s="236" t="b">
        <f t="shared" si="5"/>
        <v>1</v>
      </c>
      <c r="Y14" s="249">
        <f t="shared" si="6"/>
        <v>0.6</v>
      </c>
      <c r="Z14" s="250" t="b">
        <f t="shared" si="7"/>
        <v>1</v>
      </c>
      <c r="AA14" s="250" t="b">
        <f t="shared" si="8"/>
        <v>1</v>
      </c>
    </row>
    <row r="15" spans="1:28" ht="34.5" customHeight="1" x14ac:dyDescent="0.2">
      <c r="A15" s="251">
        <v>13</v>
      </c>
      <c r="B15" s="252" t="s">
        <v>234</v>
      </c>
      <c r="C15" s="252" t="s">
        <v>230</v>
      </c>
      <c r="D15" s="252" t="s">
        <v>45</v>
      </c>
      <c r="E15" s="253" t="s">
        <v>235</v>
      </c>
      <c r="F15" s="254" t="s">
        <v>236</v>
      </c>
      <c r="G15" s="252" t="s">
        <v>132</v>
      </c>
      <c r="H15" s="255">
        <v>0.97899999999999998</v>
      </c>
      <c r="I15" s="253" t="s">
        <v>237</v>
      </c>
      <c r="J15" s="256">
        <v>2139008.3199999998</v>
      </c>
      <c r="K15" s="257">
        <f t="shared" ref="K15:K22" si="11">ROUNDDOWN(J15*M15,0)</f>
        <v>1069504</v>
      </c>
      <c r="L15" s="257">
        <f t="shared" ref="L15:L22" si="12">J15-K15</f>
        <v>1069504.3199999998</v>
      </c>
      <c r="M15" s="258">
        <v>0.5</v>
      </c>
      <c r="N15" s="259">
        <v>0</v>
      </c>
      <c r="O15" s="259">
        <v>0</v>
      </c>
      <c r="P15" s="260">
        <v>0</v>
      </c>
      <c r="Q15" s="260">
        <v>0</v>
      </c>
      <c r="R15" s="260">
        <f t="shared" ref="R15:R22" si="13">K15</f>
        <v>1069504</v>
      </c>
      <c r="S15" s="182"/>
      <c r="T15" s="182"/>
      <c r="U15" s="182"/>
      <c r="V15" s="182"/>
      <c r="W15" s="182"/>
      <c r="X15" s="236" t="b">
        <f t="shared" si="5"/>
        <v>1</v>
      </c>
      <c r="Y15" s="249">
        <f t="shared" si="6"/>
        <v>0.5</v>
      </c>
      <c r="Z15" s="250" t="b">
        <f t="shared" si="7"/>
        <v>1</v>
      </c>
      <c r="AA15" s="250" t="b">
        <f t="shared" si="8"/>
        <v>1</v>
      </c>
    </row>
    <row r="16" spans="1:28" ht="87.75" customHeight="1" x14ac:dyDescent="0.2">
      <c r="A16" s="251">
        <v>14</v>
      </c>
      <c r="B16" s="252" t="s">
        <v>238</v>
      </c>
      <c r="C16" s="252" t="s">
        <v>230</v>
      </c>
      <c r="D16" s="261" t="s">
        <v>46</v>
      </c>
      <c r="E16" s="253" t="s">
        <v>239</v>
      </c>
      <c r="F16" s="254" t="s">
        <v>240</v>
      </c>
      <c r="G16" s="252" t="s">
        <v>136</v>
      </c>
      <c r="H16" s="255">
        <v>1.2330000000000001</v>
      </c>
      <c r="I16" s="253" t="s">
        <v>241</v>
      </c>
      <c r="J16" s="256">
        <v>4914296</v>
      </c>
      <c r="K16" s="257">
        <f t="shared" si="11"/>
        <v>2948577</v>
      </c>
      <c r="L16" s="257">
        <f t="shared" si="12"/>
        <v>1965719</v>
      </c>
      <c r="M16" s="258">
        <v>0.6</v>
      </c>
      <c r="N16" s="259">
        <v>0</v>
      </c>
      <c r="O16" s="259">
        <v>0</v>
      </c>
      <c r="P16" s="260">
        <v>0</v>
      </c>
      <c r="Q16" s="260">
        <v>0</v>
      </c>
      <c r="R16" s="260">
        <f t="shared" si="13"/>
        <v>2948577</v>
      </c>
      <c r="S16" s="182"/>
      <c r="T16" s="182"/>
      <c r="U16" s="182"/>
      <c r="V16" s="182"/>
      <c r="W16" s="182"/>
      <c r="X16" s="236" t="b">
        <f t="shared" si="5"/>
        <v>1</v>
      </c>
      <c r="Y16" s="249">
        <f t="shared" si="6"/>
        <v>0.6</v>
      </c>
      <c r="Z16" s="250" t="b">
        <f t="shared" si="7"/>
        <v>1</v>
      </c>
      <c r="AA16" s="250" t="b">
        <f t="shared" si="8"/>
        <v>1</v>
      </c>
    </row>
    <row r="17" spans="1:28" ht="40.5" customHeight="1" x14ac:dyDescent="0.2">
      <c r="A17" s="251">
        <v>15</v>
      </c>
      <c r="B17" s="252" t="s">
        <v>242</v>
      </c>
      <c r="C17" s="252" t="s">
        <v>230</v>
      </c>
      <c r="D17" s="261" t="s">
        <v>76</v>
      </c>
      <c r="E17" s="262" t="s">
        <v>243</v>
      </c>
      <c r="F17" s="263" t="s">
        <v>381</v>
      </c>
      <c r="G17" s="261" t="s">
        <v>132</v>
      </c>
      <c r="H17" s="264">
        <v>0.84299999999999997</v>
      </c>
      <c r="I17" s="262" t="s">
        <v>241</v>
      </c>
      <c r="J17" s="256">
        <v>3798020.98</v>
      </c>
      <c r="K17" s="257">
        <f t="shared" si="11"/>
        <v>1899010</v>
      </c>
      <c r="L17" s="257">
        <f t="shared" si="12"/>
        <v>1899010.98</v>
      </c>
      <c r="M17" s="258">
        <v>0.5</v>
      </c>
      <c r="N17" s="259">
        <v>0</v>
      </c>
      <c r="O17" s="259">
        <v>0</v>
      </c>
      <c r="P17" s="260">
        <v>0</v>
      </c>
      <c r="Q17" s="260">
        <v>0</v>
      </c>
      <c r="R17" s="260">
        <f t="shared" si="13"/>
        <v>1899010</v>
      </c>
      <c r="S17" s="182"/>
      <c r="T17" s="182"/>
      <c r="U17" s="182"/>
      <c r="V17" s="182"/>
      <c r="W17" s="182"/>
      <c r="X17" s="236" t="b">
        <f t="shared" si="5"/>
        <v>1</v>
      </c>
      <c r="Y17" s="249">
        <f t="shared" si="6"/>
        <v>0.5</v>
      </c>
      <c r="Z17" s="250" t="b">
        <f t="shared" si="7"/>
        <v>1</v>
      </c>
      <c r="AA17" s="250" t="b">
        <f t="shared" si="8"/>
        <v>1</v>
      </c>
    </row>
    <row r="18" spans="1:28" ht="34.5" customHeight="1" x14ac:dyDescent="0.2">
      <c r="A18" s="251">
        <v>16</v>
      </c>
      <c r="B18" s="252" t="s">
        <v>244</v>
      </c>
      <c r="C18" s="252" t="s">
        <v>230</v>
      </c>
      <c r="D18" s="252" t="s">
        <v>50</v>
      </c>
      <c r="E18" s="253" t="s">
        <v>245</v>
      </c>
      <c r="F18" s="254" t="s">
        <v>246</v>
      </c>
      <c r="G18" s="252" t="s">
        <v>136</v>
      </c>
      <c r="H18" s="255">
        <v>0.61599999999999999</v>
      </c>
      <c r="I18" s="253" t="s">
        <v>247</v>
      </c>
      <c r="J18" s="256">
        <v>6806472</v>
      </c>
      <c r="K18" s="257">
        <f t="shared" si="11"/>
        <v>4083883</v>
      </c>
      <c r="L18" s="257">
        <f t="shared" si="12"/>
        <v>2722589</v>
      </c>
      <c r="M18" s="258">
        <v>0.6</v>
      </c>
      <c r="N18" s="259">
        <v>0</v>
      </c>
      <c r="O18" s="259">
        <v>0</v>
      </c>
      <c r="P18" s="260">
        <v>0</v>
      </c>
      <c r="Q18" s="260">
        <v>0</v>
      </c>
      <c r="R18" s="260">
        <f t="shared" si="13"/>
        <v>4083883</v>
      </c>
      <c r="S18" s="182"/>
      <c r="T18" s="182"/>
      <c r="U18" s="182"/>
      <c r="V18" s="182"/>
      <c r="W18" s="182"/>
      <c r="X18" s="236" t="b">
        <f t="shared" si="5"/>
        <v>1</v>
      </c>
      <c r="Y18" s="249">
        <f t="shared" si="6"/>
        <v>0.6</v>
      </c>
      <c r="Z18" s="250" t="b">
        <f t="shared" si="7"/>
        <v>1</v>
      </c>
      <c r="AA18" s="250" t="b">
        <f t="shared" si="8"/>
        <v>1</v>
      </c>
    </row>
    <row r="19" spans="1:28" ht="35.25" customHeight="1" x14ac:dyDescent="0.2">
      <c r="A19" s="251">
        <v>17</v>
      </c>
      <c r="B19" s="252" t="s">
        <v>248</v>
      </c>
      <c r="C19" s="252" t="s">
        <v>230</v>
      </c>
      <c r="D19" s="252" t="s">
        <v>71</v>
      </c>
      <c r="E19" s="253" t="s">
        <v>249</v>
      </c>
      <c r="F19" s="254" t="s">
        <v>264</v>
      </c>
      <c r="G19" s="252" t="s">
        <v>132</v>
      </c>
      <c r="H19" s="255">
        <v>0.371</v>
      </c>
      <c r="I19" s="253" t="s">
        <v>250</v>
      </c>
      <c r="J19" s="265">
        <v>1812754.83</v>
      </c>
      <c r="K19" s="257">
        <f t="shared" si="11"/>
        <v>1087652</v>
      </c>
      <c r="L19" s="257">
        <f t="shared" si="12"/>
        <v>725102.83000000007</v>
      </c>
      <c r="M19" s="258">
        <v>0.6</v>
      </c>
      <c r="N19" s="259">
        <v>0</v>
      </c>
      <c r="O19" s="259">
        <v>0</v>
      </c>
      <c r="P19" s="260">
        <v>0</v>
      </c>
      <c r="Q19" s="260">
        <v>0</v>
      </c>
      <c r="R19" s="260">
        <f t="shared" si="13"/>
        <v>1087652</v>
      </c>
      <c r="S19" s="182"/>
      <c r="T19" s="182"/>
      <c r="U19" s="182"/>
      <c r="V19" s="182"/>
      <c r="W19" s="182"/>
      <c r="X19" s="236" t="b">
        <f t="shared" si="5"/>
        <v>1</v>
      </c>
      <c r="Y19" s="249">
        <f t="shared" si="6"/>
        <v>0.6</v>
      </c>
      <c r="Z19" s="250" t="b">
        <f t="shared" si="7"/>
        <v>1</v>
      </c>
      <c r="AA19" s="250" t="b">
        <f t="shared" si="8"/>
        <v>1</v>
      </c>
    </row>
    <row r="20" spans="1:28" ht="34.5" customHeight="1" x14ac:dyDescent="0.2">
      <c r="A20" s="251">
        <v>18</v>
      </c>
      <c r="B20" s="252" t="s">
        <v>251</v>
      </c>
      <c r="C20" s="252" t="s">
        <v>230</v>
      </c>
      <c r="D20" s="252" t="s">
        <v>49</v>
      </c>
      <c r="E20" s="253" t="s">
        <v>252</v>
      </c>
      <c r="F20" s="254" t="s">
        <v>253</v>
      </c>
      <c r="G20" s="252" t="s">
        <v>254</v>
      </c>
      <c r="H20" s="255">
        <v>0.59199999999999997</v>
      </c>
      <c r="I20" s="253" t="s">
        <v>255</v>
      </c>
      <c r="J20" s="256">
        <v>1408726.85</v>
      </c>
      <c r="K20" s="257">
        <f t="shared" si="11"/>
        <v>845236</v>
      </c>
      <c r="L20" s="257">
        <f t="shared" si="12"/>
        <v>563490.85000000009</v>
      </c>
      <c r="M20" s="258">
        <v>0.6</v>
      </c>
      <c r="N20" s="259">
        <v>0</v>
      </c>
      <c r="O20" s="259">
        <v>0</v>
      </c>
      <c r="P20" s="260">
        <v>0</v>
      </c>
      <c r="Q20" s="260">
        <v>0</v>
      </c>
      <c r="R20" s="260">
        <f t="shared" si="13"/>
        <v>845236</v>
      </c>
      <c r="S20" s="182"/>
      <c r="T20" s="182"/>
      <c r="U20" s="182"/>
      <c r="V20" s="182"/>
      <c r="W20" s="182"/>
      <c r="X20" s="236" t="b">
        <f t="shared" si="5"/>
        <v>1</v>
      </c>
      <c r="Y20" s="249">
        <f t="shared" si="6"/>
        <v>0.6</v>
      </c>
      <c r="Z20" s="250" t="b">
        <f t="shared" si="7"/>
        <v>1</v>
      </c>
      <c r="AA20" s="250" t="b">
        <f t="shared" si="8"/>
        <v>1</v>
      </c>
    </row>
    <row r="21" spans="1:28" ht="42" customHeight="1" x14ac:dyDescent="0.2">
      <c r="A21" s="251">
        <v>19</v>
      </c>
      <c r="B21" s="252" t="s">
        <v>256</v>
      </c>
      <c r="C21" s="252" t="s">
        <v>230</v>
      </c>
      <c r="D21" s="252" t="s">
        <v>82</v>
      </c>
      <c r="E21" s="253" t="s">
        <v>257</v>
      </c>
      <c r="F21" s="254" t="s">
        <v>263</v>
      </c>
      <c r="G21" s="252" t="s">
        <v>132</v>
      </c>
      <c r="H21" s="255">
        <v>2.2400000000000002</v>
      </c>
      <c r="I21" s="253" t="s">
        <v>258</v>
      </c>
      <c r="J21" s="256">
        <v>5446170.3799999999</v>
      </c>
      <c r="K21" s="257">
        <f t="shared" si="11"/>
        <v>3267702</v>
      </c>
      <c r="L21" s="257">
        <f t="shared" si="12"/>
        <v>2178468.38</v>
      </c>
      <c r="M21" s="258">
        <v>0.6</v>
      </c>
      <c r="N21" s="259">
        <v>0</v>
      </c>
      <c r="O21" s="259">
        <v>0</v>
      </c>
      <c r="P21" s="260">
        <v>0</v>
      </c>
      <c r="Q21" s="260">
        <v>0</v>
      </c>
      <c r="R21" s="260">
        <f t="shared" si="13"/>
        <v>3267702</v>
      </c>
      <c r="S21" s="182"/>
      <c r="T21" s="182"/>
      <c r="U21" s="182"/>
      <c r="V21" s="182"/>
      <c r="W21" s="182"/>
      <c r="X21" s="236" t="b">
        <f t="shared" si="5"/>
        <v>1</v>
      </c>
      <c r="Y21" s="249">
        <f t="shared" si="6"/>
        <v>0.6</v>
      </c>
      <c r="Z21" s="250" t="b">
        <f t="shared" si="7"/>
        <v>1</v>
      </c>
      <c r="AA21" s="250" t="b">
        <f t="shared" si="8"/>
        <v>1</v>
      </c>
      <c r="AB21" s="188"/>
    </row>
    <row r="22" spans="1:28" ht="46.5" customHeight="1" x14ac:dyDescent="0.2">
      <c r="A22" s="251">
        <v>20</v>
      </c>
      <c r="B22" s="252" t="s">
        <v>259</v>
      </c>
      <c r="C22" s="252" t="s">
        <v>230</v>
      </c>
      <c r="D22" s="252" t="s">
        <v>115</v>
      </c>
      <c r="E22" s="253" t="s">
        <v>260</v>
      </c>
      <c r="F22" s="254" t="s">
        <v>261</v>
      </c>
      <c r="G22" s="252" t="s">
        <v>254</v>
      </c>
      <c r="H22" s="255">
        <v>1</v>
      </c>
      <c r="I22" s="253" t="s">
        <v>262</v>
      </c>
      <c r="J22" s="256">
        <v>1009272.01</v>
      </c>
      <c r="K22" s="257">
        <f t="shared" si="11"/>
        <v>504636</v>
      </c>
      <c r="L22" s="257">
        <f t="shared" si="12"/>
        <v>504636.01</v>
      </c>
      <c r="M22" s="258">
        <v>0.5</v>
      </c>
      <c r="N22" s="259">
        <v>0</v>
      </c>
      <c r="O22" s="259">
        <v>0</v>
      </c>
      <c r="P22" s="260">
        <v>0</v>
      </c>
      <c r="Q22" s="260">
        <v>0</v>
      </c>
      <c r="R22" s="260">
        <f t="shared" si="13"/>
        <v>504636</v>
      </c>
      <c r="S22" s="260"/>
      <c r="T22" s="260"/>
      <c r="U22" s="260"/>
      <c r="V22" s="260"/>
      <c r="W22" s="260"/>
      <c r="X22" s="236" t="b">
        <f t="shared" si="5"/>
        <v>1</v>
      </c>
      <c r="Y22" s="249">
        <f t="shared" si="6"/>
        <v>0.5</v>
      </c>
      <c r="Z22" s="250" t="b">
        <f t="shared" si="7"/>
        <v>1</v>
      </c>
      <c r="AA22" s="250" t="b">
        <f t="shared" si="8"/>
        <v>1</v>
      </c>
      <c r="AB22" s="188"/>
    </row>
    <row r="23" spans="1:28" ht="30" customHeight="1" x14ac:dyDescent="0.2">
      <c r="A23" s="266" t="s">
        <v>42</v>
      </c>
      <c r="B23" s="266"/>
      <c r="C23" s="266"/>
      <c r="D23" s="266"/>
      <c r="E23" s="266"/>
      <c r="F23" s="266"/>
      <c r="G23" s="266"/>
      <c r="H23" s="190">
        <f>SUM(H3:H22)</f>
        <v>35.396999999999998</v>
      </c>
      <c r="I23" s="267" t="s">
        <v>13</v>
      </c>
      <c r="J23" s="268">
        <f>SUM(J3:J22)</f>
        <v>146186693.41</v>
      </c>
      <c r="K23" s="268">
        <f>SUM(K3:K22)</f>
        <v>82548038</v>
      </c>
      <c r="L23" s="268">
        <f>SUM(L3:L22)</f>
        <v>63638655.409999996</v>
      </c>
      <c r="M23" s="191" t="s">
        <v>13</v>
      </c>
      <c r="N23" s="268">
        <f t="shared" ref="N23:W23" si="14">SUM(N3:N22)</f>
        <v>0</v>
      </c>
      <c r="O23" s="268">
        <f t="shared" si="14"/>
        <v>5193812</v>
      </c>
      <c r="P23" s="269">
        <f t="shared" si="14"/>
        <v>13638001</v>
      </c>
      <c r="Q23" s="269">
        <f t="shared" si="14"/>
        <v>25183232</v>
      </c>
      <c r="R23" s="269">
        <f t="shared" si="14"/>
        <v>31532993</v>
      </c>
      <c r="S23" s="269">
        <f t="shared" si="14"/>
        <v>3500000</v>
      </c>
      <c r="T23" s="269">
        <f t="shared" si="14"/>
        <v>3500000</v>
      </c>
      <c r="U23" s="269">
        <f t="shared" si="14"/>
        <v>0</v>
      </c>
      <c r="V23" s="269">
        <f t="shared" si="14"/>
        <v>0</v>
      </c>
      <c r="W23" s="269">
        <f t="shared" si="14"/>
        <v>0</v>
      </c>
      <c r="X23" s="236" t="b">
        <f>K23=SUM(N23:W23)</f>
        <v>1</v>
      </c>
      <c r="Y23" s="249"/>
      <c r="Z23" s="250"/>
      <c r="AA23" s="250" t="b">
        <f>J23=K23+L23</f>
        <v>1</v>
      </c>
    </row>
    <row r="24" spans="1:28" ht="20.100000000000001" customHeight="1" x14ac:dyDescent="0.2">
      <c r="A24" s="270" t="s">
        <v>35</v>
      </c>
      <c r="B24" s="270"/>
      <c r="C24" s="270"/>
      <c r="D24" s="270"/>
      <c r="E24" s="270"/>
      <c r="F24" s="270"/>
      <c r="G24" s="270"/>
      <c r="H24" s="192">
        <f>SUMIF($C$3:$C$22,"K",H3:H22)</f>
        <v>26.895</v>
      </c>
      <c r="I24" s="271" t="s">
        <v>13</v>
      </c>
      <c r="J24" s="272">
        <f>SUMIF($C$3:$C$22,"K",J3:J22)</f>
        <v>112195339</v>
      </c>
      <c r="K24" s="272">
        <f>SUMIF($C$3:$C$22,"K",K3:K22)</f>
        <v>62847859</v>
      </c>
      <c r="L24" s="272">
        <f>SUMIF($C$3:$C$22,"K",L3:L22)</f>
        <v>49347480</v>
      </c>
      <c r="M24" s="193" t="s">
        <v>13</v>
      </c>
      <c r="N24" s="272">
        <f t="shared" ref="N24:W24" si="15">SUMIF($C$3:$C$22,"K",N3:N22)</f>
        <v>0</v>
      </c>
      <c r="O24" s="272">
        <f t="shared" si="15"/>
        <v>5193812</v>
      </c>
      <c r="P24" s="272">
        <f t="shared" si="15"/>
        <v>13638001</v>
      </c>
      <c r="Q24" s="272">
        <f t="shared" si="15"/>
        <v>25183232</v>
      </c>
      <c r="R24" s="272">
        <f t="shared" si="15"/>
        <v>11832814</v>
      </c>
      <c r="S24" s="272">
        <f t="shared" si="15"/>
        <v>3500000</v>
      </c>
      <c r="T24" s="272">
        <f t="shared" si="15"/>
        <v>3500000</v>
      </c>
      <c r="U24" s="272">
        <f t="shared" si="15"/>
        <v>0</v>
      </c>
      <c r="V24" s="272">
        <f t="shared" si="15"/>
        <v>0</v>
      </c>
      <c r="W24" s="272">
        <f t="shared" si="15"/>
        <v>0</v>
      </c>
      <c r="X24" s="236" t="b">
        <f>K24=SUM(N24:W24)</f>
        <v>1</v>
      </c>
      <c r="Y24" s="249"/>
      <c r="Z24" s="250"/>
      <c r="AA24" s="250" t="b">
        <f>J24=K24+L24</f>
        <v>1</v>
      </c>
    </row>
    <row r="25" spans="1:28" ht="20.100000000000001" customHeight="1" x14ac:dyDescent="0.2">
      <c r="A25" s="266" t="s">
        <v>36</v>
      </c>
      <c r="B25" s="266"/>
      <c r="C25" s="266"/>
      <c r="D25" s="266"/>
      <c r="E25" s="266"/>
      <c r="F25" s="266"/>
      <c r="G25" s="266"/>
      <c r="H25" s="190">
        <f>SUMIF($C$3:$C$22,"N",H3:H22)</f>
        <v>8.5019999999999989</v>
      </c>
      <c r="I25" s="267" t="s">
        <v>13</v>
      </c>
      <c r="J25" s="268">
        <f>SUMIF($C$3:$C$22,"N",J3:J22)</f>
        <v>33991354.410000004</v>
      </c>
      <c r="K25" s="268">
        <f>SUMIF($C$3:$C$22,"N",K3:K22)</f>
        <v>19700179</v>
      </c>
      <c r="L25" s="268">
        <f>SUMIF($C$3:$C$22,"N",L3:L22)</f>
        <v>14291175.409999998</v>
      </c>
      <c r="M25" s="191" t="s">
        <v>13</v>
      </c>
      <c r="N25" s="268">
        <f t="shared" ref="N25:W25" si="16">SUMIF($C$3:$C$22,"N",N3:N22)</f>
        <v>0</v>
      </c>
      <c r="O25" s="268">
        <f t="shared" si="16"/>
        <v>0</v>
      </c>
      <c r="P25" s="268">
        <f t="shared" si="16"/>
        <v>0</v>
      </c>
      <c r="Q25" s="268">
        <f t="shared" si="16"/>
        <v>0</v>
      </c>
      <c r="R25" s="268">
        <f t="shared" si="16"/>
        <v>19700179</v>
      </c>
      <c r="S25" s="268">
        <f t="shared" si="16"/>
        <v>0</v>
      </c>
      <c r="T25" s="268">
        <f t="shared" si="16"/>
        <v>0</v>
      </c>
      <c r="U25" s="268">
        <f t="shared" si="16"/>
        <v>0</v>
      </c>
      <c r="V25" s="268">
        <f t="shared" si="16"/>
        <v>0</v>
      </c>
      <c r="W25" s="268">
        <f t="shared" si="16"/>
        <v>0</v>
      </c>
      <c r="X25" s="236" t="b">
        <f>K25=SUM(N25:W25)</f>
        <v>1</v>
      </c>
      <c r="Y25" s="249"/>
      <c r="Z25" s="250"/>
      <c r="AA25" s="250" t="b">
        <f>J25=K25+L25</f>
        <v>1</v>
      </c>
    </row>
    <row r="26" spans="1:28" ht="20.100000000000001" customHeight="1" x14ac:dyDescent="0.2">
      <c r="A26" s="270" t="s">
        <v>37</v>
      </c>
      <c r="B26" s="270"/>
      <c r="C26" s="270"/>
      <c r="D26" s="270"/>
      <c r="E26" s="270"/>
      <c r="F26" s="270"/>
      <c r="G26" s="270"/>
      <c r="H26" s="192">
        <f>SUMIF($C$3:$C$22,"W",H3:H22)</f>
        <v>0</v>
      </c>
      <c r="I26" s="271" t="s">
        <v>13</v>
      </c>
      <c r="J26" s="272">
        <f>SUMIF($C$3:$C$22,"W",J3:J22)</f>
        <v>0</v>
      </c>
      <c r="K26" s="272">
        <f>SUMIF($C$3:$C$22,"W",K3:K22)</f>
        <v>0</v>
      </c>
      <c r="L26" s="272">
        <f>SUMIF($C$3:$C$22,"W",L3:L22)</f>
        <v>0</v>
      </c>
      <c r="M26" s="193" t="s">
        <v>13</v>
      </c>
      <c r="N26" s="272">
        <f t="shared" ref="N26:W26" si="17">SUMIF($C$3:$C$22,"W",N3:N22)</f>
        <v>0</v>
      </c>
      <c r="O26" s="272">
        <f t="shared" si="17"/>
        <v>0</v>
      </c>
      <c r="P26" s="272">
        <f t="shared" si="17"/>
        <v>0</v>
      </c>
      <c r="Q26" s="272">
        <f t="shared" si="17"/>
        <v>0</v>
      </c>
      <c r="R26" s="272">
        <f t="shared" si="17"/>
        <v>0</v>
      </c>
      <c r="S26" s="272">
        <f t="shared" si="17"/>
        <v>0</v>
      </c>
      <c r="T26" s="272">
        <f t="shared" si="17"/>
        <v>0</v>
      </c>
      <c r="U26" s="272">
        <f t="shared" si="17"/>
        <v>0</v>
      </c>
      <c r="V26" s="272">
        <f t="shared" si="17"/>
        <v>0</v>
      </c>
      <c r="W26" s="272">
        <f t="shared" si="17"/>
        <v>0</v>
      </c>
      <c r="X26" s="236" t="b">
        <f>K26=SUM(N26:W26)</f>
        <v>1</v>
      </c>
      <c r="Y26" s="249"/>
      <c r="Z26" s="250"/>
      <c r="AA26" s="250" t="b">
        <f>J26=K26+L26</f>
        <v>1</v>
      </c>
    </row>
    <row r="27" spans="1:28" ht="20.100000000000001" customHeight="1" x14ac:dyDescent="0.2">
      <c r="A27" s="194"/>
      <c r="B27" s="194"/>
      <c r="C27" s="194"/>
      <c r="D27" s="194"/>
      <c r="E27" s="194"/>
      <c r="F27" s="194"/>
      <c r="G27" s="194"/>
      <c r="X27" s="184"/>
      <c r="Y27" s="187"/>
      <c r="Z27" s="188"/>
      <c r="AA27" s="188"/>
    </row>
    <row r="28" spans="1:28" ht="12" x14ac:dyDescent="0.2">
      <c r="A28" s="196" t="s">
        <v>22</v>
      </c>
      <c r="B28" s="196"/>
      <c r="C28" s="196"/>
      <c r="D28" s="196"/>
      <c r="E28" s="196"/>
      <c r="F28" s="196"/>
      <c r="G28" s="196"/>
      <c r="H28" s="197"/>
      <c r="I28" s="197"/>
      <c r="J28" s="198"/>
      <c r="K28" s="197"/>
      <c r="L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</row>
    <row r="29" spans="1:28" x14ac:dyDescent="0.2">
      <c r="A29" s="199" t="s">
        <v>23</v>
      </c>
      <c r="B29" s="199"/>
      <c r="C29" s="199"/>
      <c r="D29" s="199"/>
      <c r="E29" s="199"/>
      <c r="F29" s="199"/>
      <c r="G29" s="199"/>
      <c r="H29" s="197"/>
      <c r="I29" s="197"/>
      <c r="J29" s="200"/>
      <c r="K29" s="197"/>
      <c r="L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84"/>
      <c r="AA29" s="188"/>
    </row>
    <row r="30" spans="1:28" x14ac:dyDescent="0.2">
      <c r="A30" s="196" t="s">
        <v>40</v>
      </c>
      <c r="B30" s="194"/>
      <c r="C30" s="194"/>
      <c r="D30" s="194"/>
      <c r="E30" s="194"/>
      <c r="F30" s="194"/>
      <c r="G30" s="194"/>
      <c r="J30" s="201"/>
      <c r="X30" s="184"/>
    </row>
    <row r="31" spans="1:28" x14ac:dyDescent="0.2">
      <c r="A31" s="202" t="s">
        <v>26</v>
      </c>
      <c r="B31" s="202"/>
      <c r="C31" s="202"/>
      <c r="D31" s="202"/>
      <c r="E31" s="202"/>
      <c r="F31" s="202"/>
      <c r="G31" s="202"/>
      <c r="J31" s="201"/>
    </row>
  </sheetData>
  <sortState ref="A7:W26">
    <sortCondition descending="1" ref="W7:W26"/>
  </sortState>
  <mergeCells count="18">
    <mergeCell ref="L1:L2"/>
    <mergeCell ref="M1:M2"/>
    <mergeCell ref="N1:W1"/>
    <mergeCell ref="H1:H2"/>
    <mergeCell ref="I1:I2"/>
    <mergeCell ref="J1:J2"/>
    <mergeCell ref="K1:K2"/>
    <mergeCell ref="D1:D2"/>
    <mergeCell ref="A26:G26"/>
    <mergeCell ref="A25:G25"/>
    <mergeCell ref="E1:E2"/>
    <mergeCell ref="A23:G23"/>
    <mergeCell ref="A1:A2"/>
    <mergeCell ref="B1:B2"/>
    <mergeCell ref="C1:C2"/>
    <mergeCell ref="F1:F2"/>
    <mergeCell ref="G1:G2"/>
    <mergeCell ref="A24:G24"/>
  </mergeCells>
  <phoneticPr fontId="23" type="noConversion"/>
  <conditionalFormatting sqref="AB21:AB22 X3:AA26">
    <cfRule type="cellIs" dxfId="39" priority="20" operator="equal">
      <formula>FALSE</formula>
    </cfRule>
  </conditionalFormatting>
  <conditionalFormatting sqref="X3:Z26">
    <cfRule type="containsText" dxfId="38" priority="18" operator="containsText" text="fałsz">
      <formula>NOT(ISERROR(SEARCH("fałsz",X3)))</formula>
    </cfRule>
  </conditionalFormatting>
  <conditionalFormatting sqref="AA29">
    <cfRule type="cellIs" dxfId="37" priority="17" operator="equal">
      <formula>FALSE</formula>
    </cfRule>
  </conditionalFormatting>
  <conditionalFormatting sqref="AA29">
    <cfRule type="cellIs" dxfId="36" priority="16" operator="equal">
      <formula>FALSE</formula>
    </cfRule>
  </conditionalFormatting>
  <conditionalFormatting sqref="Y27:Z27">
    <cfRule type="cellIs" dxfId="35" priority="15" operator="equal">
      <formula>FALSE</formula>
    </cfRule>
  </conditionalFormatting>
  <conditionalFormatting sqref="X27">
    <cfRule type="cellIs" dxfId="34" priority="14" operator="equal">
      <formula>FALSE</formula>
    </cfRule>
  </conditionalFormatting>
  <conditionalFormatting sqref="X27:Z27">
    <cfRule type="containsText" dxfId="33" priority="13" operator="containsText" text="fałsz">
      <formula>NOT(ISERROR(SEARCH("fałsz",X27)))</formula>
    </cfRule>
  </conditionalFormatting>
  <conditionalFormatting sqref="AA27">
    <cfRule type="cellIs" dxfId="32" priority="12" operator="equal">
      <formula>FALSE</formula>
    </cfRule>
  </conditionalFormatting>
  <conditionalFormatting sqref="AA27">
    <cfRule type="cellIs" dxfId="31" priority="11" operator="equal">
      <formula>FALSE</formula>
    </cfRule>
  </conditionalFormatting>
  <dataValidations count="2">
    <dataValidation type="list" allowBlank="1" showInputMessage="1" showErrorMessage="1" sqref="C3:C20 D21:D22" xr:uid="{00000000-0002-0000-0100-000000000000}">
      <formula1>"N,K,W"</formula1>
    </dataValidation>
    <dataValidation type="list" allowBlank="1" showInputMessage="1" showErrorMessage="1" sqref="G3:G20 H21:H22" xr:uid="{00000000-0002-0000-0100-000001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2" fitToHeight="0" orientation="landscape" r:id="rId1"/>
  <headerFooter>
    <oddHeader>&amp;LWojewództwo &amp;K000000Lubuskie&amp;K01+000 -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2"/>
  <sheetViews>
    <sheetView showGridLines="0" view="pageBreakPreview" zoomScale="90" zoomScaleNormal="100" zoomScaleSheetLayoutView="90" workbookViewId="0">
      <selection sqref="A1:A2"/>
    </sheetView>
  </sheetViews>
  <sheetFormatPr defaultColWidth="9.109375" defaultRowHeight="11.4" x14ac:dyDescent="0.2"/>
  <cols>
    <col min="1" max="1" width="5" style="186" customWidth="1"/>
    <col min="2" max="2" width="12" style="186" customWidth="1"/>
    <col min="3" max="3" width="12.44140625" style="186" customWidth="1"/>
    <col min="4" max="4" width="14.5546875" style="186" customWidth="1"/>
    <col min="5" max="5" width="10.6640625" style="185" customWidth="1"/>
    <col min="6" max="6" width="12.6640625" style="186" customWidth="1"/>
    <col min="7" max="7" width="38.6640625" style="186" customWidth="1"/>
    <col min="8" max="8" width="8.6640625" style="186" customWidth="1"/>
    <col min="9" max="10" width="15.88671875" style="186" customWidth="1"/>
    <col min="11" max="11" width="18" style="195" customWidth="1"/>
    <col min="12" max="12" width="16.44140625" style="186" customWidth="1"/>
    <col min="13" max="13" width="16.33203125" style="186" customWidth="1"/>
    <col min="14" max="14" width="14.44140625" style="184" customWidth="1"/>
    <col min="15" max="15" width="12.6640625" style="186" customWidth="1"/>
    <col min="16" max="16" width="15.109375" style="186" customWidth="1"/>
    <col min="17" max="17" width="16.109375" style="205" customWidth="1"/>
    <col min="18" max="18" width="16.109375" style="186" customWidth="1"/>
    <col min="19" max="19" width="13.5546875" style="186" customWidth="1"/>
    <col min="20" max="20" width="14.6640625" style="186" customWidth="1"/>
    <col min="21" max="21" width="13.88671875" style="186" customWidth="1"/>
    <col min="22" max="22" width="13.6640625" style="186" customWidth="1"/>
    <col min="23" max="23" width="14.5546875" style="186" customWidth="1"/>
    <col min="24" max="24" width="12.33203125" style="186" customWidth="1"/>
    <col min="25" max="27" width="15.6640625" style="197" customWidth="1"/>
    <col min="28" max="28" width="15.6640625" style="186" customWidth="1"/>
    <col min="29" max="16384" width="9.109375" style="186"/>
  </cols>
  <sheetData>
    <row r="1" spans="1:28" ht="20.100000000000001" customHeight="1" x14ac:dyDescent="0.2">
      <c r="A1" s="233" t="s">
        <v>100</v>
      </c>
      <c r="B1" s="233" t="s">
        <v>4</v>
      </c>
      <c r="C1" s="234" t="s">
        <v>41</v>
      </c>
      <c r="D1" s="235" t="s">
        <v>5</v>
      </c>
      <c r="E1" s="233" t="s">
        <v>31</v>
      </c>
      <c r="F1" s="235" t="s">
        <v>14</v>
      </c>
      <c r="G1" s="233" t="s">
        <v>6</v>
      </c>
      <c r="H1" s="233" t="s">
        <v>24</v>
      </c>
      <c r="I1" s="233" t="s">
        <v>7</v>
      </c>
      <c r="J1" s="233" t="s">
        <v>25</v>
      </c>
      <c r="K1" s="233" t="s">
        <v>8</v>
      </c>
      <c r="L1" s="233" t="s">
        <v>16</v>
      </c>
      <c r="M1" s="235" t="s">
        <v>12</v>
      </c>
      <c r="N1" s="233" t="s">
        <v>10</v>
      </c>
      <c r="O1" s="233" t="s">
        <v>11</v>
      </c>
      <c r="P1" s="233"/>
      <c r="Q1" s="233"/>
      <c r="R1" s="233"/>
      <c r="S1" s="233"/>
      <c r="T1" s="233"/>
      <c r="U1" s="233"/>
      <c r="V1" s="233"/>
      <c r="W1" s="233"/>
      <c r="X1" s="233"/>
      <c r="Y1" s="273"/>
      <c r="Z1" s="273"/>
      <c r="AA1" s="273"/>
      <c r="AB1" s="274"/>
    </row>
    <row r="2" spans="1:28" ht="46.5" customHeight="1" x14ac:dyDescent="0.2">
      <c r="A2" s="233"/>
      <c r="B2" s="233"/>
      <c r="C2" s="238"/>
      <c r="D2" s="239"/>
      <c r="E2" s="233"/>
      <c r="F2" s="239"/>
      <c r="G2" s="233"/>
      <c r="H2" s="233"/>
      <c r="I2" s="233"/>
      <c r="J2" s="233"/>
      <c r="K2" s="233"/>
      <c r="L2" s="233"/>
      <c r="M2" s="239"/>
      <c r="N2" s="233"/>
      <c r="O2" s="240">
        <v>2019</v>
      </c>
      <c r="P2" s="240">
        <v>2020</v>
      </c>
      <c r="Q2" s="240">
        <v>2021</v>
      </c>
      <c r="R2" s="240">
        <v>2022</v>
      </c>
      <c r="S2" s="240">
        <v>2023</v>
      </c>
      <c r="T2" s="240">
        <v>2024</v>
      </c>
      <c r="U2" s="240">
        <v>2025</v>
      </c>
      <c r="V2" s="240">
        <v>2026</v>
      </c>
      <c r="W2" s="240">
        <v>2027</v>
      </c>
      <c r="X2" s="240">
        <v>2028</v>
      </c>
      <c r="Y2" s="236" t="s">
        <v>27</v>
      </c>
      <c r="Z2" s="236" t="s">
        <v>28</v>
      </c>
      <c r="AA2" s="236" t="s">
        <v>29</v>
      </c>
      <c r="AB2" s="241" t="s">
        <v>30</v>
      </c>
    </row>
    <row r="3" spans="1:28" ht="35.25" customHeight="1" x14ac:dyDescent="0.2">
      <c r="A3" s="275">
        <v>1</v>
      </c>
      <c r="B3" s="242" t="s">
        <v>165</v>
      </c>
      <c r="C3" s="243" t="s">
        <v>130</v>
      </c>
      <c r="D3" s="242" t="s">
        <v>166</v>
      </c>
      <c r="E3" s="244" t="s">
        <v>167</v>
      </c>
      <c r="F3" s="242" t="s">
        <v>44</v>
      </c>
      <c r="G3" s="245" t="s">
        <v>168</v>
      </c>
      <c r="H3" s="242" t="s">
        <v>136</v>
      </c>
      <c r="I3" s="276">
        <v>3.5779999999999998</v>
      </c>
      <c r="J3" s="242" t="s">
        <v>169</v>
      </c>
      <c r="K3" s="183">
        <v>26470834</v>
      </c>
      <c r="L3" s="247">
        <f t="shared" ref="L3:L8" si="0">ROUNDDOWN(K3*N3,0)</f>
        <v>13235417</v>
      </c>
      <c r="M3" s="183">
        <f t="shared" ref="M3:M6" si="1">K3-L3</f>
        <v>13235417</v>
      </c>
      <c r="N3" s="248">
        <v>0.5</v>
      </c>
      <c r="O3" s="247">
        <v>0</v>
      </c>
      <c r="P3" s="247">
        <v>58733</v>
      </c>
      <c r="Q3" s="181">
        <v>1271395</v>
      </c>
      <c r="R3" s="183">
        <v>2697088</v>
      </c>
      <c r="S3" s="183">
        <v>1597954</v>
      </c>
      <c r="T3" s="183">
        <v>3709852</v>
      </c>
      <c r="U3" s="183">
        <v>1709424</v>
      </c>
      <c r="V3" s="183">
        <v>2190971</v>
      </c>
      <c r="W3" s="183"/>
      <c r="X3" s="183"/>
      <c r="Y3" s="236" t="b">
        <f t="shared" ref="Y3:Y19" si="2">L3=SUM(O3:X3)</f>
        <v>1</v>
      </c>
      <c r="Z3" s="249">
        <f t="shared" ref="Z3:Z19" si="3">ROUND(L3/K3,4)</f>
        <v>0.5</v>
      </c>
      <c r="AA3" s="250" t="b">
        <f t="shared" ref="AA3:AA19" si="4">Z3=N3</f>
        <v>1</v>
      </c>
      <c r="AB3" s="250" t="b">
        <f t="shared" ref="AB3:AB19" si="5">K3=L3+M3</f>
        <v>1</v>
      </c>
    </row>
    <row r="4" spans="1:28" ht="35.25" customHeight="1" x14ac:dyDescent="0.2">
      <c r="A4" s="275">
        <v>2</v>
      </c>
      <c r="B4" s="242" t="s">
        <v>170</v>
      </c>
      <c r="C4" s="243" t="s">
        <v>130</v>
      </c>
      <c r="D4" s="242" t="s">
        <v>166</v>
      </c>
      <c r="E4" s="244" t="s">
        <v>167</v>
      </c>
      <c r="F4" s="242" t="s">
        <v>44</v>
      </c>
      <c r="G4" s="245" t="s">
        <v>171</v>
      </c>
      <c r="H4" s="242" t="s">
        <v>136</v>
      </c>
      <c r="I4" s="276">
        <v>1.794</v>
      </c>
      <c r="J4" s="242" t="s">
        <v>172</v>
      </c>
      <c r="K4" s="183">
        <v>9387529</v>
      </c>
      <c r="L4" s="247">
        <f t="shared" si="0"/>
        <v>4693764</v>
      </c>
      <c r="M4" s="183">
        <f t="shared" si="1"/>
        <v>4693765</v>
      </c>
      <c r="N4" s="248">
        <v>0.5</v>
      </c>
      <c r="O4" s="247">
        <v>0</v>
      </c>
      <c r="P4" s="247">
        <v>95417</v>
      </c>
      <c r="Q4" s="181">
        <v>1402343</v>
      </c>
      <c r="R4" s="183">
        <v>3196004</v>
      </c>
      <c r="S4" s="183">
        <v>0</v>
      </c>
      <c r="T4" s="183"/>
      <c r="U4" s="183"/>
      <c r="V4" s="183"/>
      <c r="W4" s="183"/>
      <c r="X4" s="183"/>
      <c r="Y4" s="236" t="b">
        <f t="shared" ref="Y4:Y43" si="6">L4=SUM(O4:X4)</f>
        <v>1</v>
      </c>
      <c r="Z4" s="249">
        <f t="shared" ref="Z4:Z43" si="7">ROUND(L4/K4,4)</f>
        <v>0.5</v>
      </c>
      <c r="AA4" s="250" t="b">
        <f t="shared" ref="AA4:AA43" si="8">Z4=N4</f>
        <v>1</v>
      </c>
      <c r="AB4" s="250" t="b">
        <f t="shared" ref="AB4:AB43" si="9">K4=L4+M4</f>
        <v>1</v>
      </c>
    </row>
    <row r="5" spans="1:28" ht="69" customHeight="1" x14ac:dyDescent="0.2">
      <c r="A5" s="275">
        <v>3</v>
      </c>
      <c r="B5" s="242" t="s">
        <v>173</v>
      </c>
      <c r="C5" s="243" t="s">
        <v>130</v>
      </c>
      <c r="D5" s="242" t="s">
        <v>64</v>
      </c>
      <c r="E5" s="244" t="s">
        <v>88</v>
      </c>
      <c r="F5" s="242" t="s">
        <v>45</v>
      </c>
      <c r="G5" s="245" t="s">
        <v>174</v>
      </c>
      <c r="H5" s="242" t="s">
        <v>136</v>
      </c>
      <c r="I5" s="276">
        <v>1.5069999999999999</v>
      </c>
      <c r="J5" s="242" t="s">
        <v>175</v>
      </c>
      <c r="K5" s="183">
        <v>5110427</v>
      </c>
      <c r="L5" s="247">
        <f t="shared" si="0"/>
        <v>2555213</v>
      </c>
      <c r="M5" s="183">
        <f t="shared" si="1"/>
        <v>2555214</v>
      </c>
      <c r="N5" s="277">
        <v>0.5</v>
      </c>
      <c r="O5" s="247">
        <v>0</v>
      </c>
      <c r="P5" s="247">
        <v>97170</v>
      </c>
      <c r="Q5" s="181">
        <v>2458043</v>
      </c>
      <c r="R5" s="183">
        <v>0</v>
      </c>
      <c r="S5" s="183"/>
      <c r="T5" s="183"/>
      <c r="U5" s="183"/>
      <c r="V5" s="183"/>
      <c r="W5" s="183"/>
      <c r="X5" s="183"/>
      <c r="Y5" s="236" t="b">
        <f t="shared" si="6"/>
        <v>1</v>
      </c>
      <c r="Z5" s="249">
        <f t="shared" si="7"/>
        <v>0.5</v>
      </c>
      <c r="AA5" s="250" t="b">
        <f t="shared" si="8"/>
        <v>1</v>
      </c>
      <c r="AB5" s="250" t="b">
        <f t="shared" si="9"/>
        <v>1</v>
      </c>
    </row>
    <row r="6" spans="1:28" ht="49.5" customHeight="1" x14ac:dyDescent="0.2">
      <c r="A6" s="275" t="s">
        <v>395</v>
      </c>
      <c r="B6" s="242" t="s">
        <v>390</v>
      </c>
      <c r="C6" s="243" t="s">
        <v>130</v>
      </c>
      <c r="D6" s="242" t="s">
        <v>195</v>
      </c>
      <c r="E6" s="244" t="s">
        <v>196</v>
      </c>
      <c r="F6" s="242" t="s">
        <v>46</v>
      </c>
      <c r="G6" s="245" t="s">
        <v>391</v>
      </c>
      <c r="H6" s="242" t="s">
        <v>136</v>
      </c>
      <c r="I6" s="276">
        <v>0.63100000000000001</v>
      </c>
      <c r="J6" s="242" t="s">
        <v>392</v>
      </c>
      <c r="K6" s="183">
        <v>1677081</v>
      </c>
      <c r="L6" s="247">
        <v>329235</v>
      </c>
      <c r="M6" s="183">
        <f t="shared" si="1"/>
        <v>1347846</v>
      </c>
      <c r="N6" s="248">
        <v>0.5</v>
      </c>
      <c r="O6" s="247">
        <v>0</v>
      </c>
      <c r="P6" s="247">
        <v>329235</v>
      </c>
      <c r="Q6" s="181">
        <v>0</v>
      </c>
      <c r="R6" s="183"/>
      <c r="S6" s="183"/>
      <c r="T6" s="183"/>
      <c r="U6" s="183"/>
      <c r="V6" s="183"/>
      <c r="W6" s="183"/>
      <c r="X6" s="183"/>
      <c r="Y6" s="236" t="b">
        <f t="shared" si="6"/>
        <v>1</v>
      </c>
      <c r="Z6" s="249">
        <f t="shared" si="7"/>
        <v>0.1963</v>
      </c>
      <c r="AA6" s="250" t="b">
        <f t="shared" si="8"/>
        <v>0</v>
      </c>
      <c r="AB6" s="250" t="b">
        <f t="shared" si="9"/>
        <v>1</v>
      </c>
    </row>
    <row r="7" spans="1:28" ht="69" customHeight="1" x14ac:dyDescent="0.2">
      <c r="A7" s="275">
        <v>5</v>
      </c>
      <c r="B7" s="242" t="s">
        <v>176</v>
      </c>
      <c r="C7" s="242" t="s">
        <v>130</v>
      </c>
      <c r="D7" s="242" t="s">
        <v>177</v>
      </c>
      <c r="E7" s="244" t="s">
        <v>178</v>
      </c>
      <c r="F7" s="242" t="s">
        <v>179</v>
      </c>
      <c r="G7" s="245" t="s">
        <v>180</v>
      </c>
      <c r="H7" s="242" t="s">
        <v>132</v>
      </c>
      <c r="I7" s="246">
        <v>0.47099999999999997</v>
      </c>
      <c r="J7" s="242" t="s">
        <v>181</v>
      </c>
      <c r="K7" s="278">
        <v>670739</v>
      </c>
      <c r="L7" s="247">
        <f t="shared" si="0"/>
        <v>335369</v>
      </c>
      <c r="M7" s="183">
        <f t="shared" ref="M7:M8" si="10">SUM(K7-L7)</f>
        <v>335370</v>
      </c>
      <c r="N7" s="248">
        <v>0.5</v>
      </c>
      <c r="O7" s="247">
        <v>0</v>
      </c>
      <c r="P7" s="247">
        <v>0</v>
      </c>
      <c r="Q7" s="181">
        <v>207930</v>
      </c>
      <c r="R7" s="183">
        <v>127439</v>
      </c>
      <c r="S7" s="183">
        <v>0</v>
      </c>
      <c r="T7" s="183"/>
      <c r="U7" s="183"/>
      <c r="V7" s="183"/>
      <c r="W7" s="183"/>
      <c r="X7" s="183"/>
      <c r="Y7" s="236" t="b">
        <f t="shared" si="6"/>
        <v>1</v>
      </c>
      <c r="Z7" s="249">
        <f t="shared" si="7"/>
        <v>0.5</v>
      </c>
      <c r="AA7" s="250" t="b">
        <f t="shared" si="8"/>
        <v>1</v>
      </c>
      <c r="AB7" s="250" t="b">
        <f t="shared" si="9"/>
        <v>1</v>
      </c>
    </row>
    <row r="8" spans="1:28" ht="69" customHeight="1" x14ac:dyDescent="0.2">
      <c r="A8" s="275">
        <v>6</v>
      </c>
      <c r="B8" s="242" t="s">
        <v>182</v>
      </c>
      <c r="C8" s="242" t="s">
        <v>130</v>
      </c>
      <c r="D8" s="242" t="s">
        <v>177</v>
      </c>
      <c r="E8" s="244" t="s">
        <v>178</v>
      </c>
      <c r="F8" s="242" t="s">
        <v>179</v>
      </c>
      <c r="G8" s="245" t="s">
        <v>183</v>
      </c>
      <c r="H8" s="242" t="s">
        <v>132</v>
      </c>
      <c r="I8" s="246">
        <v>1.3779999999999999</v>
      </c>
      <c r="J8" s="242" t="s">
        <v>181</v>
      </c>
      <c r="K8" s="278">
        <v>2041363</v>
      </c>
      <c r="L8" s="247">
        <f t="shared" si="0"/>
        <v>1020681</v>
      </c>
      <c r="M8" s="183">
        <f t="shared" si="10"/>
        <v>1020682</v>
      </c>
      <c r="N8" s="248">
        <v>0.5</v>
      </c>
      <c r="O8" s="247">
        <v>0</v>
      </c>
      <c r="P8" s="247">
        <v>0</v>
      </c>
      <c r="Q8" s="181">
        <v>583216</v>
      </c>
      <c r="R8" s="183">
        <v>437465</v>
      </c>
      <c r="S8" s="183">
        <v>0</v>
      </c>
      <c r="T8" s="183"/>
      <c r="U8" s="183"/>
      <c r="V8" s="183"/>
      <c r="W8" s="183"/>
      <c r="X8" s="183"/>
      <c r="Y8" s="236" t="b">
        <f t="shared" si="6"/>
        <v>1</v>
      </c>
      <c r="Z8" s="249">
        <f t="shared" si="7"/>
        <v>0.5</v>
      </c>
      <c r="AA8" s="250" t="b">
        <f t="shared" si="8"/>
        <v>1</v>
      </c>
      <c r="AB8" s="250" t="b">
        <f t="shared" si="9"/>
        <v>1</v>
      </c>
    </row>
    <row r="9" spans="1:28" ht="37.5" customHeight="1" x14ac:dyDescent="0.2">
      <c r="A9" s="275" t="s">
        <v>393</v>
      </c>
      <c r="B9" s="242" t="s">
        <v>184</v>
      </c>
      <c r="C9" s="242" t="s">
        <v>130</v>
      </c>
      <c r="D9" s="242" t="s">
        <v>68</v>
      </c>
      <c r="E9" s="244" t="s">
        <v>92</v>
      </c>
      <c r="F9" s="242" t="s">
        <v>185</v>
      </c>
      <c r="G9" s="245" t="s">
        <v>186</v>
      </c>
      <c r="H9" s="242" t="s">
        <v>132</v>
      </c>
      <c r="I9" s="246">
        <v>0.40699999999999997</v>
      </c>
      <c r="J9" s="242" t="s">
        <v>187</v>
      </c>
      <c r="K9" s="279">
        <v>1170019</v>
      </c>
      <c r="L9" s="247">
        <v>491350</v>
      </c>
      <c r="M9" s="183">
        <f t="shared" ref="M9:M10" si="11">SUM(K9-L9)</f>
        <v>678669</v>
      </c>
      <c r="N9" s="248">
        <v>0.7</v>
      </c>
      <c r="O9" s="247">
        <v>0</v>
      </c>
      <c r="P9" s="247">
        <v>0</v>
      </c>
      <c r="Q9" s="181">
        <v>4548</v>
      </c>
      <c r="R9" s="183">
        <v>0</v>
      </c>
      <c r="S9" s="183">
        <v>486802</v>
      </c>
      <c r="T9" s="183"/>
      <c r="U9" s="183"/>
      <c r="V9" s="183"/>
      <c r="W9" s="183"/>
      <c r="X9" s="183"/>
      <c r="Y9" s="236" t="b">
        <f t="shared" si="6"/>
        <v>1</v>
      </c>
      <c r="Z9" s="249">
        <f t="shared" si="7"/>
        <v>0.42</v>
      </c>
      <c r="AA9" s="250" t="b">
        <f t="shared" si="8"/>
        <v>0</v>
      </c>
      <c r="AB9" s="250" t="b">
        <f t="shared" si="9"/>
        <v>1</v>
      </c>
    </row>
    <row r="10" spans="1:28" ht="37.5" customHeight="1" x14ac:dyDescent="0.2">
      <c r="A10" s="275" t="s">
        <v>400</v>
      </c>
      <c r="B10" s="242" t="s">
        <v>397</v>
      </c>
      <c r="C10" s="242" t="s">
        <v>130</v>
      </c>
      <c r="D10" s="242" t="s">
        <v>62</v>
      </c>
      <c r="E10" s="244" t="s">
        <v>86</v>
      </c>
      <c r="F10" s="242" t="s">
        <v>398</v>
      </c>
      <c r="G10" s="245" t="s">
        <v>399</v>
      </c>
      <c r="H10" s="242" t="s">
        <v>132</v>
      </c>
      <c r="I10" s="246">
        <v>0.25900000000000001</v>
      </c>
      <c r="J10" s="242" t="s">
        <v>402</v>
      </c>
      <c r="K10" s="279">
        <v>1466329</v>
      </c>
      <c r="L10" s="247">
        <v>338249</v>
      </c>
      <c r="M10" s="183">
        <f t="shared" si="11"/>
        <v>1128080</v>
      </c>
      <c r="N10" s="248">
        <v>0.5</v>
      </c>
      <c r="O10" s="247">
        <v>0</v>
      </c>
      <c r="P10" s="247">
        <v>0</v>
      </c>
      <c r="Q10" s="181">
        <v>338249</v>
      </c>
      <c r="R10" s="183">
        <v>0</v>
      </c>
      <c r="S10" s="183"/>
      <c r="T10" s="183"/>
      <c r="U10" s="183"/>
      <c r="V10" s="183"/>
      <c r="W10" s="183"/>
      <c r="X10" s="183"/>
      <c r="Y10" s="236" t="b">
        <f t="shared" si="6"/>
        <v>1</v>
      </c>
      <c r="Z10" s="249">
        <f t="shared" si="7"/>
        <v>0.23069999999999999</v>
      </c>
      <c r="AA10" s="250" t="b">
        <f t="shared" si="8"/>
        <v>0</v>
      </c>
      <c r="AB10" s="250" t="b">
        <f t="shared" si="9"/>
        <v>1</v>
      </c>
    </row>
    <row r="11" spans="1:28" ht="44.25" customHeight="1" x14ac:dyDescent="0.2">
      <c r="A11" s="275">
        <v>9</v>
      </c>
      <c r="B11" s="242" t="s">
        <v>188</v>
      </c>
      <c r="C11" s="242" t="s">
        <v>130</v>
      </c>
      <c r="D11" s="242" t="s">
        <v>54</v>
      </c>
      <c r="E11" s="244" t="s">
        <v>74</v>
      </c>
      <c r="F11" s="242" t="s">
        <v>50</v>
      </c>
      <c r="G11" s="245" t="s">
        <v>189</v>
      </c>
      <c r="H11" s="242" t="s">
        <v>136</v>
      </c>
      <c r="I11" s="246">
        <v>1.016</v>
      </c>
      <c r="J11" s="242" t="s">
        <v>190</v>
      </c>
      <c r="K11" s="183">
        <v>9494730</v>
      </c>
      <c r="L11" s="183">
        <f t="shared" ref="L11:L12" si="12">ROUNDDOWN(K11*N11,0)</f>
        <v>7595784</v>
      </c>
      <c r="M11" s="183">
        <f t="shared" ref="M11:M12" si="13">K11-L11</f>
        <v>1898946</v>
      </c>
      <c r="N11" s="248">
        <v>0.8</v>
      </c>
      <c r="O11" s="183">
        <v>0</v>
      </c>
      <c r="P11" s="183">
        <v>0</v>
      </c>
      <c r="Q11" s="183">
        <v>0</v>
      </c>
      <c r="R11" s="183">
        <v>3738206</v>
      </c>
      <c r="S11" s="183">
        <v>3857578</v>
      </c>
      <c r="T11" s="183"/>
      <c r="U11" s="183"/>
      <c r="V11" s="183"/>
      <c r="W11" s="183"/>
      <c r="X11" s="183"/>
      <c r="Y11" s="236" t="b">
        <f t="shared" si="6"/>
        <v>1</v>
      </c>
      <c r="Z11" s="249">
        <f t="shared" si="7"/>
        <v>0.8</v>
      </c>
      <c r="AA11" s="250" t="b">
        <f t="shared" si="8"/>
        <v>1</v>
      </c>
      <c r="AB11" s="250" t="b">
        <f t="shared" si="9"/>
        <v>1</v>
      </c>
    </row>
    <row r="12" spans="1:28" ht="67.5" customHeight="1" x14ac:dyDescent="0.2">
      <c r="A12" s="275">
        <v>10</v>
      </c>
      <c r="B12" s="242" t="s">
        <v>191</v>
      </c>
      <c r="C12" s="242" t="s">
        <v>130</v>
      </c>
      <c r="D12" s="242" t="s">
        <v>64</v>
      </c>
      <c r="E12" s="244" t="s">
        <v>88</v>
      </c>
      <c r="F12" s="242" t="s">
        <v>45</v>
      </c>
      <c r="G12" s="245" t="s">
        <v>192</v>
      </c>
      <c r="H12" s="242" t="s">
        <v>136</v>
      </c>
      <c r="I12" s="246">
        <v>0.84499999999999997</v>
      </c>
      <c r="J12" s="242" t="s">
        <v>193</v>
      </c>
      <c r="K12" s="280">
        <v>3534574</v>
      </c>
      <c r="L12" s="280">
        <f t="shared" si="12"/>
        <v>2120744</v>
      </c>
      <c r="M12" s="280">
        <f t="shared" si="13"/>
        <v>1413830</v>
      </c>
      <c r="N12" s="277">
        <v>0.6</v>
      </c>
      <c r="O12" s="280">
        <v>0</v>
      </c>
      <c r="P12" s="280">
        <v>0</v>
      </c>
      <c r="Q12" s="280">
        <v>0</v>
      </c>
      <c r="R12" s="280">
        <v>312571</v>
      </c>
      <c r="S12" s="280">
        <v>1808173</v>
      </c>
      <c r="T12" s="183"/>
      <c r="U12" s="183"/>
      <c r="V12" s="183"/>
      <c r="W12" s="183"/>
      <c r="X12" s="183"/>
      <c r="Y12" s="236" t="b">
        <f t="shared" si="6"/>
        <v>1</v>
      </c>
      <c r="Z12" s="249">
        <f t="shared" si="7"/>
        <v>0.6</v>
      </c>
      <c r="AA12" s="250" t="b">
        <f t="shared" si="8"/>
        <v>1</v>
      </c>
      <c r="AB12" s="250" t="b">
        <f t="shared" si="9"/>
        <v>1</v>
      </c>
    </row>
    <row r="13" spans="1:28" ht="60" customHeight="1" x14ac:dyDescent="0.2">
      <c r="A13" s="275">
        <v>11</v>
      </c>
      <c r="B13" s="242" t="s">
        <v>194</v>
      </c>
      <c r="C13" s="242" t="s">
        <v>130</v>
      </c>
      <c r="D13" s="242" t="s">
        <v>195</v>
      </c>
      <c r="E13" s="244" t="s">
        <v>196</v>
      </c>
      <c r="F13" s="242" t="s">
        <v>46</v>
      </c>
      <c r="G13" s="245" t="s">
        <v>197</v>
      </c>
      <c r="H13" s="242" t="s">
        <v>136</v>
      </c>
      <c r="I13" s="246">
        <v>0.58199999999999996</v>
      </c>
      <c r="J13" s="242" t="s">
        <v>198</v>
      </c>
      <c r="K13" s="280">
        <v>2586362</v>
      </c>
      <c r="L13" s="280">
        <v>1015456</v>
      </c>
      <c r="M13" s="280">
        <f>K13-L13</f>
        <v>1570906</v>
      </c>
      <c r="N13" s="277">
        <v>0.6</v>
      </c>
      <c r="O13" s="280">
        <v>0</v>
      </c>
      <c r="P13" s="280">
        <v>0</v>
      </c>
      <c r="Q13" s="280">
        <v>0</v>
      </c>
      <c r="R13" s="280">
        <v>47970</v>
      </c>
      <c r="S13" s="280">
        <v>480000</v>
      </c>
      <c r="T13" s="280">
        <v>487486</v>
      </c>
      <c r="U13" s="183"/>
      <c r="V13" s="183"/>
      <c r="W13" s="183"/>
      <c r="X13" s="183"/>
      <c r="Y13" s="236" t="b">
        <f t="shared" si="6"/>
        <v>1</v>
      </c>
      <c r="Z13" s="249">
        <f t="shared" si="7"/>
        <v>0.3926</v>
      </c>
      <c r="AA13" s="250" t="b">
        <f t="shared" si="8"/>
        <v>0</v>
      </c>
      <c r="AB13" s="250" t="b">
        <f t="shared" si="9"/>
        <v>1</v>
      </c>
    </row>
    <row r="14" spans="1:28" ht="37.5" customHeight="1" x14ac:dyDescent="0.2">
      <c r="A14" s="275">
        <v>12</v>
      </c>
      <c r="B14" s="242" t="s">
        <v>199</v>
      </c>
      <c r="C14" s="242" t="s">
        <v>130</v>
      </c>
      <c r="D14" s="242" t="s">
        <v>200</v>
      </c>
      <c r="E14" s="244" t="s">
        <v>201</v>
      </c>
      <c r="F14" s="242" t="s">
        <v>82</v>
      </c>
      <c r="G14" s="245" t="s">
        <v>202</v>
      </c>
      <c r="H14" s="242" t="s">
        <v>132</v>
      </c>
      <c r="I14" s="246">
        <v>1.1679999999999999</v>
      </c>
      <c r="J14" s="242" t="s">
        <v>385</v>
      </c>
      <c r="K14" s="183">
        <v>2446502</v>
      </c>
      <c r="L14" s="183">
        <v>1223250</v>
      </c>
      <c r="M14" s="183">
        <f t="shared" ref="M14:M19" si="14">K14-L14</f>
        <v>1223252</v>
      </c>
      <c r="N14" s="248">
        <v>0.5</v>
      </c>
      <c r="O14" s="183">
        <v>0</v>
      </c>
      <c r="P14" s="183">
        <v>0</v>
      </c>
      <c r="Q14" s="183">
        <v>0</v>
      </c>
      <c r="R14" s="183">
        <v>864509</v>
      </c>
      <c r="S14" s="183">
        <v>358741</v>
      </c>
      <c r="T14" s="183"/>
      <c r="U14" s="183"/>
      <c r="V14" s="183"/>
      <c r="W14" s="183"/>
      <c r="X14" s="183"/>
      <c r="Y14" s="236" t="b">
        <f t="shared" si="6"/>
        <v>1</v>
      </c>
      <c r="Z14" s="249">
        <f t="shared" si="7"/>
        <v>0.5</v>
      </c>
      <c r="AA14" s="250" t="b">
        <f t="shared" si="8"/>
        <v>1</v>
      </c>
      <c r="AB14" s="250" t="b">
        <f t="shared" si="9"/>
        <v>1</v>
      </c>
    </row>
    <row r="15" spans="1:28" ht="33.75" customHeight="1" x14ac:dyDescent="0.2">
      <c r="A15" s="275">
        <v>13</v>
      </c>
      <c r="B15" s="242" t="s">
        <v>203</v>
      </c>
      <c r="C15" s="242" t="s">
        <v>130</v>
      </c>
      <c r="D15" s="242" t="s">
        <v>68</v>
      </c>
      <c r="E15" s="244" t="s">
        <v>92</v>
      </c>
      <c r="F15" s="242" t="s">
        <v>43</v>
      </c>
      <c r="G15" s="245" t="s">
        <v>204</v>
      </c>
      <c r="H15" s="242" t="s">
        <v>132</v>
      </c>
      <c r="I15" s="246">
        <v>0.432</v>
      </c>
      <c r="J15" s="242" t="s">
        <v>386</v>
      </c>
      <c r="K15" s="183">
        <v>2447630</v>
      </c>
      <c r="L15" s="183">
        <v>829053</v>
      </c>
      <c r="M15" s="183">
        <f t="shared" si="14"/>
        <v>1618577</v>
      </c>
      <c r="N15" s="248">
        <v>0.5</v>
      </c>
      <c r="O15" s="183">
        <v>0</v>
      </c>
      <c r="P15" s="183">
        <v>0</v>
      </c>
      <c r="Q15" s="183">
        <v>0</v>
      </c>
      <c r="R15" s="183">
        <v>817123</v>
      </c>
      <c r="S15" s="183">
        <v>11930</v>
      </c>
      <c r="T15" s="183"/>
      <c r="U15" s="183"/>
      <c r="V15" s="183"/>
      <c r="W15" s="183"/>
      <c r="X15" s="183"/>
      <c r="Y15" s="236" t="b">
        <f t="shared" si="6"/>
        <v>1</v>
      </c>
      <c r="Z15" s="249">
        <f t="shared" si="7"/>
        <v>0.3387</v>
      </c>
      <c r="AA15" s="250" t="b">
        <f t="shared" si="8"/>
        <v>0</v>
      </c>
      <c r="AB15" s="250" t="b">
        <f t="shared" si="9"/>
        <v>1</v>
      </c>
    </row>
    <row r="16" spans="1:28" ht="37.5" customHeight="1" x14ac:dyDescent="0.2">
      <c r="A16" s="275">
        <v>14</v>
      </c>
      <c r="B16" s="242" t="s">
        <v>205</v>
      </c>
      <c r="C16" s="281" t="s">
        <v>130</v>
      </c>
      <c r="D16" s="242" t="s">
        <v>206</v>
      </c>
      <c r="E16" s="244" t="s">
        <v>207</v>
      </c>
      <c r="F16" s="242" t="s">
        <v>49</v>
      </c>
      <c r="G16" s="245" t="s">
        <v>208</v>
      </c>
      <c r="H16" s="242" t="s">
        <v>136</v>
      </c>
      <c r="I16" s="246">
        <v>0.438</v>
      </c>
      <c r="J16" s="242" t="s">
        <v>209</v>
      </c>
      <c r="K16" s="280">
        <v>2768497</v>
      </c>
      <c r="L16" s="282">
        <v>1383248</v>
      </c>
      <c r="M16" s="282">
        <f t="shared" si="14"/>
        <v>1385249</v>
      </c>
      <c r="N16" s="277">
        <v>0.5</v>
      </c>
      <c r="O16" s="280">
        <v>0</v>
      </c>
      <c r="P16" s="280">
        <v>0</v>
      </c>
      <c r="Q16" s="280">
        <v>0</v>
      </c>
      <c r="R16" s="282">
        <v>0</v>
      </c>
      <c r="S16" s="280">
        <v>64637</v>
      </c>
      <c r="T16" s="280">
        <v>879074</v>
      </c>
      <c r="U16" s="280">
        <v>439537</v>
      </c>
      <c r="V16" s="183"/>
      <c r="W16" s="183"/>
      <c r="X16" s="183"/>
      <c r="Y16" s="236" t="b">
        <f t="shared" si="6"/>
        <v>1</v>
      </c>
      <c r="Z16" s="249">
        <f t="shared" si="7"/>
        <v>0.49959999999999999</v>
      </c>
      <c r="AA16" s="250" t="b">
        <f t="shared" si="8"/>
        <v>0</v>
      </c>
      <c r="AB16" s="250" t="b">
        <f t="shared" si="9"/>
        <v>1</v>
      </c>
    </row>
    <row r="17" spans="1:28" ht="42.75" customHeight="1" x14ac:dyDescent="0.2">
      <c r="A17" s="275">
        <v>15</v>
      </c>
      <c r="B17" s="242" t="s">
        <v>210</v>
      </c>
      <c r="C17" s="242" t="s">
        <v>130</v>
      </c>
      <c r="D17" s="242" t="s">
        <v>211</v>
      </c>
      <c r="E17" s="244" t="s">
        <v>212</v>
      </c>
      <c r="F17" s="242" t="s">
        <v>47</v>
      </c>
      <c r="G17" s="245" t="s">
        <v>213</v>
      </c>
      <c r="H17" s="242" t="s">
        <v>132</v>
      </c>
      <c r="I17" s="246">
        <v>1.0609999999999999</v>
      </c>
      <c r="J17" s="242" t="s">
        <v>214</v>
      </c>
      <c r="K17" s="280">
        <v>4383771</v>
      </c>
      <c r="L17" s="182">
        <v>2195194</v>
      </c>
      <c r="M17" s="182">
        <f t="shared" si="14"/>
        <v>2188577</v>
      </c>
      <c r="N17" s="277">
        <v>0.6</v>
      </c>
      <c r="O17" s="280">
        <v>0</v>
      </c>
      <c r="P17" s="280">
        <v>0</v>
      </c>
      <c r="Q17" s="280">
        <v>0</v>
      </c>
      <c r="R17" s="280">
        <v>205666</v>
      </c>
      <c r="S17" s="280">
        <v>1989528</v>
      </c>
      <c r="T17" s="183"/>
      <c r="U17" s="183"/>
      <c r="V17" s="183"/>
      <c r="W17" s="183"/>
      <c r="X17" s="183"/>
      <c r="Y17" s="236" t="b">
        <f t="shared" si="6"/>
        <v>1</v>
      </c>
      <c r="Z17" s="249">
        <f t="shared" si="7"/>
        <v>0.50080000000000002</v>
      </c>
      <c r="AA17" s="250" t="b">
        <f t="shared" si="8"/>
        <v>0</v>
      </c>
      <c r="AB17" s="250" t="b">
        <f t="shared" si="9"/>
        <v>1</v>
      </c>
    </row>
    <row r="18" spans="1:28" ht="57.75" customHeight="1" x14ac:dyDescent="0.2">
      <c r="A18" s="275">
        <v>16</v>
      </c>
      <c r="B18" s="242" t="s">
        <v>215</v>
      </c>
      <c r="C18" s="242" t="s">
        <v>130</v>
      </c>
      <c r="D18" s="242" t="s">
        <v>60</v>
      </c>
      <c r="E18" s="244" t="s">
        <v>83</v>
      </c>
      <c r="F18" s="242" t="s">
        <v>44</v>
      </c>
      <c r="G18" s="245" t="s">
        <v>216</v>
      </c>
      <c r="H18" s="242" t="s">
        <v>136</v>
      </c>
      <c r="I18" s="246">
        <v>0.30299999999999999</v>
      </c>
      <c r="J18" s="283" t="s">
        <v>217</v>
      </c>
      <c r="K18" s="183">
        <v>3122180</v>
      </c>
      <c r="L18" s="183">
        <v>1933085</v>
      </c>
      <c r="M18" s="183">
        <f t="shared" si="14"/>
        <v>1189095</v>
      </c>
      <c r="N18" s="248">
        <v>0.7</v>
      </c>
      <c r="O18" s="183">
        <v>0</v>
      </c>
      <c r="P18" s="183">
        <v>0</v>
      </c>
      <c r="Q18" s="183">
        <v>0</v>
      </c>
      <c r="R18" s="183">
        <v>65005</v>
      </c>
      <c r="S18" s="183">
        <v>1868080</v>
      </c>
      <c r="T18" s="183">
        <v>0</v>
      </c>
      <c r="U18" s="183"/>
      <c r="V18" s="183"/>
      <c r="W18" s="183"/>
      <c r="X18" s="183"/>
      <c r="Y18" s="236" t="b">
        <f t="shared" si="6"/>
        <v>1</v>
      </c>
      <c r="Z18" s="249">
        <f t="shared" si="7"/>
        <v>0.61909999999999998</v>
      </c>
      <c r="AA18" s="250" t="b">
        <f t="shared" si="8"/>
        <v>0</v>
      </c>
      <c r="AB18" s="250" t="b">
        <f t="shared" si="9"/>
        <v>1</v>
      </c>
    </row>
    <row r="19" spans="1:28" ht="40.5" customHeight="1" x14ac:dyDescent="0.2">
      <c r="A19" s="275">
        <v>17</v>
      </c>
      <c r="B19" s="242" t="s">
        <v>218</v>
      </c>
      <c r="C19" s="242" t="s">
        <v>130</v>
      </c>
      <c r="D19" s="242" t="s">
        <v>58</v>
      </c>
      <c r="E19" s="244" t="s">
        <v>81</v>
      </c>
      <c r="F19" s="242" t="s">
        <v>82</v>
      </c>
      <c r="G19" s="245" t="s">
        <v>219</v>
      </c>
      <c r="H19" s="242" t="s">
        <v>132</v>
      </c>
      <c r="I19" s="246">
        <v>0.216</v>
      </c>
      <c r="J19" s="242" t="s">
        <v>220</v>
      </c>
      <c r="K19" s="183">
        <v>477250</v>
      </c>
      <c r="L19" s="183">
        <v>269356</v>
      </c>
      <c r="M19" s="183">
        <f t="shared" si="14"/>
        <v>207894</v>
      </c>
      <c r="N19" s="248">
        <v>0.6</v>
      </c>
      <c r="O19" s="183">
        <v>0</v>
      </c>
      <c r="P19" s="183">
        <v>0</v>
      </c>
      <c r="Q19" s="183">
        <v>0</v>
      </c>
      <c r="R19" s="183">
        <v>24000</v>
      </c>
      <c r="S19" s="183">
        <v>245356</v>
      </c>
      <c r="T19" s="183"/>
      <c r="U19" s="183"/>
      <c r="V19" s="183"/>
      <c r="W19" s="183"/>
      <c r="X19" s="183"/>
      <c r="Y19" s="236" t="b">
        <f t="shared" si="6"/>
        <v>1</v>
      </c>
      <c r="Z19" s="249">
        <f t="shared" si="7"/>
        <v>0.56440000000000001</v>
      </c>
      <c r="AA19" s="250" t="b">
        <f t="shared" si="8"/>
        <v>0</v>
      </c>
      <c r="AB19" s="250" t="b">
        <f t="shared" si="9"/>
        <v>1</v>
      </c>
    </row>
    <row r="20" spans="1:28" ht="30.75" customHeight="1" x14ac:dyDescent="0.2">
      <c r="A20" s="275" t="s">
        <v>394</v>
      </c>
      <c r="B20" s="242" t="s">
        <v>221</v>
      </c>
      <c r="C20" s="242" t="s">
        <v>130</v>
      </c>
      <c r="D20" s="242" t="s">
        <v>52</v>
      </c>
      <c r="E20" s="244" t="s">
        <v>72</v>
      </c>
      <c r="F20" s="242" t="s">
        <v>49</v>
      </c>
      <c r="G20" s="245" t="s">
        <v>222</v>
      </c>
      <c r="H20" s="242" t="s">
        <v>136</v>
      </c>
      <c r="I20" s="246">
        <v>1.7849999999999999</v>
      </c>
      <c r="J20" s="242" t="s">
        <v>223</v>
      </c>
      <c r="K20" s="280">
        <v>23078072</v>
      </c>
      <c r="L20" s="280">
        <v>9496885</v>
      </c>
      <c r="M20" s="280">
        <f>K20-L20</f>
        <v>13581187</v>
      </c>
      <c r="N20" s="277">
        <v>0.7</v>
      </c>
      <c r="O20" s="280">
        <v>0</v>
      </c>
      <c r="P20" s="280">
        <v>0</v>
      </c>
      <c r="Q20" s="280">
        <v>0</v>
      </c>
      <c r="R20" s="280">
        <v>175000</v>
      </c>
      <c r="S20" s="280">
        <v>9321885</v>
      </c>
      <c r="T20" s="183"/>
      <c r="U20" s="183"/>
      <c r="V20" s="183"/>
      <c r="W20" s="183"/>
      <c r="X20" s="183"/>
      <c r="Y20" s="236" t="b">
        <f t="shared" si="6"/>
        <v>1</v>
      </c>
      <c r="Z20" s="249">
        <f t="shared" si="7"/>
        <v>0.41149999999999998</v>
      </c>
      <c r="AA20" s="250" t="b">
        <f t="shared" si="8"/>
        <v>0</v>
      </c>
      <c r="AB20" s="250" t="b">
        <f t="shared" si="9"/>
        <v>1</v>
      </c>
    </row>
    <row r="21" spans="1:28" ht="47.25" customHeight="1" x14ac:dyDescent="0.2">
      <c r="A21" s="275" t="s">
        <v>396</v>
      </c>
      <c r="B21" s="242" t="s">
        <v>224</v>
      </c>
      <c r="C21" s="242" t="s">
        <v>130</v>
      </c>
      <c r="D21" s="242" t="s">
        <v>103</v>
      </c>
      <c r="E21" s="244" t="s">
        <v>77</v>
      </c>
      <c r="F21" s="242" t="s">
        <v>48</v>
      </c>
      <c r="G21" s="245" t="s">
        <v>225</v>
      </c>
      <c r="H21" s="242" t="s">
        <v>132</v>
      </c>
      <c r="I21" s="246">
        <v>1.3360000000000001</v>
      </c>
      <c r="J21" s="242" t="s">
        <v>226</v>
      </c>
      <c r="K21" s="280">
        <v>14477941</v>
      </c>
      <c r="L21" s="280">
        <v>3603032</v>
      </c>
      <c r="M21" s="280">
        <f>K21-L21</f>
        <v>10874909</v>
      </c>
      <c r="N21" s="277">
        <v>0.5</v>
      </c>
      <c r="O21" s="280">
        <v>0</v>
      </c>
      <c r="P21" s="280">
        <v>0</v>
      </c>
      <c r="Q21" s="280">
        <v>0</v>
      </c>
      <c r="R21" s="280">
        <v>3603032</v>
      </c>
      <c r="S21" s="280">
        <v>0</v>
      </c>
      <c r="T21" s="183"/>
      <c r="U21" s="183"/>
      <c r="V21" s="183"/>
      <c r="W21" s="183"/>
      <c r="X21" s="183"/>
      <c r="Y21" s="236" t="b">
        <f t="shared" si="6"/>
        <v>1</v>
      </c>
      <c r="Z21" s="249">
        <f t="shared" si="7"/>
        <v>0.24890000000000001</v>
      </c>
      <c r="AA21" s="250" t="b">
        <f t="shared" si="8"/>
        <v>0</v>
      </c>
      <c r="AB21" s="250" t="b">
        <f t="shared" si="9"/>
        <v>1</v>
      </c>
    </row>
    <row r="22" spans="1:28" ht="36" customHeight="1" x14ac:dyDescent="0.2">
      <c r="A22" s="251">
        <v>20</v>
      </c>
      <c r="B22" s="252" t="s">
        <v>265</v>
      </c>
      <c r="C22" s="252" t="s">
        <v>230</v>
      </c>
      <c r="D22" s="261" t="s">
        <v>66</v>
      </c>
      <c r="E22" s="262" t="s">
        <v>90</v>
      </c>
      <c r="F22" s="261" t="s">
        <v>266</v>
      </c>
      <c r="G22" s="263" t="s">
        <v>377</v>
      </c>
      <c r="H22" s="261" t="s">
        <v>136</v>
      </c>
      <c r="I22" s="264">
        <v>0.28699999999999998</v>
      </c>
      <c r="J22" s="262" t="s">
        <v>267</v>
      </c>
      <c r="K22" s="284">
        <v>1908446.91</v>
      </c>
      <c r="L22" s="259">
        <f>ROUNDDOWN(K22*N22,0)</f>
        <v>954223</v>
      </c>
      <c r="M22" s="285">
        <f>K22-L22</f>
        <v>954223.90999999992</v>
      </c>
      <c r="N22" s="258">
        <v>0.5</v>
      </c>
      <c r="O22" s="259">
        <v>0</v>
      </c>
      <c r="P22" s="259">
        <v>0</v>
      </c>
      <c r="Q22" s="257">
        <v>0</v>
      </c>
      <c r="R22" s="285">
        <v>0</v>
      </c>
      <c r="S22" s="285">
        <f>L22</f>
        <v>954223</v>
      </c>
      <c r="T22" s="183"/>
      <c r="U22" s="183"/>
      <c r="V22" s="183"/>
      <c r="W22" s="183"/>
      <c r="X22" s="183"/>
      <c r="Y22" s="236" t="b">
        <f t="shared" si="6"/>
        <v>1</v>
      </c>
      <c r="Z22" s="249">
        <f t="shared" si="7"/>
        <v>0.5</v>
      </c>
      <c r="AA22" s="250" t="b">
        <f t="shared" si="8"/>
        <v>1</v>
      </c>
      <c r="AB22" s="250" t="b">
        <f t="shared" si="9"/>
        <v>1</v>
      </c>
    </row>
    <row r="23" spans="1:28" s="189" customFormat="1" ht="45" customHeight="1" x14ac:dyDescent="0.2">
      <c r="A23" s="275">
        <v>21</v>
      </c>
      <c r="B23" s="286" t="s">
        <v>268</v>
      </c>
      <c r="C23" s="287" t="s">
        <v>145</v>
      </c>
      <c r="D23" s="286" t="s">
        <v>54</v>
      </c>
      <c r="E23" s="288" t="s">
        <v>74</v>
      </c>
      <c r="F23" s="287" t="s">
        <v>269</v>
      </c>
      <c r="G23" s="289" t="s">
        <v>270</v>
      </c>
      <c r="H23" s="287" t="s">
        <v>136</v>
      </c>
      <c r="I23" s="290">
        <v>0.54600000000000004</v>
      </c>
      <c r="J23" s="291" t="s">
        <v>271</v>
      </c>
      <c r="K23" s="292">
        <v>4063496.14</v>
      </c>
      <c r="L23" s="247">
        <f t="shared" ref="L23:L42" si="15">ROUNDDOWN(K23*N23,0)</f>
        <v>2844447</v>
      </c>
      <c r="M23" s="183">
        <f t="shared" ref="M23:M43" si="16">K23-L23</f>
        <v>1219049.1400000001</v>
      </c>
      <c r="N23" s="248">
        <v>0.7</v>
      </c>
      <c r="O23" s="247">
        <v>0</v>
      </c>
      <c r="P23" s="247">
        <v>0</v>
      </c>
      <c r="Q23" s="181">
        <v>0</v>
      </c>
      <c r="R23" s="183">
        <v>0</v>
      </c>
      <c r="S23" s="183">
        <v>1358078</v>
      </c>
      <c r="T23" s="183">
        <v>1486369</v>
      </c>
      <c r="U23" s="183"/>
      <c r="V23" s="183"/>
      <c r="W23" s="183"/>
      <c r="X23" s="183"/>
      <c r="Y23" s="236" t="b">
        <f t="shared" si="6"/>
        <v>1</v>
      </c>
      <c r="Z23" s="249">
        <f t="shared" si="7"/>
        <v>0.7</v>
      </c>
      <c r="AA23" s="250" t="b">
        <f t="shared" si="8"/>
        <v>1</v>
      </c>
      <c r="AB23" s="250" t="b">
        <f t="shared" si="9"/>
        <v>1</v>
      </c>
    </row>
    <row r="24" spans="1:28" s="189" customFormat="1" ht="41.25" customHeight="1" x14ac:dyDescent="0.2">
      <c r="A24" s="251">
        <v>22</v>
      </c>
      <c r="B24" s="252" t="s">
        <v>272</v>
      </c>
      <c r="C24" s="252" t="s">
        <v>230</v>
      </c>
      <c r="D24" s="252" t="s">
        <v>102</v>
      </c>
      <c r="E24" s="253" t="s">
        <v>79</v>
      </c>
      <c r="F24" s="252" t="s">
        <v>273</v>
      </c>
      <c r="G24" s="254" t="s">
        <v>378</v>
      </c>
      <c r="H24" s="252" t="s">
        <v>132</v>
      </c>
      <c r="I24" s="255">
        <v>0.41299999999999998</v>
      </c>
      <c r="J24" s="253" t="s">
        <v>274</v>
      </c>
      <c r="K24" s="284">
        <v>2567477.12</v>
      </c>
      <c r="L24" s="259">
        <f t="shared" si="15"/>
        <v>1797233</v>
      </c>
      <c r="M24" s="285">
        <f t="shared" si="16"/>
        <v>770244.12000000011</v>
      </c>
      <c r="N24" s="258">
        <v>0.7</v>
      </c>
      <c r="O24" s="259">
        <v>0</v>
      </c>
      <c r="P24" s="259">
        <v>0</v>
      </c>
      <c r="Q24" s="257">
        <v>0</v>
      </c>
      <c r="R24" s="285">
        <v>0</v>
      </c>
      <c r="S24" s="285">
        <f t="shared" ref="S24:S42" si="17">L24</f>
        <v>1797233</v>
      </c>
      <c r="T24" s="183"/>
      <c r="U24" s="183"/>
      <c r="V24" s="183"/>
      <c r="W24" s="183"/>
      <c r="X24" s="183"/>
      <c r="Y24" s="236" t="b">
        <f t="shared" si="6"/>
        <v>1</v>
      </c>
      <c r="Z24" s="249">
        <f t="shared" si="7"/>
        <v>0.7</v>
      </c>
      <c r="AA24" s="250" t="b">
        <f t="shared" si="8"/>
        <v>1</v>
      </c>
      <c r="AB24" s="250" t="b">
        <f t="shared" si="9"/>
        <v>1</v>
      </c>
    </row>
    <row r="25" spans="1:28" s="206" customFormat="1" ht="32.25" customHeight="1" x14ac:dyDescent="0.2">
      <c r="A25" s="242">
        <v>23</v>
      </c>
      <c r="B25" s="286" t="s">
        <v>275</v>
      </c>
      <c r="C25" s="287" t="s">
        <v>145</v>
      </c>
      <c r="D25" s="287" t="s">
        <v>68</v>
      </c>
      <c r="E25" s="288" t="s">
        <v>92</v>
      </c>
      <c r="F25" s="287" t="s">
        <v>185</v>
      </c>
      <c r="G25" s="289" t="s">
        <v>276</v>
      </c>
      <c r="H25" s="287" t="s">
        <v>132</v>
      </c>
      <c r="I25" s="290">
        <v>1.0549999999999999</v>
      </c>
      <c r="J25" s="291" t="s">
        <v>277</v>
      </c>
      <c r="K25" s="292">
        <v>5968782.5700000003</v>
      </c>
      <c r="L25" s="247">
        <v>4178147.26</v>
      </c>
      <c r="M25" s="183">
        <f t="shared" si="16"/>
        <v>1790635.3100000005</v>
      </c>
      <c r="N25" s="277">
        <f>L25/K25</f>
        <v>0.69999990969682779</v>
      </c>
      <c r="O25" s="247">
        <v>0</v>
      </c>
      <c r="P25" s="247">
        <v>0</v>
      </c>
      <c r="Q25" s="181">
        <v>0</v>
      </c>
      <c r="R25" s="183">
        <v>0</v>
      </c>
      <c r="S25" s="183">
        <v>4134738.26</v>
      </c>
      <c r="T25" s="280">
        <v>43409</v>
      </c>
      <c r="U25" s="280"/>
      <c r="V25" s="280"/>
      <c r="W25" s="280"/>
      <c r="X25" s="280"/>
      <c r="Y25" s="236" t="b">
        <f t="shared" si="6"/>
        <v>1</v>
      </c>
      <c r="Z25" s="249">
        <f t="shared" si="7"/>
        <v>0.7</v>
      </c>
      <c r="AA25" s="250" t="b">
        <f t="shared" si="8"/>
        <v>0</v>
      </c>
      <c r="AB25" s="250" t="b">
        <f t="shared" si="9"/>
        <v>1</v>
      </c>
    </row>
    <row r="26" spans="1:28" ht="59.25" customHeight="1" x14ac:dyDescent="0.2">
      <c r="A26" s="242">
        <v>24</v>
      </c>
      <c r="B26" s="242" t="s">
        <v>278</v>
      </c>
      <c r="C26" s="275" t="s">
        <v>145</v>
      </c>
      <c r="D26" s="275" t="s">
        <v>55</v>
      </c>
      <c r="E26" s="293" t="s">
        <v>75</v>
      </c>
      <c r="F26" s="275" t="s">
        <v>269</v>
      </c>
      <c r="G26" s="245" t="s">
        <v>380</v>
      </c>
      <c r="H26" s="275" t="s">
        <v>136</v>
      </c>
      <c r="I26" s="275">
        <v>1.494</v>
      </c>
      <c r="J26" s="244" t="s">
        <v>279</v>
      </c>
      <c r="K26" s="183">
        <v>11276527.779999999</v>
      </c>
      <c r="L26" s="247">
        <f t="shared" si="15"/>
        <v>7893569</v>
      </c>
      <c r="M26" s="183">
        <f t="shared" si="16"/>
        <v>3382958.7799999993</v>
      </c>
      <c r="N26" s="277">
        <v>0.7</v>
      </c>
      <c r="O26" s="247">
        <v>0</v>
      </c>
      <c r="P26" s="247">
        <v>0</v>
      </c>
      <c r="Q26" s="181">
        <v>0</v>
      </c>
      <c r="R26" s="183">
        <v>0</v>
      </c>
      <c r="S26" s="183">
        <v>2520000</v>
      </c>
      <c r="T26" s="280">
        <v>5373569</v>
      </c>
      <c r="U26" s="280"/>
      <c r="V26" s="280"/>
      <c r="W26" s="280"/>
      <c r="X26" s="280"/>
      <c r="Y26" s="236" t="b">
        <f t="shared" si="6"/>
        <v>1</v>
      </c>
      <c r="Z26" s="249">
        <f t="shared" si="7"/>
        <v>0.7</v>
      </c>
      <c r="AA26" s="250" t="b">
        <f t="shared" si="8"/>
        <v>1</v>
      </c>
      <c r="AB26" s="250" t="b">
        <f t="shared" si="9"/>
        <v>1</v>
      </c>
    </row>
    <row r="27" spans="1:28" ht="36.75" customHeight="1" x14ac:dyDescent="0.2">
      <c r="A27" s="251">
        <v>25</v>
      </c>
      <c r="B27" s="252" t="s">
        <v>283</v>
      </c>
      <c r="C27" s="261" t="s">
        <v>230</v>
      </c>
      <c r="D27" s="252" t="s">
        <v>52</v>
      </c>
      <c r="E27" s="294" t="s">
        <v>72</v>
      </c>
      <c r="F27" s="252" t="s">
        <v>179</v>
      </c>
      <c r="G27" s="263" t="s">
        <v>284</v>
      </c>
      <c r="H27" s="261" t="s">
        <v>136</v>
      </c>
      <c r="I27" s="264">
        <v>0.504</v>
      </c>
      <c r="J27" s="253" t="s">
        <v>285</v>
      </c>
      <c r="K27" s="284">
        <v>3272850.93</v>
      </c>
      <c r="L27" s="259">
        <f t="shared" si="15"/>
        <v>2290995</v>
      </c>
      <c r="M27" s="285">
        <f t="shared" si="16"/>
        <v>981855.93000000017</v>
      </c>
      <c r="N27" s="258">
        <v>0.7</v>
      </c>
      <c r="O27" s="259">
        <v>0</v>
      </c>
      <c r="P27" s="259">
        <v>0</v>
      </c>
      <c r="Q27" s="257">
        <v>0</v>
      </c>
      <c r="R27" s="285">
        <v>0</v>
      </c>
      <c r="S27" s="285">
        <f t="shared" si="17"/>
        <v>2290995</v>
      </c>
      <c r="T27" s="295"/>
      <c r="U27" s="295"/>
      <c r="V27" s="295"/>
      <c r="W27" s="295"/>
      <c r="X27" s="295"/>
      <c r="Y27" s="236" t="b">
        <f t="shared" si="6"/>
        <v>1</v>
      </c>
      <c r="Z27" s="249">
        <f t="shared" si="7"/>
        <v>0.7</v>
      </c>
      <c r="AA27" s="250" t="b">
        <f t="shared" si="8"/>
        <v>1</v>
      </c>
      <c r="AB27" s="250" t="b">
        <f t="shared" si="9"/>
        <v>1</v>
      </c>
    </row>
    <row r="28" spans="1:28" ht="22.8" x14ac:dyDescent="0.2">
      <c r="A28" s="242">
        <v>26</v>
      </c>
      <c r="B28" s="242" t="s">
        <v>286</v>
      </c>
      <c r="C28" s="275" t="s">
        <v>145</v>
      </c>
      <c r="D28" s="242" t="s">
        <v>103</v>
      </c>
      <c r="E28" s="293" t="s">
        <v>77</v>
      </c>
      <c r="F28" s="275" t="s">
        <v>287</v>
      </c>
      <c r="G28" s="245" t="s">
        <v>288</v>
      </c>
      <c r="H28" s="275" t="s">
        <v>136</v>
      </c>
      <c r="I28" s="296">
        <v>1.0469999999999999</v>
      </c>
      <c r="J28" s="244" t="s">
        <v>289</v>
      </c>
      <c r="K28" s="183">
        <v>13492178.039999999</v>
      </c>
      <c r="L28" s="247">
        <f t="shared" si="15"/>
        <v>6746089</v>
      </c>
      <c r="M28" s="183">
        <f t="shared" si="16"/>
        <v>6746089.0399999991</v>
      </c>
      <c r="N28" s="277">
        <v>0.5</v>
      </c>
      <c r="O28" s="247">
        <v>0</v>
      </c>
      <c r="P28" s="247">
        <v>0</v>
      </c>
      <c r="Q28" s="181">
        <v>0</v>
      </c>
      <c r="R28" s="183">
        <v>0</v>
      </c>
      <c r="S28" s="183">
        <v>1230281</v>
      </c>
      <c r="T28" s="280">
        <v>3038559</v>
      </c>
      <c r="U28" s="280">
        <v>2477249</v>
      </c>
      <c r="V28" s="280"/>
      <c r="W28" s="280"/>
      <c r="X28" s="280"/>
      <c r="Y28" s="236" t="b">
        <f t="shared" si="6"/>
        <v>1</v>
      </c>
      <c r="Z28" s="249">
        <f t="shared" si="7"/>
        <v>0.5</v>
      </c>
      <c r="AA28" s="250" t="b">
        <f t="shared" si="8"/>
        <v>1</v>
      </c>
      <c r="AB28" s="250" t="b">
        <f t="shared" si="9"/>
        <v>1</v>
      </c>
    </row>
    <row r="29" spans="1:28" ht="36" customHeight="1" x14ac:dyDescent="0.2">
      <c r="A29" s="251">
        <v>27</v>
      </c>
      <c r="B29" s="252" t="s">
        <v>290</v>
      </c>
      <c r="C29" s="252" t="s">
        <v>230</v>
      </c>
      <c r="D29" s="252" t="s">
        <v>122</v>
      </c>
      <c r="E29" s="253" t="s">
        <v>228</v>
      </c>
      <c r="F29" s="252" t="s">
        <v>185</v>
      </c>
      <c r="G29" s="254" t="s">
        <v>384</v>
      </c>
      <c r="H29" s="252" t="s">
        <v>136</v>
      </c>
      <c r="I29" s="255">
        <v>0.439</v>
      </c>
      <c r="J29" s="253" t="s">
        <v>291</v>
      </c>
      <c r="K29" s="284">
        <v>933296.14</v>
      </c>
      <c r="L29" s="259">
        <f t="shared" si="15"/>
        <v>466648</v>
      </c>
      <c r="M29" s="285">
        <f t="shared" si="16"/>
        <v>466648.14</v>
      </c>
      <c r="N29" s="258">
        <v>0.5</v>
      </c>
      <c r="O29" s="259">
        <v>0</v>
      </c>
      <c r="P29" s="259">
        <v>0</v>
      </c>
      <c r="Q29" s="257">
        <v>0</v>
      </c>
      <c r="R29" s="285">
        <v>0</v>
      </c>
      <c r="S29" s="285">
        <f t="shared" si="17"/>
        <v>466648</v>
      </c>
      <c r="T29" s="183"/>
      <c r="U29" s="183"/>
      <c r="V29" s="183"/>
      <c r="W29" s="183"/>
      <c r="X29" s="183"/>
      <c r="Y29" s="236" t="b">
        <f t="shared" si="6"/>
        <v>1</v>
      </c>
      <c r="Z29" s="249">
        <f t="shared" si="7"/>
        <v>0.5</v>
      </c>
      <c r="AA29" s="250" t="b">
        <f t="shared" si="8"/>
        <v>1</v>
      </c>
      <c r="AB29" s="250" t="b">
        <f t="shared" si="9"/>
        <v>1</v>
      </c>
    </row>
    <row r="30" spans="1:28" ht="34.5" customHeight="1" x14ac:dyDescent="0.2">
      <c r="A30" s="297">
        <v>28</v>
      </c>
      <c r="B30" s="252" t="s">
        <v>292</v>
      </c>
      <c r="C30" s="252" t="s">
        <v>230</v>
      </c>
      <c r="D30" s="252" t="s">
        <v>51</v>
      </c>
      <c r="E30" s="253" t="s">
        <v>70</v>
      </c>
      <c r="F30" s="252" t="s">
        <v>293</v>
      </c>
      <c r="G30" s="254" t="s">
        <v>299</v>
      </c>
      <c r="H30" s="252" t="s">
        <v>136</v>
      </c>
      <c r="I30" s="255">
        <v>1.38</v>
      </c>
      <c r="J30" s="253" t="s">
        <v>291</v>
      </c>
      <c r="K30" s="284">
        <v>1647907.85</v>
      </c>
      <c r="L30" s="259">
        <f t="shared" si="15"/>
        <v>988744</v>
      </c>
      <c r="M30" s="285">
        <f t="shared" si="16"/>
        <v>659163.85000000009</v>
      </c>
      <c r="N30" s="258">
        <v>0.6</v>
      </c>
      <c r="O30" s="259">
        <v>0</v>
      </c>
      <c r="P30" s="259">
        <v>0</v>
      </c>
      <c r="Q30" s="257">
        <v>0</v>
      </c>
      <c r="R30" s="285">
        <v>0</v>
      </c>
      <c r="S30" s="285">
        <f t="shared" si="17"/>
        <v>988744</v>
      </c>
      <c r="T30" s="183"/>
      <c r="U30" s="183"/>
      <c r="V30" s="183"/>
      <c r="W30" s="183"/>
      <c r="X30" s="183"/>
      <c r="Y30" s="236" t="b">
        <f t="shared" si="6"/>
        <v>1</v>
      </c>
      <c r="Z30" s="249">
        <f t="shared" si="7"/>
        <v>0.6</v>
      </c>
      <c r="AA30" s="250" t="b">
        <f t="shared" si="8"/>
        <v>1</v>
      </c>
      <c r="AB30" s="250" t="b">
        <f t="shared" si="9"/>
        <v>1</v>
      </c>
    </row>
    <row r="31" spans="1:28" ht="34.5" customHeight="1" x14ac:dyDescent="0.2">
      <c r="A31" s="275">
        <v>29</v>
      </c>
      <c r="B31" s="286" t="s">
        <v>294</v>
      </c>
      <c r="C31" s="287" t="s">
        <v>145</v>
      </c>
      <c r="D31" s="286" t="s">
        <v>295</v>
      </c>
      <c r="E31" s="288" t="s">
        <v>74</v>
      </c>
      <c r="F31" s="287" t="s">
        <v>269</v>
      </c>
      <c r="G31" s="289" t="s">
        <v>298</v>
      </c>
      <c r="H31" s="287" t="s">
        <v>132</v>
      </c>
      <c r="I31" s="290">
        <v>0.58899999999999997</v>
      </c>
      <c r="J31" s="291" t="s">
        <v>271</v>
      </c>
      <c r="K31" s="292">
        <v>4686613.71</v>
      </c>
      <c r="L31" s="247">
        <f t="shared" si="15"/>
        <v>3280629</v>
      </c>
      <c r="M31" s="183">
        <f t="shared" si="16"/>
        <v>1405984.71</v>
      </c>
      <c r="N31" s="248">
        <v>0.7</v>
      </c>
      <c r="O31" s="247">
        <v>0</v>
      </c>
      <c r="P31" s="247">
        <v>0</v>
      </c>
      <c r="Q31" s="181">
        <v>0</v>
      </c>
      <c r="R31" s="183">
        <v>0</v>
      </c>
      <c r="S31" s="183">
        <v>2158188</v>
      </c>
      <c r="T31" s="280">
        <v>1122441</v>
      </c>
      <c r="U31" s="295"/>
      <c r="V31" s="295"/>
      <c r="W31" s="295"/>
      <c r="X31" s="295"/>
      <c r="Y31" s="236" t="b">
        <f t="shared" si="6"/>
        <v>1</v>
      </c>
      <c r="Z31" s="249">
        <f t="shared" si="7"/>
        <v>0.7</v>
      </c>
      <c r="AA31" s="250" t="b">
        <f t="shared" si="8"/>
        <v>1</v>
      </c>
      <c r="AB31" s="250" t="b">
        <f t="shared" si="9"/>
        <v>1</v>
      </c>
    </row>
    <row r="32" spans="1:28" ht="34.5" customHeight="1" x14ac:dyDescent="0.2">
      <c r="A32" s="297">
        <v>30</v>
      </c>
      <c r="B32" s="297" t="s">
        <v>296</v>
      </c>
      <c r="C32" s="251" t="s">
        <v>230</v>
      </c>
      <c r="D32" s="297" t="s">
        <v>62</v>
      </c>
      <c r="E32" s="298" t="s">
        <v>86</v>
      </c>
      <c r="F32" s="297" t="s">
        <v>293</v>
      </c>
      <c r="G32" s="299" t="s">
        <v>297</v>
      </c>
      <c r="H32" s="251" t="s">
        <v>136</v>
      </c>
      <c r="I32" s="300">
        <v>0.439</v>
      </c>
      <c r="J32" s="298" t="s">
        <v>237</v>
      </c>
      <c r="K32" s="257">
        <v>1669233.31</v>
      </c>
      <c r="L32" s="259">
        <f t="shared" si="15"/>
        <v>834616</v>
      </c>
      <c r="M32" s="285">
        <f t="shared" si="16"/>
        <v>834617.31</v>
      </c>
      <c r="N32" s="301">
        <v>0.5</v>
      </c>
      <c r="O32" s="259">
        <v>0</v>
      </c>
      <c r="P32" s="259">
        <v>0</v>
      </c>
      <c r="Q32" s="257">
        <v>0</v>
      </c>
      <c r="R32" s="285">
        <v>0</v>
      </c>
      <c r="S32" s="285">
        <f t="shared" si="17"/>
        <v>834616</v>
      </c>
      <c r="T32" s="280"/>
      <c r="U32" s="280"/>
      <c r="V32" s="280"/>
      <c r="W32" s="280"/>
      <c r="X32" s="280"/>
      <c r="Y32" s="236" t="b">
        <f t="shared" si="6"/>
        <v>1</v>
      </c>
      <c r="Z32" s="249">
        <f t="shared" si="7"/>
        <v>0.5</v>
      </c>
      <c r="AA32" s="250" t="b">
        <f t="shared" si="8"/>
        <v>1</v>
      </c>
      <c r="AB32" s="250" t="b">
        <f t="shared" si="9"/>
        <v>1</v>
      </c>
    </row>
    <row r="33" spans="1:28" s="206" customFormat="1" ht="33.75" customHeight="1" x14ac:dyDescent="0.2">
      <c r="A33" s="251">
        <v>31</v>
      </c>
      <c r="B33" s="252" t="s">
        <v>300</v>
      </c>
      <c r="C33" s="302" t="s">
        <v>230</v>
      </c>
      <c r="D33" s="302" t="s">
        <v>68</v>
      </c>
      <c r="E33" s="294" t="s">
        <v>92</v>
      </c>
      <c r="F33" s="302" t="s">
        <v>185</v>
      </c>
      <c r="G33" s="254" t="s">
        <v>301</v>
      </c>
      <c r="H33" s="302" t="s">
        <v>132</v>
      </c>
      <c r="I33" s="303">
        <v>0.55900000000000005</v>
      </c>
      <c r="J33" s="294" t="s">
        <v>302</v>
      </c>
      <c r="K33" s="256">
        <v>2861177.42</v>
      </c>
      <c r="L33" s="259">
        <v>2002823.74</v>
      </c>
      <c r="M33" s="285">
        <f t="shared" si="16"/>
        <v>858353.67999999993</v>
      </c>
      <c r="N33" s="258">
        <f>L33/K33</f>
        <v>0.69999984132406579</v>
      </c>
      <c r="O33" s="259">
        <v>0</v>
      </c>
      <c r="P33" s="259">
        <v>0</v>
      </c>
      <c r="Q33" s="257">
        <v>0</v>
      </c>
      <c r="R33" s="285">
        <v>0</v>
      </c>
      <c r="S33" s="285">
        <f t="shared" si="17"/>
        <v>2002823.74</v>
      </c>
      <c r="T33" s="295"/>
      <c r="U33" s="295"/>
      <c r="V33" s="295"/>
      <c r="W33" s="295"/>
      <c r="X33" s="295"/>
      <c r="Y33" s="236" t="b">
        <f t="shared" si="6"/>
        <v>1</v>
      </c>
      <c r="Z33" s="249">
        <f t="shared" si="7"/>
        <v>0.7</v>
      </c>
      <c r="AA33" s="250" t="b">
        <f t="shared" si="8"/>
        <v>0</v>
      </c>
      <c r="AB33" s="250" t="b">
        <f t="shared" si="9"/>
        <v>1</v>
      </c>
    </row>
    <row r="34" spans="1:28" ht="33" customHeight="1" x14ac:dyDescent="0.2">
      <c r="A34" s="251">
        <v>32</v>
      </c>
      <c r="B34" s="252" t="s">
        <v>303</v>
      </c>
      <c r="C34" s="252" t="s">
        <v>230</v>
      </c>
      <c r="D34" s="252" t="s">
        <v>67</v>
      </c>
      <c r="E34" s="253" t="s">
        <v>91</v>
      </c>
      <c r="F34" s="252" t="s">
        <v>266</v>
      </c>
      <c r="G34" s="254" t="s">
        <v>304</v>
      </c>
      <c r="H34" s="252" t="s">
        <v>254</v>
      </c>
      <c r="I34" s="255">
        <v>0.26400000000000001</v>
      </c>
      <c r="J34" s="253" t="s">
        <v>305</v>
      </c>
      <c r="K34" s="284">
        <v>414698.92</v>
      </c>
      <c r="L34" s="259">
        <f t="shared" si="15"/>
        <v>248819</v>
      </c>
      <c r="M34" s="285">
        <f t="shared" si="16"/>
        <v>165879.91999999998</v>
      </c>
      <c r="N34" s="258">
        <v>0.6</v>
      </c>
      <c r="O34" s="259">
        <v>0</v>
      </c>
      <c r="P34" s="259">
        <v>0</v>
      </c>
      <c r="Q34" s="257">
        <v>0</v>
      </c>
      <c r="R34" s="285">
        <v>0</v>
      </c>
      <c r="S34" s="285">
        <f t="shared" si="17"/>
        <v>248819</v>
      </c>
      <c r="T34" s="183"/>
      <c r="U34" s="183"/>
      <c r="V34" s="183"/>
      <c r="W34" s="183"/>
      <c r="X34" s="183"/>
      <c r="Y34" s="236" t="b">
        <f t="shared" si="6"/>
        <v>1</v>
      </c>
      <c r="Z34" s="249">
        <f t="shared" si="7"/>
        <v>0.6</v>
      </c>
      <c r="AA34" s="250" t="b">
        <f t="shared" si="8"/>
        <v>1</v>
      </c>
      <c r="AB34" s="250" t="b">
        <f t="shared" si="9"/>
        <v>1</v>
      </c>
    </row>
    <row r="35" spans="1:28" ht="34.5" customHeight="1" x14ac:dyDescent="0.2">
      <c r="A35" s="304">
        <v>33</v>
      </c>
      <c r="B35" s="252" t="s">
        <v>309</v>
      </c>
      <c r="C35" s="261" t="s">
        <v>230</v>
      </c>
      <c r="D35" s="252" t="s">
        <v>122</v>
      </c>
      <c r="E35" s="253" t="s">
        <v>228</v>
      </c>
      <c r="F35" s="252" t="s">
        <v>185</v>
      </c>
      <c r="G35" s="263" t="s">
        <v>310</v>
      </c>
      <c r="H35" s="261" t="s">
        <v>132</v>
      </c>
      <c r="I35" s="264">
        <v>0.73299999999999998</v>
      </c>
      <c r="J35" s="253" t="s">
        <v>291</v>
      </c>
      <c r="K35" s="284">
        <v>893928.94</v>
      </c>
      <c r="L35" s="259">
        <f t="shared" si="15"/>
        <v>446964</v>
      </c>
      <c r="M35" s="285">
        <f t="shared" si="16"/>
        <v>446964.93999999994</v>
      </c>
      <c r="N35" s="301">
        <v>0.5</v>
      </c>
      <c r="O35" s="259">
        <v>0</v>
      </c>
      <c r="P35" s="259">
        <v>0</v>
      </c>
      <c r="Q35" s="257">
        <v>0</v>
      </c>
      <c r="R35" s="285">
        <v>0</v>
      </c>
      <c r="S35" s="285">
        <f t="shared" si="17"/>
        <v>446964</v>
      </c>
      <c r="T35" s="305"/>
      <c r="U35" s="305"/>
      <c r="V35" s="305"/>
      <c r="W35" s="305"/>
      <c r="X35" s="305"/>
      <c r="Y35" s="236" t="b">
        <f t="shared" si="6"/>
        <v>1</v>
      </c>
      <c r="Z35" s="249">
        <f t="shared" si="7"/>
        <v>0.5</v>
      </c>
      <c r="AA35" s="250" t="b">
        <f t="shared" si="8"/>
        <v>1</v>
      </c>
      <c r="AB35" s="250" t="b">
        <f t="shared" si="9"/>
        <v>1</v>
      </c>
    </row>
    <row r="36" spans="1:28" ht="47.25" customHeight="1" x14ac:dyDescent="0.2">
      <c r="A36" s="297">
        <v>34</v>
      </c>
      <c r="B36" s="252" t="s">
        <v>315</v>
      </c>
      <c r="C36" s="252" t="s">
        <v>230</v>
      </c>
      <c r="D36" s="252" t="s">
        <v>312</v>
      </c>
      <c r="E36" s="253" t="s">
        <v>106</v>
      </c>
      <c r="F36" s="252" t="s">
        <v>313</v>
      </c>
      <c r="G36" s="254" t="s">
        <v>316</v>
      </c>
      <c r="H36" s="252" t="s">
        <v>132</v>
      </c>
      <c r="I36" s="255">
        <v>0.312</v>
      </c>
      <c r="J36" s="253" t="s">
        <v>317</v>
      </c>
      <c r="K36" s="284">
        <v>1170484.0900000001</v>
      </c>
      <c r="L36" s="259">
        <f t="shared" si="15"/>
        <v>585242</v>
      </c>
      <c r="M36" s="285">
        <f t="shared" si="16"/>
        <v>585242.09000000008</v>
      </c>
      <c r="N36" s="301">
        <v>0.5</v>
      </c>
      <c r="O36" s="259">
        <v>0</v>
      </c>
      <c r="P36" s="259">
        <v>0</v>
      </c>
      <c r="Q36" s="257">
        <v>0</v>
      </c>
      <c r="R36" s="285">
        <v>0</v>
      </c>
      <c r="S36" s="285">
        <f t="shared" si="17"/>
        <v>585242</v>
      </c>
      <c r="T36" s="295"/>
      <c r="U36" s="295"/>
      <c r="V36" s="295"/>
      <c r="W36" s="295"/>
      <c r="X36" s="295"/>
      <c r="Y36" s="236" t="b">
        <f t="shared" si="6"/>
        <v>1</v>
      </c>
      <c r="Z36" s="249">
        <f t="shared" si="7"/>
        <v>0.5</v>
      </c>
      <c r="AA36" s="250" t="b">
        <f t="shared" si="8"/>
        <v>1</v>
      </c>
      <c r="AB36" s="250" t="b">
        <f t="shared" si="9"/>
        <v>1</v>
      </c>
    </row>
    <row r="37" spans="1:28" ht="36.75" customHeight="1" x14ac:dyDescent="0.2">
      <c r="A37" s="304">
        <v>35</v>
      </c>
      <c r="B37" s="252" t="s">
        <v>318</v>
      </c>
      <c r="C37" s="302" t="s">
        <v>230</v>
      </c>
      <c r="D37" s="302" t="s">
        <v>59</v>
      </c>
      <c r="E37" s="294" t="s">
        <v>108</v>
      </c>
      <c r="F37" s="302" t="s">
        <v>266</v>
      </c>
      <c r="G37" s="254" t="s">
        <v>325</v>
      </c>
      <c r="H37" s="302" t="s">
        <v>136</v>
      </c>
      <c r="I37" s="303">
        <v>0.27300000000000002</v>
      </c>
      <c r="J37" s="294" t="s">
        <v>319</v>
      </c>
      <c r="K37" s="256">
        <v>1715337.53</v>
      </c>
      <c r="L37" s="259">
        <f t="shared" si="15"/>
        <v>857668</v>
      </c>
      <c r="M37" s="285">
        <f t="shared" si="16"/>
        <v>857669.53</v>
      </c>
      <c r="N37" s="306">
        <v>0.5</v>
      </c>
      <c r="O37" s="259">
        <v>0</v>
      </c>
      <c r="P37" s="259">
        <v>0</v>
      </c>
      <c r="Q37" s="257">
        <v>0</v>
      </c>
      <c r="R37" s="285">
        <v>0</v>
      </c>
      <c r="S37" s="285">
        <f t="shared" si="17"/>
        <v>857668</v>
      </c>
      <c r="T37" s="295"/>
      <c r="U37" s="295"/>
      <c r="V37" s="295"/>
      <c r="W37" s="295"/>
      <c r="X37" s="295"/>
      <c r="Y37" s="236" t="b">
        <f t="shared" si="6"/>
        <v>1</v>
      </c>
      <c r="Z37" s="249">
        <f t="shared" si="7"/>
        <v>0.5</v>
      </c>
      <c r="AA37" s="250" t="b">
        <f t="shared" si="8"/>
        <v>1</v>
      </c>
      <c r="AB37" s="250" t="b">
        <f t="shared" si="9"/>
        <v>1</v>
      </c>
    </row>
    <row r="38" spans="1:28" ht="36.75" customHeight="1" x14ac:dyDescent="0.2">
      <c r="A38" s="297">
        <v>36</v>
      </c>
      <c r="B38" s="297" t="s">
        <v>328</v>
      </c>
      <c r="C38" s="251" t="s">
        <v>230</v>
      </c>
      <c r="D38" s="297" t="s">
        <v>56</v>
      </c>
      <c r="E38" s="298" t="s">
        <v>78</v>
      </c>
      <c r="F38" s="297" t="s">
        <v>293</v>
      </c>
      <c r="G38" s="299" t="s">
        <v>330</v>
      </c>
      <c r="H38" s="251" t="s">
        <v>136</v>
      </c>
      <c r="I38" s="300">
        <v>0.248</v>
      </c>
      <c r="J38" s="307" t="s">
        <v>329</v>
      </c>
      <c r="K38" s="257">
        <v>1214879.3400000001</v>
      </c>
      <c r="L38" s="259">
        <f>ROUNDDOWN(K38*N38,0)</f>
        <v>728927</v>
      </c>
      <c r="M38" s="285">
        <f>K38-L38</f>
        <v>485952.34000000008</v>
      </c>
      <c r="N38" s="301">
        <v>0.6</v>
      </c>
      <c r="O38" s="259">
        <v>0</v>
      </c>
      <c r="P38" s="259">
        <v>0</v>
      </c>
      <c r="Q38" s="257">
        <v>0</v>
      </c>
      <c r="R38" s="285">
        <v>0</v>
      </c>
      <c r="S38" s="285">
        <f>L38</f>
        <v>728927</v>
      </c>
      <c r="T38" s="295"/>
      <c r="U38" s="295"/>
      <c r="V38" s="295"/>
      <c r="W38" s="295"/>
      <c r="X38" s="295"/>
      <c r="Y38" s="236" t="b">
        <f t="shared" si="6"/>
        <v>1</v>
      </c>
      <c r="Z38" s="249">
        <f t="shared" si="7"/>
        <v>0.6</v>
      </c>
      <c r="AA38" s="250" t="b">
        <f t="shared" si="8"/>
        <v>1</v>
      </c>
      <c r="AB38" s="250" t="b">
        <f t="shared" si="9"/>
        <v>1</v>
      </c>
    </row>
    <row r="39" spans="1:28" ht="36.75" customHeight="1" x14ac:dyDescent="0.2">
      <c r="A39" s="297">
        <v>37</v>
      </c>
      <c r="B39" s="297" t="s">
        <v>353</v>
      </c>
      <c r="C39" s="251" t="s">
        <v>230</v>
      </c>
      <c r="D39" s="251" t="s">
        <v>65</v>
      </c>
      <c r="E39" s="298" t="s">
        <v>89</v>
      </c>
      <c r="F39" s="251" t="s">
        <v>266</v>
      </c>
      <c r="G39" s="299" t="s">
        <v>354</v>
      </c>
      <c r="H39" s="251" t="s">
        <v>136</v>
      </c>
      <c r="I39" s="251">
        <v>0.153</v>
      </c>
      <c r="J39" s="298" t="s">
        <v>291</v>
      </c>
      <c r="K39" s="285">
        <v>564728.57999999996</v>
      </c>
      <c r="L39" s="259">
        <f>ROUNDDOWN(K39*N39,0)</f>
        <v>338837</v>
      </c>
      <c r="M39" s="285">
        <f>K39-L39</f>
        <v>225891.57999999996</v>
      </c>
      <c r="N39" s="301">
        <v>0.6</v>
      </c>
      <c r="O39" s="259">
        <v>0</v>
      </c>
      <c r="P39" s="259">
        <v>0</v>
      </c>
      <c r="Q39" s="257">
        <v>0</v>
      </c>
      <c r="R39" s="285">
        <v>0</v>
      </c>
      <c r="S39" s="285">
        <f>L39</f>
        <v>338837</v>
      </c>
      <c r="T39" s="280"/>
      <c r="U39" s="295"/>
      <c r="V39" s="295"/>
      <c r="W39" s="295"/>
      <c r="X39" s="295"/>
      <c r="Y39" s="236" t="b">
        <f t="shared" si="6"/>
        <v>1</v>
      </c>
      <c r="Z39" s="249">
        <f t="shared" si="7"/>
        <v>0.6</v>
      </c>
      <c r="AA39" s="250" t="b">
        <f t="shared" si="8"/>
        <v>1</v>
      </c>
      <c r="AB39" s="250" t="b">
        <f t="shared" si="9"/>
        <v>1</v>
      </c>
    </row>
    <row r="40" spans="1:28" ht="36.75" customHeight="1" x14ac:dyDescent="0.2">
      <c r="A40" s="242">
        <v>38</v>
      </c>
      <c r="B40" s="242" t="s">
        <v>320</v>
      </c>
      <c r="C40" s="275" t="s">
        <v>145</v>
      </c>
      <c r="D40" s="242" t="s">
        <v>94</v>
      </c>
      <c r="E40" s="293" t="s">
        <v>95</v>
      </c>
      <c r="F40" s="242" t="s">
        <v>293</v>
      </c>
      <c r="G40" s="245" t="s">
        <v>321</v>
      </c>
      <c r="H40" s="275" t="s">
        <v>132</v>
      </c>
      <c r="I40" s="296">
        <v>0.46899999999999997</v>
      </c>
      <c r="J40" s="244" t="s">
        <v>308</v>
      </c>
      <c r="K40" s="181">
        <v>3071242.25</v>
      </c>
      <c r="L40" s="247">
        <f t="shared" si="15"/>
        <v>1842745</v>
      </c>
      <c r="M40" s="183">
        <f t="shared" si="16"/>
        <v>1228497.25</v>
      </c>
      <c r="N40" s="277">
        <v>0.6</v>
      </c>
      <c r="O40" s="247">
        <v>0</v>
      </c>
      <c r="P40" s="247">
        <v>0</v>
      </c>
      <c r="Q40" s="181">
        <v>0</v>
      </c>
      <c r="R40" s="183">
        <v>0</v>
      </c>
      <c r="S40" s="183">
        <v>1412508</v>
      </c>
      <c r="T40" s="280">
        <v>430237</v>
      </c>
      <c r="U40" s="280"/>
      <c r="V40" s="280"/>
      <c r="W40" s="280"/>
      <c r="X40" s="280"/>
      <c r="Y40" s="236" t="b">
        <f t="shared" si="6"/>
        <v>1</v>
      </c>
      <c r="Z40" s="249">
        <f t="shared" si="7"/>
        <v>0.6</v>
      </c>
      <c r="AA40" s="250" t="b">
        <f t="shared" si="8"/>
        <v>1</v>
      </c>
      <c r="AB40" s="250" t="b">
        <f t="shared" si="9"/>
        <v>1</v>
      </c>
    </row>
    <row r="41" spans="1:28" ht="36.75" customHeight="1" x14ac:dyDescent="0.2">
      <c r="A41" s="297">
        <v>39</v>
      </c>
      <c r="B41" s="252" t="s">
        <v>361</v>
      </c>
      <c r="C41" s="252" t="s">
        <v>230</v>
      </c>
      <c r="D41" s="252" t="s">
        <v>127</v>
      </c>
      <c r="E41" s="253" t="s">
        <v>128</v>
      </c>
      <c r="F41" s="252" t="s">
        <v>362</v>
      </c>
      <c r="G41" s="254" t="s">
        <v>363</v>
      </c>
      <c r="H41" s="252" t="s">
        <v>254</v>
      </c>
      <c r="I41" s="255">
        <v>0.55700000000000005</v>
      </c>
      <c r="J41" s="253" t="s">
        <v>250</v>
      </c>
      <c r="K41" s="284">
        <v>1720012.01</v>
      </c>
      <c r="L41" s="259">
        <f>ROUNDDOWN(K41*N41,0)</f>
        <v>1204008</v>
      </c>
      <c r="M41" s="285">
        <f>K41-L41</f>
        <v>516004.01</v>
      </c>
      <c r="N41" s="301">
        <v>0.7</v>
      </c>
      <c r="O41" s="259">
        <v>0</v>
      </c>
      <c r="P41" s="259">
        <v>0</v>
      </c>
      <c r="Q41" s="257">
        <v>0</v>
      </c>
      <c r="R41" s="285">
        <v>0</v>
      </c>
      <c r="S41" s="285">
        <f>L41</f>
        <v>1204008</v>
      </c>
      <c r="T41" s="280"/>
      <c r="U41" s="280"/>
      <c r="V41" s="280"/>
      <c r="W41" s="280"/>
      <c r="X41" s="280"/>
      <c r="Y41" s="236" t="b">
        <f t="shared" si="6"/>
        <v>1</v>
      </c>
      <c r="Z41" s="249">
        <f t="shared" si="7"/>
        <v>0.7</v>
      </c>
      <c r="AA41" s="250" t="b">
        <f t="shared" si="8"/>
        <v>1</v>
      </c>
      <c r="AB41" s="250" t="b">
        <f t="shared" si="9"/>
        <v>1</v>
      </c>
    </row>
    <row r="42" spans="1:28" s="195" customFormat="1" ht="35.25" customHeight="1" x14ac:dyDescent="0.2">
      <c r="A42" s="251">
        <v>40</v>
      </c>
      <c r="B42" s="297" t="s">
        <v>322</v>
      </c>
      <c r="C42" s="251" t="s">
        <v>230</v>
      </c>
      <c r="D42" s="251" t="s">
        <v>123</v>
      </c>
      <c r="E42" s="298" t="s">
        <v>124</v>
      </c>
      <c r="F42" s="251" t="s">
        <v>323</v>
      </c>
      <c r="G42" s="299" t="s">
        <v>326</v>
      </c>
      <c r="H42" s="251" t="s">
        <v>136</v>
      </c>
      <c r="I42" s="300">
        <v>2.5499999999999998</v>
      </c>
      <c r="J42" s="298" t="s">
        <v>324</v>
      </c>
      <c r="K42" s="257">
        <v>6583313.25</v>
      </c>
      <c r="L42" s="259">
        <f t="shared" si="15"/>
        <v>3949987</v>
      </c>
      <c r="M42" s="285">
        <f t="shared" si="16"/>
        <v>2633326.25</v>
      </c>
      <c r="N42" s="301">
        <v>0.6</v>
      </c>
      <c r="O42" s="259">
        <v>0</v>
      </c>
      <c r="P42" s="259">
        <v>0</v>
      </c>
      <c r="Q42" s="257">
        <v>0</v>
      </c>
      <c r="R42" s="285">
        <v>0</v>
      </c>
      <c r="S42" s="285">
        <f t="shared" si="17"/>
        <v>3949987</v>
      </c>
      <c r="T42" s="182"/>
      <c r="U42" s="182"/>
      <c r="V42" s="182"/>
      <c r="W42" s="182"/>
      <c r="X42" s="182"/>
      <c r="Y42" s="236" t="b">
        <f t="shared" si="6"/>
        <v>1</v>
      </c>
      <c r="Z42" s="249">
        <f t="shared" si="7"/>
        <v>0.6</v>
      </c>
      <c r="AA42" s="250" t="b">
        <f t="shared" si="8"/>
        <v>1</v>
      </c>
      <c r="AB42" s="250" t="b">
        <f t="shared" si="9"/>
        <v>1</v>
      </c>
    </row>
    <row r="43" spans="1:28" s="195" customFormat="1" ht="30.75" customHeight="1" x14ac:dyDescent="0.2">
      <c r="A43" s="297" t="s">
        <v>401</v>
      </c>
      <c r="B43" s="252" t="s">
        <v>327</v>
      </c>
      <c r="C43" s="302" t="s">
        <v>230</v>
      </c>
      <c r="D43" s="302" t="s">
        <v>59</v>
      </c>
      <c r="E43" s="294" t="s">
        <v>108</v>
      </c>
      <c r="F43" s="302" t="s">
        <v>266</v>
      </c>
      <c r="G43" s="254" t="s">
        <v>325</v>
      </c>
      <c r="H43" s="302" t="s">
        <v>136</v>
      </c>
      <c r="I43" s="303">
        <v>1.669</v>
      </c>
      <c r="J43" s="294" t="s">
        <v>319</v>
      </c>
      <c r="K43" s="256">
        <v>6791887.9699999997</v>
      </c>
      <c r="L43" s="259">
        <v>1578132</v>
      </c>
      <c r="M43" s="285">
        <f t="shared" si="16"/>
        <v>5213755.97</v>
      </c>
      <c r="N43" s="301">
        <v>0.5</v>
      </c>
      <c r="O43" s="259">
        <v>0</v>
      </c>
      <c r="P43" s="259">
        <v>0</v>
      </c>
      <c r="Q43" s="257">
        <v>0</v>
      </c>
      <c r="R43" s="285">
        <v>0</v>
      </c>
      <c r="S43" s="285">
        <v>1578132</v>
      </c>
      <c r="T43" s="280"/>
      <c r="U43" s="280"/>
      <c r="V43" s="280"/>
      <c r="W43" s="280"/>
      <c r="X43" s="280"/>
      <c r="Y43" s="236" t="b">
        <f t="shared" si="6"/>
        <v>1</v>
      </c>
      <c r="Z43" s="249">
        <f t="shared" si="7"/>
        <v>0.2324</v>
      </c>
      <c r="AA43" s="250" t="b">
        <f t="shared" si="8"/>
        <v>0</v>
      </c>
      <c r="AB43" s="250" t="b">
        <f t="shared" si="9"/>
        <v>1</v>
      </c>
    </row>
    <row r="44" spans="1:28" ht="30" customHeight="1" x14ac:dyDescent="0.2">
      <c r="A44" s="308" t="s">
        <v>42</v>
      </c>
      <c r="B44" s="309"/>
      <c r="C44" s="309"/>
      <c r="D44" s="309"/>
      <c r="E44" s="309"/>
      <c r="F44" s="309"/>
      <c r="G44" s="309"/>
      <c r="H44" s="310"/>
      <c r="I44" s="190">
        <f>SUM(I3:I43)</f>
        <v>35.186999999999998</v>
      </c>
      <c r="J44" s="267" t="s">
        <v>13</v>
      </c>
      <c r="K44" s="268">
        <f>SUM(K3:K43)</f>
        <v>195300330.79999998</v>
      </c>
      <c r="L44" s="268">
        <f>SUM(L3:L43)</f>
        <v>100723857.99999999</v>
      </c>
      <c r="M44" s="268">
        <f>SUM(M3:M43)</f>
        <v>94576472.799999997</v>
      </c>
      <c r="N44" s="191" t="s">
        <v>13</v>
      </c>
      <c r="O44" s="268">
        <f t="shared" ref="O44:X44" si="18">SUM(O3:O43)</f>
        <v>0</v>
      </c>
      <c r="P44" s="268">
        <f t="shared" si="18"/>
        <v>580555</v>
      </c>
      <c r="Q44" s="269">
        <f t="shared" si="18"/>
        <v>6265724</v>
      </c>
      <c r="R44" s="269">
        <f t="shared" si="18"/>
        <v>16311078</v>
      </c>
      <c r="S44" s="269">
        <f t="shared" si="18"/>
        <v>54178324</v>
      </c>
      <c r="T44" s="269">
        <f t="shared" si="18"/>
        <v>16570996</v>
      </c>
      <c r="U44" s="269">
        <f t="shared" si="18"/>
        <v>4626210</v>
      </c>
      <c r="V44" s="269">
        <f t="shared" si="18"/>
        <v>2190971</v>
      </c>
      <c r="W44" s="269">
        <f t="shared" si="18"/>
        <v>0</v>
      </c>
      <c r="X44" s="269">
        <f t="shared" si="18"/>
        <v>0</v>
      </c>
      <c r="Y44" s="236" t="b">
        <f t="shared" ref="Y20:Y47" si="19">L44=SUM(O44:X44)</f>
        <v>1</v>
      </c>
      <c r="Z44" s="249"/>
      <c r="AA44" s="250"/>
      <c r="AB44" s="250" t="b">
        <f t="shared" ref="AB20:AB47" si="20">K44=L44+M44</f>
        <v>1</v>
      </c>
    </row>
    <row r="45" spans="1:28" ht="30" customHeight="1" x14ac:dyDescent="0.2">
      <c r="A45" s="311" t="s">
        <v>35</v>
      </c>
      <c r="B45" s="312"/>
      <c r="C45" s="312"/>
      <c r="D45" s="312"/>
      <c r="E45" s="312"/>
      <c r="F45" s="312"/>
      <c r="G45" s="312"/>
      <c r="H45" s="313"/>
      <c r="I45" s="192">
        <f>SUMIF($C$3:$C$43,"K",I3:I43)</f>
        <v>19.207000000000001</v>
      </c>
      <c r="J45" s="271" t="s">
        <v>13</v>
      </c>
      <c r="K45" s="272">
        <f>SUMIF($C$3:$C$43,"K",K3:K43)</f>
        <v>116811830</v>
      </c>
      <c r="L45" s="272">
        <f>SUMIF($C$3:$C$43,"K",L3:L43)</f>
        <v>54664365</v>
      </c>
      <c r="M45" s="272">
        <f>SUMIF($C$3:$C$43,"K",M3:M43)</f>
        <v>62147465</v>
      </c>
      <c r="N45" s="193" t="s">
        <v>13</v>
      </c>
      <c r="O45" s="272">
        <f t="shared" ref="O45:X45" si="21">SUMIF($C$3:$C$43,"K",O3:O43)</f>
        <v>0</v>
      </c>
      <c r="P45" s="272">
        <f t="shared" si="21"/>
        <v>580555</v>
      </c>
      <c r="Q45" s="314">
        <f t="shared" si="21"/>
        <v>6265724</v>
      </c>
      <c r="R45" s="314">
        <f t="shared" si="21"/>
        <v>16311078</v>
      </c>
      <c r="S45" s="314">
        <f t="shared" si="21"/>
        <v>22090664</v>
      </c>
      <c r="T45" s="314">
        <f t="shared" si="21"/>
        <v>5076412</v>
      </c>
      <c r="U45" s="314">
        <f t="shared" si="21"/>
        <v>2148961</v>
      </c>
      <c r="V45" s="314">
        <f t="shared" si="21"/>
        <v>2190971</v>
      </c>
      <c r="W45" s="314">
        <f t="shared" si="21"/>
        <v>0</v>
      </c>
      <c r="X45" s="314">
        <f t="shared" si="21"/>
        <v>0</v>
      </c>
      <c r="Y45" s="236" t="b">
        <f t="shared" si="19"/>
        <v>1</v>
      </c>
      <c r="Z45" s="249"/>
      <c r="AA45" s="250"/>
      <c r="AB45" s="250" t="b">
        <f t="shared" si="20"/>
        <v>1</v>
      </c>
    </row>
    <row r="46" spans="1:28" ht="20.100000000000001" customHeight="1" x14ac:dyDescent="0.2">
      <c r="A46" s="308" t="s">
        <v>36</v>
      </c>
      <c r="B46" s="309"/>
      <c r="C46" s="309"/>
      <c r="D46" s="309"/>
      <c r="E46" s="309"/>
      <c r="F46" s="309"/>
      <c r="G46" s="309"/>
      <c r="H46" s="310"/>
      <c r="I46" s="190">
        <f>SUMIF($C$3:$C$43,"N",I3:I43)</f>
        <v>10.780000000000001</v>
      </c>
      <c r="J46" s="267" t="s">
        <v>13</v>
      </c>
      <c r="K46" s="268">
        <f>SUMIF($C$3:$C$43,"N",K3:K43)</f>
        <v>35929660.310000002</v>
      </c>
      <c r="L46" s="268">
        <f>SUMIF($C$3:$C$43,"N",L3:L43)</f>
        <v>19273866.740000002</v>
      </c>
      <c r="M46" s="268">
        <f>SUMIF($C$3:$C$43,"N",M3:M43)</f>
        <v>16655793.57</v>
      </c>
      <c r="N46" s="191" t="s">
        <v>13</v>
      </c>
      <c r="O46" s="268">
        <f t="shared" ref="O46:X46" si="22">SUMIF($C$3:$C$43,"N",O3:O43)</f>
        <v>0</v>
      </c>
      <c r="P46" s="268">
        <f t="shared" si="22"/>
        <v>0</v>
      </c>
      <c r="Q46" s="269">
        <f t="shared" si="22"/>
        <v>0</v>
      </c>
      <c r="R46" s="269">
        <f t="shared" si="22"/>
        <v>0</v>
      </c>
      <c r="S46" s="269">
        <f t="shared" si="22"/>
        <v>19273866.740000002</v>
      </c>
      <c r="T46" s="269">
        <f t="shared" si="22"/>
        <v>0</v>
      </c>
      <c r="U46" s="269">
        <f t="shared" si="22"/>
        <v>0</v>
      </c>
      <c r="V46" s="269">
        <f t="shared" si="22"/>
        <v>0</v>
      </c>
      <c r="W46" s="269">
        <f t="shared" si="22"/>
        <v>0</v>
      </c>
      <c r="X46" s="269">
        <f t="shared" si="22"/>
        <v>0</v>
      </c>
      <c r="Y46" s="236" t="b">
        <f t="shared" si="19"/>
        <v>1</v>
      </c>
      <c r="Z46" s="249"/>
      <c r="AA46" s="250"/>
      <c r="AB46" s="250" t="b">
        <f t="shared" si="20"/>
        <v>1</v>
      </c>
    </row>
    <row r="47" spans="1:28" ht="20.100000000000001" customHeight="1" x14ac:dyDescent="0.2">
      <c r="A47" s="311" t="s">
        <v>37</v>
      </c>
      <c r="B47" s="312"/>
      <c r="C47" s="312"/>
      <c r="D47" s="312"/>
      <c r="E47" s="312"/>
      <c r="F47" s="312"/>
      <c r="G47" s="312"/>
      <c r="H47" s="313"/>
      <c r="I47" s="192">
        <f>SUMIF($C$3:$C$43,"W",I3:I43)</f>
        <v>5.2</v>
      </c>
      <c r="J47" s="271" t="s">
        <v>13</v>
      </c>
      <c r="K47" s="272">
        <f>SUMIF($C$3:$C$43,"W",K3:K43)</f>
        <v>42558840.490000002</v>
      </c>
      <c r="L47" s="272">
        <f>SUMIF($C$3:$C$43,"W",L3:L43)</f>
        <v>26785626.259999998</v>
      </c>
      <c r="M47" s="272">
        <f>SUMIF($C$3:$C$43,"W",M3:M43)</f>
        <v>15773214.23</v>
      </c>
      <c r="N47" s="193" t="s">
        <v>13</v>
      </c>
      <c r="O47" s="272">
        <f t="shared" ref="O47:X47" si="23">SUMIF($C$3:$C$43,"W",O3:O43)</f>
        <v>0</v>
      </c>
      <c r="P47" s="272">
        <f t="shared" si="23"/>
        <v>0</v>
      </c>
      <c r="Q47" s="314">
        <f t="shared" si="23"/>
        <v>0</v>
      </c>
      <c r="R47" s="314">
        <f t="shared" si="23"/>
        <v>0</v>
      </c>
      <c r="S47" s="314">
        <f t="shared" si="23"/>
        <v>12813793.26</v>
      </c>
      <c r="T47" s="314">
        <f t="shared" si="23"/>
        <v>11494584</v>
      </c>
      <c r="U47" s="314">
        <f t="shared" si="23"/>
        <v>2477249</v>
      </c>
      <c r="V47" s="314">
        <f t="shared" si="23"/>
        <v>0</v>
      </c>
      <c r="W47" s="314">
        <f t="shared" si="23"/>
        <v>0</v>
      </c>
      <c r="X47" s="314">
        <f t="shared" si="23"/>
        <v>0</v>
      </c>
      <c r="Y47" s="236" t="b">
        <f t="shared" si="19"/>
        <v>1</v>
      </c>
      <c r="Z47" s="249"/>
      <c r="AA47" s="250"/>
      <c r="AB47" s="250" t="b">
        <f t="shared" si="20"/>
        <v>1</v>
      </c>
    </row>
    <row r="48" spans="1:28" ht="20.100000000000001" customHeight="1" x14ac:dyDescent="0.2">
      <c r="A48" s="203"/>
      <c r="K48" s="204"/>
      <c r="Y48" s="184"/>
      <c r="Z48" s="187"/>
      <c r="AA48" s="188"/>
      <c r="AB48" s="188"/>
    </row>
    <row r="49" spans="1:28" ht="20.100000000000001" customHeight="1" x14ac:dyDescent="0.2">
      <c r="A49" s="196" t="s">
        <v>22</v>
      </c>
      <c r="Y49" s="184"/>
      <c r="Z49" s="187"/>
      <c r="AA49" s="188"/>
      <c r="AB49" s="188"/>
    </row>
    <row r="50" spans="1:28" x14ac:dyDescent="0.2">
      <c r="A50" s="199" t="s">
        <v>23</v>
      </c>
    </row>
    <row r="51" spans="1:28" x14ac:dyDescent="0.2">
      <c r="A51" s="196" t="s">
        <v>40</v>
      </c>
    </row>
    <row r="52" spans="1:28" x14ac:dyDescent="0.2">
      <c r="A52" s="202" t="s">
        <v>26</v>
      </c>
    </row>
  </sheetData>
  <sortState ref="A23:X88">
    <sortCondition descending="1" ref="X23:X88"/>
  </sortState>
  <mergeCells count="19">
    <mergeCell ref="A47:H47"/>
    <mergeCell ref="A46:H46"/>
    <mergeCell ref="E1:E2"/>
    <mergeCell ref="A45:H45"/>
    <mergeCell ref="N1:N2"/>
    <mergeCell ref="O1:X1"/>
    <mergeCell ref="L1:L2"/>
    <mergeCell ref="M1:M2"/>
    <mergeCell ref="A44:H44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Y3:AB47">
    <cfRule type="cellIs" dxfId="30" priority="15" operator="equal">
      <formula>FALSE</formula>
    </cfRule>
  </conditionalFormatting>
  <conditionalFormatting sqref="Y3:AA47">
    <cfRule type="containsText" dxfId="29" priority="13" operator="containsText" text="fałsz">
      <formula>NOT(ISERROR(SEARCH("fałsz",Y3)))</formula>
    </cfRule>
  </conditionalFormatting>
  <conditionalFormatting sqref="Z49:AA49">
    <cfRule type="cellIs" dxfId="28" priority="10" operator="equal">
      <formula>FALSE</formula>
    </cfRule>
  </conditionalFormatting>
  <conditionalFormatting sqref="Y49:AA49">
    <cfRule type="containsText" dxfId="27" priority="8" operator="containsText" text="fałsz">
      <formula>NOT(ISERROR(SEARCH("fałsz",Y49)))</formula>
    </cfRule>
  </conditionalFormatting>
  <conditionalFormatting sqref="Y49">
    <cfRule type="cellIs" dxfId="26" priority="9" operator="equal">
      <formula>FALSE</formula>
    </cfRule>
  </conditionalFormatting>
  <conditionalFormatting sqref="AB49">
    <cfRule type="cellIs" dxfId="25" priority="7" operator="equal">
      <formula>FALSE</formula>
    </cfRule>
  </conditionalFormatting>
  <conditionalFormatting sqref="AB49">
    <cfRule type="cellIs" dxfId="24" priority="6" operator="equal">
      <formula>FALSE</formula>
    </cfRule>
  </conditionalFormatting>
  <conditionalFormatting sqref="Z48:AA48">
    <cfRule type="cellIs" dxfId="23" priority="5" operator="equal">
      <formula>FALSE</formula>
    </cfRule>
  </conditionalFormatting>
  <conditionalFormatting sqref="Y48">
    <cfRule type="cellIs" dxfId="22" priority="4" operator="equal">
      <formula>FALSE</formula>
    </cfRule>
  </conditionalFormatting>
  <conditionalFormatting sqref="Y48:AA48">
    <cfRule type="containsText" dxfId="21" priority="3" operator="containsText" text="fałsz">
      <formula>NOT(ISERROR(SEARCH("fałsz",Y48)))</formula>
    </cfRule>
  </conditionalFormatting>
  <conditionalFormatting sqref="AB48">
    <cfRule type="cellIs" dxfId="20" priority="2" operator="equal">
      <formula>FALSE</formula>
    </cfRule>
  </conditionalFormatting>
  <conditionalFormatting sqref="AB48">
    <cfRule type="cellIs" dxfId="19" priority="1" operator="equal">
      <formula>FALSE</formula>
    </cfRule>
  </conditionalFormatting>
  <dataValidations count="2">
    <dataValidation type="list" allowBlank="1" showInputMessage="1" showErrorMessage="1" sqref="H22:H43 H3:H20" xr:uid="{00000000-0002-0000-0200-000000000000}">
      <formula1>"B,P,R"</formula1>
    </dataValidation>
    <dataValidation type="list" allowBlank="1" showInputMessage="1" showErrorMessage="1" sqref="C3:C43" xr:uid="{00000000-0002-0000-02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7" fitToHeight="0" orientation="landscape" r:id="rId1"/>
  <headerFooter>
    <oddHeader>&amp;LWojewództwo &amp;K000000Lubuskie&amp;K01+000 -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1"/>
  <sheetViews>
    <sheetView showGridLines="0" view="pageBreakPreview" zoomScale="90" zoomScaleNormal="78" zoomScaleSheetLayoutView="90" workbookViewId="0">
      <selection sqref="A1:A2"/>
    </sheetView>
  </sheetViews>
  <sheetFormatPr defaultColWidth="9.109375" defaultRowHeight="12" x14ac:dyDescent="0.3"/>
  <cols>
    <col min="1" max="1" width="5" style="173" customWidth="1"/>
    <col min="2" max="2" width="12" style="173" customWidth="1"/>
    <col min="3" max="3" width="12.44140625" style="173" customWidth="1"/>
    <col min="4" max="4" width="12.5546875" style="173" customWidth="1"/>
    <col min="5" max="5" width="10.6640625" style="173" customWidth="1"/>
    <col min="6" max="6" width="38.6640625" style="173" customWidth="1"/>
    <col min="7" max="7" width="8.6640625" style="173" customWidth="1"/>
    <col min="8" max="9" width="15.88671875" style="173" customWidth="1"/>
    <col min="10" max="10" width="13.33203125" style="179" customWidth="1"/>
    <col min="11" max="11" width="14.33203125" style="173" customWidth="1"/>
    <col min="12" max="12" width="13.5546875" style="173" customWidth="1"/>
    <col min="13" max="13" width="12.88671875" style="154" customWidth="1"/>
    <col min="14" max="14" width="9.88671875" style="173" customWidth="1"/>
    <col min="15" max="15" width="12.33203125" style="173" customWidth="1"/>
    <col min="16" max="16" width="13.33203125" style="173" customWidth="1"/>
    <col min="17" max="17" width="13.44140625" style="173" customWidth="1"/>
    <col min="18" max="18" width="13" style="173" customWidth="1"/>
    <col min="19" max="19" width="12.109375" style="173" customWidth="1"/>
    <col min="20" max="20" width="12.5546875" style="173" customWidth="1"/>
    <col min="21" max="23" width="9.88671875" style="173" customWidth="1"/>
    <col min="24" max="27" width="15.6640625" style="173" customWidth="1"/>
    <col min="28" max="16384" width="9.109375" style="173"/>
  </cols>
  <sheetData>
    <row r="1" spans="1:28" ht="20.100000000000001" customHeight="1" x14ac:dyDescent="0.3">
      <c r="A1" s="227" t="s">
        <v>100</v>
      </c>
      <c r="B1" s="227" t="s">
        <v>4</v>
      </c>
      <c r="C1" s="231" t="s">
        <v>101</v>
      </c>
      <c r="D1" s="228" t="s">
        <v>5</v>
      </c>
      <c r="E1" s="231" t="s">
        <v>31</v>
      </c>
      <c r="F1" s="228" t="s">
        <v>6</v>
      </c>
      <c r="G1" s="227" t="s">
        <v>24</v>
      </c>
      <c r="H1" s="227" t="s">
        <v>99</v>
      </c>
      <c r="I1" s="227" t="s">
        <v>21</v>
      </c>
      <c r="J1" s="226" t="s">
        <v>8</v>
      </c>
      <c r="K1" s="227" t="s">
        <v>9</v>
      </c>
      <c r="L1" s="228" t="s">
        <v>12</v>
      </c>
      <c r="M1" s="227" t="s">
        <v>10</v>
      </c>
      <c r="N1" s="227" t="s">
        <v>11</v>
      </c>
      <c r="O1" s="227"/>
      <c r="P1" s="227"/>
      <c r="Q1" s="227"/>
      <c r="R1" s="227"/>
      <c r="S1" s="227"/>
      <c r="T1" s="227"/>
      <c r="U1" s="227"/>
      <c r="V1" s="227"/>
      <c r="W1" s="227"/>
    </row>
    <row r="2" spans="1:28" ht="42" customHeight="1" x14ac:dyDescent="0.3">
      <c r="A2" s="227"/>
      <c r="B2" s="227"/>
      <c r="C2" s="232"/>
      <c r="D2" s="229"/>
      <c r="E2" s="232"/>
      <c r="F2" s="229"/>
      <c r="G2" s="227"/>
      <c r="H2" s="227"/>
      <c r="I2" s="227"/>
      <c r="J2" s="226"/>
      <c r="K2" s="227"/>
      <c r="L2" s="229"/>
      <c r="M2" s="227"/>
      <c r="N2" s="159">
        <v>2019</v>
      </c>
      <c r="O2" s="159">
        <v>2020</v>
      </c>
      <c r="P2" s="159">
        <v>2021</v>
      </c>
      <c r="Q2" s="159">
        <v>2022</v>
      </c>
      <c r="R2" s="159">
        <v>2023</v>
      </c>
      <c r="S2" s="159">
        <v>2024</v>
      </c>
      <c r="T2" s="159">
        <v>2025</v>
      </c>
      <c r="U2" s="159">
        <v>2026</v>
      </c>
      <c r="V2" s="159">
        <v>2027</v>
      </c>
      <c r="W2" s="159">
        <v>2028</v>
      </c>
      <c r="X2" s="154" t="s">
        <v>27</v>
      </c>
      <c r="Y2" s="154" t="s">
        <v>28</v>
      </c>
      <c r="Z2" s="154" t="s">
        <v>29</v>
      </c>
      <c r="AA2" s="160" t="s">
        <v>30</v>
      </c>
    </row>
    <row r="3" spans="1:28" ht="37.5" customHeight="1" x14ac:dyDescent="0.3">
      <c r="A3" s="153"/>
      <c r="B3" s="150"/>
      <c r="C3" s="150"/>
      <c r="D3" s="150"/>
      <c r="E3" s="149"/>
      <c r="F3" s="150"/>
      <c r="G3" s="150"/>
      <c r="H3" s="151"/>
      <c r="I3" s="150"/>
      <c r="J3" s="152"/>
      <c r="K3" s="152"/>
      <c r="L3" s="152"/>
      <c r="M3" s="157"/>
      <c r="N3" s="155"/>
      <c r="O3" s="155"/>
      <c r="P3" s="158"/>
      <c r="Q3" s="158"/>
      <c r="R3" s="158"/>
      <c r="S3" s="158"/>
      <c r="T3" s="158"/>
      <c r="U3" s="158"/>
      <c r="V3" s="158"/>
      <c r="W3" s="158"/>
      <c r="X3" s="154" t="b">
        <f t="shared" ref="X3" si="0">K3=SUM(N3:W3)</f>
        <v>1</v>
      </c>
      <c r="Y3" s="154"/>
      <c r="Z3" s="154"/>
      <c r="AA3" s="162" t="b">
        <f t="shared" ref="AA3" si="1">J3=K3+L3</f>
        <v>1</v>
      </c>
    </row>
    <row r="4" spans="1:28" ht="20.100000000000001" customHeight="1" x14ac:dyDescent="0.3">
      <c r="A4" s="227" t="s">
        <v>42</v>
      </c>
      <c r="B4" s="227"/>
      <c r="C4" s="227"/>
      <c r="D4" s="227"/>
      <c r="E4" s="227"/>
      <c r="F4" s="227"/>
      <c r="G4" s="227"/>
      <c r="H4" s="163">
        <f>SUM('pow rez'!H3:H3)</f>
        <v>0</v>
      </c>
      <c r="I4" s="164" t="s">
        <v>13</v>
      </c>
      <c r="J4" s="165">
        <f>SUM('pow rez'!J3:J3)</f>
        <v>0</v>
      </c>
      <c r="K4" s="167">
        <f>SUM('pow rez'!K3:K3)</f>
        <v>0</v>
      </c>
      <c r="L4" s="167">
        <f>SUM('pow rez'!L3:L3)</f>
        <v>0</v>
      </c>
      <c r="M4" s="166" t="s">
        <v>13</v>
      </c>
      <c r="N4" s="175">
        <f>SUM('pow rez'!N3:N3)</f>
        <v>0</v>
      </c>
      <c r="O4" s="175">
        <f>SUM('pow rez'!O3:O3)</f>
        <v>0</v>
      </c>
      <c r="P4" s="175">
        <f>SUM('pow rez'!P3:P3)</f>
        <v>0</v>
      </c>
      <c r="Q4" s="175">
        <f>SUM('pow rez'!Q3:Q3)</f>
        <v>0</v>
      </c>
      <c r="R4" s="175">
        <f>SUM('pow rez'!R3:R3)</f>
        <v>0</v>
      </c>
      <c r="S4" s="175">
        <f>SUM('pow rez'!S3:S3)</f>
        <v>0</v>
      </c>
      <c r="T4" s="175">
        <f>SUM('pow rez'!T3:T3)</f>
        <v>0</v>
      </c>
      <c r="U4" s="175">
        <f>SUM('pow rez'!U3:U3)</f>
        <v>0</v>
      </c>
      <c r="V4" s="175">
        <f>SUM('pow rez'!V3:V3)</f>
        <v>0</v>
      </c>
      <c r="W4" s="175">
        <f>SUM('pow rez'!W3:W3)</f>
        <v>0</v>
      </c>
      <c r="X4" s="154" t="b">
        <f>K4=SUM(N4:W4)</f>
        <v>1</v>
      </c>
      <c r="Y4" s="161"/>
      <c r="Z4" s="162"/>
      <c r="AA4" s="162" t="b">
        <f>H9=J4=K4+L4</f>
        <v>0</v>
      </c>
      <c r="AB4" s="176"/>
    </row>
    <row r="5" spans="1:28" ht="20.100000000000001" customHeight="1" x14ac:dyDescent="0.3">
      <c r="A5" s="227" t="s">
        <v>36</v>
      </c>
      <c r="B5" s="227"/>
      <c r="C5" s="227"/>
      <c r="D5" s="227"/>
      <c r="E5" s="227"/>
      <c r="F5" s="227"/>
      <c r="G5" s="227"/>
      <c r="H5" s="163">
        <f>SUMIF('pow rez'!$C$3:$C$3,"N",'pow rez'!H3:H3)</f>
        <v>0</v>
      </c>
      <c r="I5" s="164" t="s">
        <v>13</v>
      </c>
      <c r="J5" s="165">
        <f>SUMIF('pow rez'!$C$3:$C$3,"N",'pow rez'!J3:J3)</f>
        <v>0</v>
      </c>
      <c r="K5" s="167">
        <f>SUMIF('pow rez'!$C$3:$C$3,"N",'pow rez'!K3:K3)</f>
        <v>0</v>
      </c>
      <c r="L5" s="167">
        <f>SUMIF('pow rez'!$C$3:$C$3,"N",'pow rez'!L3:L3)</f>
        <v>0</v>
      </c>
      <c r="M5" s="166" t="s">
        <v>13</v>
      </c>
      <c r="N5" s="175">
        <f>SUMIF('pow rez'!$C$3:$C$3,"N",'pow rez'!N3:N3)</f>
        <v>0</v>
      </c>
      <c r="O5" s="175">
        <f>SUMIF('pow rez'!$C$3:$C$3,"N",'pow rez'!O3:O3)</f>
        <v>0</v>
      </c>
      <c r="P5" s="175">
        <f>SUMIF('pow rez'!$C$3:$C$3,"N",'pow rez'!P3:P3)</f>
        <v>0</v>
      </c>
      <c r="Q5" s="175">
        <f>SUMIF('pow rez'!$C$3:$C$3,"N",'pow rez'!Q3:Q3)</f>
        <v>0</v>
      </c>
      <c r="R5" s="175">
        <f>SUMIF('pow rez'!$C$3:$C$3,"N",'pow rez'!R3:R3)</f>
        <v>0</v>
      </c>
      <c r="S5" s="175">
        <f>SUMIF('pow rez'!$C$3:$C$3,"N",'pow rez'!S3:S3)</f>
        <v>0</v>
      </c>
      <c r="T5" s="175">
        <f>SUMIF('pow rez'!$C$3:$C$3,"N",'pow rez'!T3:T3)</f>
        <v>0</v>
      </c>
      <c r="U5" s="175">
        <f>SUMIF('pow rez'!$C$3:$C$3,"N",'pow rez'!U3:U3)</f>
        <v>0</v>
      </c>
      <c r="V5" s="175">
        <f>SUMIF('pow rez'!$C$3:$C$3,"N",'pow rez'!V3:V3)</f>
        <v>0</v>
      </c>
      <c r="W5" s="175">
        <f>SUMIF('pow rez'!$C$3:$C$3,"N",'pow rez'!W3:W3)</f>
        <v>0</v>
      </c>
      <c r="X5" s="154" t="b">
        <f>K5=SUM(N5:W5)</f>
        <v>1</v>
      </c>
      <c r="Y5" s="161"/>
      <c r="Z5" s="162"/>
      <c r="AA5" s="162" t="b">
        <f>J5=K5+L5</f>
        <v>1</v>
      </c>
      <c r="AB5" s="176"/>
    </row>
    <row r="6" spans="1:28" ht="20.100000000000001" customHeight="1" x14ac:dyDescent="0.3">
      <c r="A6" s="230" t="s">
        <v>37</v>
      </c>
      <c r="B6" s="230"/>
      <c r="C6" s="230"/>
      <c r="D6" s="230"/>
      <c r="E6" s="230"/>
      <c r="F6" s="230"/>
      <c r="G6" s="230"/>
      <c r="H6" s="168">
        <f>SUMIF('pow rez'!$C$3:$C$3,"W",'pow rez'!H3:H3)</f>
        <v>0</v>
      </c>
      <c r="I6" s="156" t="s">
        <v>13</v>
      </c>
      <c r="J6" s="169">
        <f>SUMIF('pow rez'!$C$3:$C$3,"W",'pow rez'!J3:J3)</f>
        <v>0</v>
      </c>
      <c r="K6" s="171">
        <f>SUMIF('pow rez'!$C$3:$C$3,"W",'pow rez'!K3:K3)</f>
        <v>0</v>
      </c>
      <c r="L6" s="171">
        <f>SUMIF('pow rez'!$C$3:$C$3,"W",'pow rez'!L3:L3)</f>
        <v>0</v>
      </c>
      <c r="M6" s="170" t="s">
        <v>13</v>
      </c>
      <c r="N6" s="177">
        <f>SUMIF('pow rez'!$C$3:$C$3,"W",'pow rez'!N3:N3)</f>
        <v>0</v>
      </c>
      <c r="O6" s="177">
        <f>SUMIF('pow rez'!$C$3:$C$3,"W",'pow rez'!O3:O3)</f>
        <v>0</v>
      </c>
      <c r="P6" s="177">
        <f>SUMIF('pow rez'!$C$3:$C$3,"W",'pow rez'!P3:P3)</f>
        <v>0</v>
      </c>
      <c r="Q6" s="177">
        <f>SUMIF('pow rez'!$C$3:$C$3,"W",'pow rez'!Q3:Q3)</f>
        <v>0</v>
      </c>
      <c r="R6" s="177">
        <f>SUMIF('pow rez'!$C$3:$C$3,"W",'pow rez'!R3:R3)</f>
        <v>0</v>
      </c>
      <c r="S6" s="177">
        <f>SUMIF('pow rez'!$C$3:$C$3,"W",'pow rez'!S3:S3)</f>
        <v>0</v>
      </c>
      <c r="T6" s="177">
        <f>SUMIF('pow rez'!$C$3:$C$3,"W",'pow rez'!T3:T3)</f>
        <v>0</v>
      </c>
      <c r="U6" s="177">
        <f>SUMIF('pow rez'!$C$3:$C$3,"W",'pow rez'!U3:U3)</f>
        <v>0</v>
      </c>
      <c r="V6" s="177">
        <f>SUMIF('pow rez'!$C$3:$C$3,"W",'pow rez'!V3:V3)</f>
        <v>0</v>
      </c>
      <c r="W6" s="177">
        <f>SUMIF('pow rez'!$C$3:$C$3,"W",'pow rez'!W3:W3)</f>
        <v>0</v>
      </c>
      <c r="X6" s="154" t="b">
        <f>K6=SUM(N6:W6)</f>
        <v>1</v>
      </c>
      <c r="Y6" s="161"/>
      <c r="Z6" s="162"/>
      <c r="AA6" s="162" t="b">
        <f>J6=K6+L6</f>
        <v>1</v>
      </c>
      <c r="AB6" s="176"/>
    </row>
    <row r="7" spans="1:28" x14ac:dyDescent="0.3">
      <c r="A7" s="178"/>
    </row>
    <row r="8" spans="1:28" x14ac:dyDescent="0.3">
      <c r="A8" s="172" t="s">
        <v>22</v>
      </c>
    </row>
    <row r="9" spans="1:28" x14ac:dyDescent="0.3">
      <c r="A9" s="174" t="s">
        <v>23</v>
      </c>
    </row>
    <row r="10" spans="1:28" x14ac:dyDescent="0.3">
      <c r="A10" s="172" t="s">
        <v>33</v>
      </c>
    </row>
    <row r="11" spans="1:28" x14ac:dyDescent="0.3">
      <c r="A11" s="180"/>
    </row>
  </sheetData>
  <mergeCells count="17">
    <mergeCell ref="A6:G6"/>
    <mergeCell ref="I1:I2"/>
    <mergeCell ref="A1:A2"/>
    <mergeCell ref="B1:B2"/>
    <mergeCell ref="C1:C2"/>
    <mergeCell ref="F1:F2"/>
    <mergeCell ref="G1:G2"/>
    <mergeCell ref="H1:H2"/>
    <mergeCell ref="D1:D2"/>
    <mergeCell ref="A4:G4"/>
    <mergeCell ref="E1:E2"/>
    <mergeCell ref="A5:G5"/>
    <mergeCell ref="J1:J2"/>
    <mergeCell ref="K1:K2"/>
    <mergeCell ref="L1:L2"/>
    <mergeCell ref="M1:M2"/>
    <mergeCell ref="N1:W1"/>
  </mergeCells>
  <conditionalFormatting sqref="AA6 X3:X4 AA3:AA4">
    <cfRule type="cellIs" dxfId="18" priority="21" operator="equal">
      <formula>FALSE</formula>
    </cfRule>
  </conditionalFormatting>
  <conditionalFormatting sqref="AB6">
    <cfRule type="cellIs" dxfId="17" priority="26" operator="equal">
      <formula>FALSE</formula>
    </cfRule>
  </conditionalFormatting>
  <conditionalFormatting sqref="AB6">
    <cfRule type="cellIs" dxfId="16" priority="25" operator="equal">
      <formula>FALSE</formula>
    </cfRule>
  </conditionalFormatting>
  <conditionalFormatting sqref="Y6:Z6">
    <cfRule type="cellIs" dxfId="15" priority="24" operator="equal">
      <formula>FALSE</formula>
    </cfRule>
  </conditionalFormatting>
  <conditionalFormatting sqref="X6">
    <cfRule type="cellIs" dxfId="14" priority="23" operator="equal">
      <formula>FALSE</formula>
    </cfRule>
  </conditionalFormatting>
  <conditionalFormatting sqref="X6:Z6 X3">
    <cfRule type="containsText" dxfId="13" priority="22" operator="containsText" text="fałsz">
      <formula>NOT(ISERROR(SEARCH("fałsz",X3)))</formula>
    </cfRule>
  </conditionalFormatting>
  <conditionalFormatting sqref="AA6">
    <cfRule type="cellIs" dxfId="12" priority="20" operator="equal">
      <formula>FALSE</formula>
    </cfRule>
  </conditionalFormatting>
  <conditionalFormatting sqref="AB4:AB5">
    <cfRule type="cellIs" dxfId="11" priority="19" operator="equal">
      <formula>FALSE</formula>
    </cfRule>
  </conditionalFormatting>
  <conditionalFormatting sqref="AB4:AB5">
    <cfRule type="cellIs" dxfId="10" priority="18" operator="equal">
      <formula>FALSE</formula>
    </cfRule>
  </conditionalFormatting>
  <conditionalFormatting sqref="Y4:Z4">
    <cfRule type="cellIs" dxfId="9" priority="17" operator="equal">
      <formula>FALSE</formula>
    </cfRule>
  </conditionalFormatting>
  <conditionalFormatting sqref="X4:Z4">
    <cfRule type="containsText" dxfId="8" priority="15" operator="containsText" text="fałsz">
      <formula>NOT(ISERROR(SEARCH("fałsz",X4)))</formula>
    </cfRule>
  </conditionalFormatting>
  <conditionalFormatting sqref="Y5:Z5">
    <cfRule type="cellIs" dxfId="7" priority="12" operator="equal">
      <formula>FALSE</formula>
    </cfRule>
  </conditionalFormatting>
  <conditionalFormatting sqref="X5">
    <cfRule type="cellIs" dxfId="6" priority="11" operator="equal">
      <formula>FALSE</formula>
    </cfRule>
  </conditionalFormatting>
  <conditionalFormatting sqref="X5:Z5">
    <cfRule type="containsText" dxfId="5" priority="10" operator="containsText" text="fałsz">
      <formula>NOT(ISERROR(SEARCH("fałsz",X5)))</formula>
    </cfRule>
  </conditionalFormatting>
  <conditionalFormatting sqref="AA5">
    <cfRule type="cellIs" dxfId="4" priority="9" operator="equal">
      <formula>FALSE</formula>
    </cfRule>
  </conditionalFormatting>
  <conditionalFormatting sqref="AA5">
    <cfRule type="cellIs" dxfId="3" priority="8" operator="equal">
      <formula>FALSE</formula>
    </cfRule>
  </conditionalFormatting>
  <dataValidations count="2">
    <dataValidation type="list" allowBlank="1" showInputMessage="1" showErrorMessage="1" sqref="G3" xr:uid="{00000000-0002-0000-0300-000000000000}">
      <formula1>"B,P,R"</formula1>
    </dataValidation>
    <dataValidation type="list" allowBlank="1" showInputMessage="1" showErrorMessage="1" sqref="C3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67" fitToHeight="0" orientation="landscape" r:id="rId1"/>
  <headerFooter>
    <oddHeader>&amp;LWojewództwo Lubuskie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2"/>
  <sheetViews>
    <sheetView showGridLines="0" view="pageBreakPreview" zoomScale="90" zoomScaleNormal="78" zoomScaleSheetLayoutView="90" workbookViewId="0">
      <selection sqref="A1:A2"/>
    </sheetView>
  </sheetViews>
  <sheetFormatPr defaultColWidth="9.109375" defaultRowHeight="12" x14ac:dyDescent="0.3"/>
  <cols>
    <col min="1" max="1" width="5" style="173" customWidth="1"/>
    <col min="2" max="2" width="12" style="173" customWidth="1"/>
    <col min="3" max="3" width="12.44140625" style="173" customWidth="1"/>
    <col min="4" max="4" width="14.5546875" style="173" customWidth="1"/>
    <col min="5" max="5" width="10.6640625" style="173" customWidth="1"/>
    <col min="6" max="6" width="12.6640625" style="173" customWidth="1"/>
    <col min="7" max="7" width="38.6640625" style="173" customWidth="1"/>
    <col min="8" max="8" width="8.6640625" style="173" customWidth="1"/>
    <col min="9" max="10" width="15.88671875" style="173" customWidth="1"/>
    <col min="11" max="11" width="15.88671875" style="179" customWidth="1"/>
    <col min="12" max="12" width="14.88671875" style="173" customWidth="1"/>
    <col min="13" max="13" width="13.5546875" style="173" customWidth="1"/>
    <col min="14" max="14" width="13.33203125" style="154" customWidth="1"/>
    <col min="15" max="15" width="9.88671875" style="173" customWidth="1"/>
    <col min="16" max="16" width="14.44140625" style="173" customWidth="1"/>
    <col min="17" max="17" width="15.44140625" style="173" customWidth="1"/>
    <col min="18" max="19" width="14.6640625" style="173" customWidth="1"/>
    <col min="20" max="21" width="13.33203125" style="173" customWidth="1"/>
    <col min="22" max="22" width="13.6640625" style="173" customWidth="1"/>
    <col min="23" max="23" width="14" style="173" customWidth="1"/>
    <col min="24" max="24" width="16" style="173" customWidth="1"/>
    <col min="25" max="28" width="15.6640625" style="173" customWidth="1"/>
    <col min="29" max="16384" width="9.109375" style="173"/>
  </cols>
  <sheetData>
    <row r="1" spans="1:28" ht="20.100000000000001" customHeight="1" x14ac:dyDescent="0.3">
      <c r="A1" s="315" t="s">
        <v>100</v>
      </c>
      <c r="B1" s="315" t="s">
        <v>4</v>
      </c>
      <c r="C1" s="316" t="s">
        <v>101</v>
      </c>
      <c r="D1" s="317" t="s">
        <v>5</v>
      </c>
      <c r="E1" s="317" t="s">
        <v>31</v>
      </c>
      <c r="F1" s="317" t="s">
        <v>14</v>
      </c>
      <c r="G1" s="315" t="s">
        <v>6</v>
      </c>
      <c r="H1" s="315" t="s">
        <v>24</v>
      </c>
      <c r="I1" s="315" t="s">
        <v>7</v>
      </c>
      <c r="J1" s="315" t="s">
        <v>25</v>
      </c>
      <c r="K1" s="315" t="s">
        <v>8</v>
      </c>
      <c r="L1" s="315" t="s">
        <v>9</v>
      </c>
      <c r="M1" s="317" t="s">
        <v>12</v>
      </c>
      <c r="N1" s="315" t="s">
        <v>10</v>
      </c>
      <c r="O1" s="315" t="s">
        <v>11</v>
      </c>
      <c r="P1" s="315"/>
      <c r="Q1" s="315"/>
      <c r="R1" s="315"/>
      <c r="S1" s="315"/>
      <c r="T1" s="315"/>
      <c r="U1" s="315"/>
      <c r="V1" s="315"/>
      <c r="W1" s="315"/>
      <c r="X1" s="315"/>
      <c r="Y1" s="318"/>
      <c r="Z1" s="318"/>
      <c r="AA1" s="318"/>
      <c r="AB1" s="318"/>
    </row>
    <row r="2" spans="1:28" ht="33" customHeight="1" x14ac:dyDescent="0.3">
      <c r="A2" s="315"/>
      <c r="B2" s="315"/>
      <c r="C2" s="319"/>
      <c r="D2" s="320"/>
      <c r="E2" s="320"/>
      <c r="F2" s="320"/>
      <c r="G2" s="315"/>
      <c r="H2" s="315"/>
      <c r="I2" s="315"/>
      <c r="J2" s="315"/>
      <c r="K2" s="315"/>
      <c r="L2" s="315"/>
      <c r="M2" s="320"/>
      <c r="N2" s="315"/>
      <c r="O2" s="321">
        <v>2019</v>
      </c>
      <c r="P2" s="321">
        <v>2020</v>
      </c>
      <c r="Q2" s="321">
        <v>2021</v>
      </c>
      <c r="R2" s="321">
        <v>2022</v>
      </c>
      <c r="S2" s="321">
        <v>2023</v>
      </c>
      <c r="T2" s="321">
        <v>2024</v>
      </c>
      <c r="U2" s="321">
        <v>2025</v>
      </c>
      <c r="V2" s="321">
        <v>2026</v>
      </c>
      <c r="W2" s="321">
        <v>2027</v>
      </c>
      <c r="X2" s="321">
        <v>2028</v>
      </c>
      <c r="Y2" s="322" t="s">
        <v>27</v>
      </c>
      <c r="Z2" s="322" t="s">
        <v>28</v>
      </c>
      <c r="AA2" s="322" t="s">
        <v>29</v>
      </c>
      <c r="AB2" s="323" t="s">
        <v>30</v>
      </c>
    </row>
    <row r="3" spans="1:28" ht="33" customHeight="1" x14ac:dyDescent="0.3">
      <c r="A3" s="304">
        <v>1</v>
      </c>
      <c r="B3" s="297" t="s">
        <v>345</v>
      </c>
      <c r="C3" s="251" t="s">
        <v>230</v>
      </c>
      <c r="D3" s="251" t="s">
        <v>118</v>
      </c>
      <c r="E3" s="298" t="s">
        <v>119</v>
      </c>
      <c r="F3" s="251" t="s">
        <v>340</v>
      </c>
      <c r="G3" s="299" t="s">
        <v>347</v>
      </c>
      <c r="H3" s="251" t="s">
        <v>136</v>
      </c>
      <c r="I3" s="300">
        <v>0.28499999999999998</v>
      </c>
      <c r="J3" s="298" t="s">
        <v>302</v>
      </c>
      <c r="K3" s="285">
        <v>2131636.92</v>
      </c>
      <c r="L3" s="259">
        <f t="shared" ref="L3" si="0">ROUNDDOWN(K3*N3,0)</f>
        <v>1065818</v>
      </c>
      <c r="M3" s="285">
        <f t="shared" ref="M3" si="1">K3-L3</f>
        <v>1065818.92</v>
      </c>
      <c r="N3" s="258">
        <v>0.5</v>
      </c>
      <c r="O3" s="259">
        <v>0</v>
      </c>
      <c r="P3" s="259">
        <v>0</v>
      </c>
      <c r="Q3" s="257">
        <v>0</v>
      </c>
      <c r="R3" s="285">
        <v>0</v>
      </c>
      <c r="S3" s="285">
        <f t="shared" ref="S3" si="2">L3</f>
        <v>1065818</v>
      </c>
      <c r="T3" s="295"/>
      <c r="U3" s="295"/>
      <c r="V3" s="295"/>
      <c r="W3" s="295"/>
      <c r="X3" s="295"/>
      <c r="Y3" s="236" t="b">
        <f t="shared" ref="Y3" si="3">L3=SUM(O3:X3)</f>
        <v>1</v>
      </c>
      <c r="Z3" s="249">
        <f t="shared" ref="Z3" si="4">ROUND(L3/K3,4)</f>
        <v>0.5</v>
      </c>
      <c r="AA3" s="250" t="b">
        <f t="shared" ref="AA3" si="5">Z3=N3</f>
        <v>1</v>
      </c>
      <c r="AB3" s="250" t="b">
        <f t="shared" ref="AB3" si="6">K3=L3+M3</f>
        <v>1</v>
      </c>
    </row>
    <row r="4" spans="1:28" ht="42.75" customHeight="1" x14ac:dyDescent="0.3">
      <c r="A4" s="251">
        <v>2</v>
      </c>
      <c r="B4" s="297" t="s">
        <v>332</v>
      </c>
      <c r="C4" s="251" t="s">
        <v>230</v>
      </c>
      <c r="D4" s="251" t="s">
        <v>125</v>
      </c>
      <c r="E4" s="298" t="s">
        <v>126</v>
      </c>
      <c r="F4" s="251" t="s">
        <v>287</v>
      </c>
      <c r="G4" s="299" t="s">
        <v>336</v>
      </c>
      <c r="H4" s="251" t="s">
        <v>136</v>
      </c>
      <c r="I4" s="300">
        <v>0.39300000000000002</v>
      </c>
      <c r="J4" s="298" t="s">
        <v>324</v>
      </c>
      <c r="K4" s="257">
        <v>1167233.04</v>
      </c>
      <c r="L4" s="259">
        <f t="shared" ref="L4:L23" si="7">ROUNDDOWN(K4*N4,0)</f>
        <v>700339</v>
      </c>
      <c r="M4" s="285">
        <f t="shared" ref="M4:M23" si="8">K4-L4</f>
        <v>466894.04000000004</v>
      </c>
      <c r="N4" s="258">
        <v>0.6</v>
      </c>
      <c r="O4" s="259">
        <v>0</v>
      </c>
      <c r="P4" s="259">
        <v>0</v>
      </c>
      <c r="Q4" s="257">
        <v>0</v>
      </c>
      <c r="R4" s="285">
        <v>0</v>
      </c>
      <c r="S4" s="285">
        <f t="shared" ref="S4:S23" si="9">L4</f>
        <v>700339</v>
      </c>
      <c r="T4" s="183"/>
      <c r="U4" s="183"/>
      <c r="V4" s="183"/>
      <c r="W4" s="183"/>
      <c r="X4" s="183"/>
      <c r="Y4" s="236" t="b">
        <f t="shared" ref="Y4:Y24" si="10">L4=SUM(O4:X4)</f>
        <v>1</v>
      </c>
      <c r="Z4" s="249">
        <f t="shared" ref="Z4:Z24" si="11">ROUND(L4/K4,4)</f>
        <v>0.6</v>
      </c>
      <c r="AA4" s="250" t="b">
        <f t="shared" ref="AA4:AA24" si="12">Z4=N4</f>
        <v>1</v>
      </c>
      <c r="AB4" s="250" t="b">
        <f t="shared" ref="AB4:AB24" si="13">K4=L4+M4</f>
        <v>1</v>
      </c>
    </row>
    <row r="5" spans="1:28" ht="42.75" customHeight="1" x14ac:dyDescent="0.3">
      <c r="A5" s="251">
        <v>3</v>
      </c>
      <c r="B5" s="297" t="s">
        <v>333</v>
      </c>
      <c r="C5" s="251" t="s">
        <v>230</v>
      </c>
      <c r="D5" s="297" t="s">
        <v>56</v>
      </c>
      <c r="E5" s="298" t="s">
        <v>78</v>
      </c>
      <c r="F5" s="297" t="s">
        <v>293</v>
      </c>
      <c r="G5" s="299" t="s">
        <v>337</v>
      </c>
      <c r="H5" s="251" t="s">
        <v>136</v>
      </c>
      <c r="I5" s="300">
        <v>0.18099999999999999</v>
      </c>
      <c r="J5" s="307" t="s">
        <v>334</v>
      </c>
      <c r="K5" s="257">
        <v>777977.13</v>
      </c>
      <c r="L5" s="259">
        <f t="shared" si="7"/>
        <v>466786</v>
      </c>
      <c r="M5" s="285">
        <f t="shared" si="8"/>
        <v>311191.13</v>
      </c>
      <c r="N5" s="258">
        <v>0.6</v>
      </c>
      <c r="O5" s="259">
        <v>0</v>
      </c>
      <c r="P5" s="259">
        <v>0</v>
      </c>
      <c r="Q5" s="257">
        <v>0</v>
      </c>
      <c r="R5" s="285">
        <v>0</v>
      </c>
      <c r="S5" s="285">
        <f t="shared" si="9"/>
        <v>466786</v>
      </c>
      <c r="T5" s="183"/>
      <c r="U5" s="183"/>
      <c r="V5" s="183"/>
      <c r="W5" s="183"/>
      <c r="X5" s="183"/>
      <c r="Y5" s="236" t="b">
        <f t="shared" si="10"/>
        <v>1</v>
      </c>
      <c r="Z5" s="249">
        <f t="shared" si="11"/>
        <v>0.6</v>
      </c>
      <c r="AA5" s="250" t="b">
        <f t="shared" si="12"/>
        <v>1</v>
      </c>
      <c r="AB5" s="250" t="b">
        <f t="shared" si="13"/>
        <v>1</v>
      </c>
    </row>
    <row r="6" spans="1:28" ht="27" customHeight="1" x14ac:dyDescent="0.3">
      <c r="A6" s="251">
        <v>4</v>
      </c>
      <c r="B6" s="297" t="s">
        <v>338</v>
      </c>
      <c r="C6" s="251" t="s">
        <v>230</v>
      </c>
      <c r="D6" s="297" t="s">
        <v>62</v>
      </c>
      <c r="E6" s="298" t="s">
        <v>86</v>
      </c>
      <c r="F6" s="297" t="s">
        <v>293</v>
      </c>
      <c r="G6" s="299" t="s">
        <v>341</v>
      </c>
      <c r="H6" s="251" t="s">
        <v>132</v>
      </c>
      <c r="I6" s="300">
        <v>0.192</v>
      </c>
      <c r="J6" s="298" t="s">
        <v>237</v>
      </c>
      <c r="K6" s="257">
        <v>1050999.1000000001</v>
      </c>
      <c r="L6" s="259">
        <f t="shared" si="7"/>
        <v>525499</v>
      </c>
      <c r="M6" s="285">
        <f t="shared" si="8"/>
        <v>525500.10000000009</v>
      </c>
      <c r="N6" s="258">
        <v>0.5</v>
      </c>
      <c r="O6" s="259">
        <v>0</v>
      </c>
      <c r="P6" s="259">
        <v>0</v>
      </c>
      <c r="Q6" s="257">
        <v>0</v>
      </c>
      <c r="R6" s="285">
        <v>0</v>
      </c>
      <c r="S6" s="285">
        <f t="shared" si="9"/>
        <v>525499</v>
      </c>
      <c r="T6" s="183"/>
      <c r="U6" s="183"/>
      <c r="V6" s="183"/>
      <c r="W6" s="183"/>
      <c r="X6" s="183"/>
      <c r="Y6" s="236" t="b">
        <f t="shared" si="10"/>
        <v>1</v>
      </c>
      <c r="Z6" s="249">
        <f t="shared" si="11"/>
        <v>0.5</v>
      </c>
      <c r="AA6" s="250" t="b">
        <f t="shared" si="12"/>
        <v>1</v>
      </c>
      <c r="AB6" s="250" t="b">
        <f t="shared" si="13"/>
        <v>1</v>
      </c>
    </row>
    <row r="7" spans="1:28" ht="50.25" customHeight="1" x14ac:dyDescent="0.3">
      <c r="A7" s="251">
        <v>5</v>
      </c>
      <c r="B7" s="252" t="s">
        <v>339</v>
      </c>
      <c r="C7" s="252" t="s">
        <v>230</v>
      </c>
      <c r="D7" s="252" t="s">
        <v>58</v>
      </c>
      <c r="E7" s="253" t="s">
        <v>81</v>
      </c>
      <c r="F7" s="252" t="s">
        <v>340</v>
      </c>
      <c r="G7" s="254" t="s">
        <v>342</v>
      </c>
      <c r="H7" s="252" t="s">
        <v>132</v>
      </c>
      <c r="I7" s="255">
        <v>0.43</v>
      </c>
      <c r="J7" s="253" t="s">
        <v>233</v>
      </c>
      <c r="K7" s="284">
        <v>1235645.3799999999</v>
      </c>
      <c r="L7" s="259">
        <f t="shared" si="7"/>
        <v>741387</v>
      </c>
      <c r="M7" s="285">
        <f t="shared" si="8"/>
        <v>494258.37999999989</v>
      </c>
      <c r="N7" s="301">
        <v>0.6</v>
      </c>
      <c r="O7" s="259">
        <v>0</v>
      </c>
      <c r="P7" s="259">
        <v>0</v>
      </c>
      <c r="Q7" s="257">
        <v>0</v>
      </c>
      <c r="R7" s="285">
        <v>0</v>
      </c>
      <c r="S7" s="285">
        <f t="shared" si="9"/>
        <v>741387</v>
      </c>
      <c r="T7" s="280"/>
      <c r="U7" s="280"/>
      <c r="V7" s="280"/>
      <c r="W7" s="280"/>
      <c r="X7" s="280"/>
      <c r="Y7" s="236" t="b">
        <f t="shared" si="10"/>
        <v>1</v>
      </c>
      <c r="Z7" s="249">
        <f t="shared" si="11"/>
        <v>0.6</v>
      </c>
      <c r="AA7" s="250" t="b">
        <f t="shared" si="12"/>
        <v>1</v>
      </c>
      <c r="AB7" s="250" t="b">
        <f t="shared" si="13"/>
        <v>1</v>
      </c>
    </row>
    <row r="8" spans="1:28" ht="30.75" customHeight="1" x14ac:dyDescent="0.3">
      <c r="A8" s="251">
        <v>6</v>
      </c>
      <c r="B8" s="252" t="s">
        <v>343</v>
      </c>
      <c r="C8" s="252" t="s">
        <v>230</v>
      </c>
      <c r="D8" s="252" t="s">
        <v>67</v>
      </c>
      <c r="E8" s="253" t="s">
        <v>91</v>
      </c>
      <c r="F8" s="252" t="s">
        <v>266</v>
      </c>
      <c r="G8" s="254" t="s">
        <v>344</v>
      </c>
      <c r="H8" s="252" t="s">
        <v>254</v>
      </c>
      <c r="I8" s="255">
        <v>0.34599999999999997</v>
      </c>
      <c r="J8" s="253" t="s">
        <v>305</v>
      </c>
      <c r="K8" s="284">
        <v>532846.02</v>
      </c>
      <c r="L8" s="259">
        <f t="shared" si="7"/>
        <v>319707</v>
      </c>
      <c r="M8" s="285">
        <f t="shared" si="8"/>
        <v>213139.02000000002</v>
      </c>
      <c r="N8" s="258">
        <v>0.6</v>
      </c>
      <c r="O8" s="259">
        <v>0</v>
      </c>
      <c r="P8" s="259">
        <v>0</v>
      </c>
      <c r="Q8" s="257">
        <v>0</v>
      </c>
      <c r="R8" s="285">
        <v>0</v>
      </c>
      <c r="S8" s="285">
        <f t="shared" si="9"/>
        <v>319707</v>
      </c>
      <c r="T8" s="295"/>
      <c r="U8" s="295"/>
      <c r="V8" s="295"/>
      <c r="W8" s="295"/>
      <c r="X8" s="295"/>
      <c r="Y8" s="236" t="b">
        <f t="shared" si="10"/>
        <v>1</v>
      </c>
      <c r="Z8" s="249">
        <f t="shared" si="11"/>
        <v>0.6</v>
      </c>
      <c r="AA8" s="250" t="b">
        <f t="shared" si="12"/>
        <v>1</v>
      </c>
      <c r="AB8" s="250" t="b">
        <f t="shared" si="13"/>
        <v>1</v>
      </c>
    </row>
    <row r="9" spans="1:28" ht="33" customHeight="1" x14ac:dyDescent="0.3">
      <c r="A9" s="251">
        <v>7</v>
      </c>
      <c r="B9" s="297" t="s">
        <v>331</v>
      </c>
      <c r="C9" s="251" t="s">
        <v>230</v>
      </c>
      <c r="D9" s="251" t="s">
        <v>125</v>
      </c>
      <c r="E9" s="298" t="s">
        <v>126</v>
      </c>
      <c r="F9" s="251" t="s">
        <v>287</v>
      </c>
      <c r="G9" s="299" t="s">
        <v>335</v>
      </c>
      <c r="H9" s="251" t="s">
        <v>136</v>
      </c>
      <c r="I9" s="300">
        <v>0.72199999999999998</v>
      </c>
      <c r="J9" s="298" t="s">
        <v>324</v>
      </c>
      <c r="K9" s="257">
        <v>2598849.2999999998</v>
      </c>
      <c r="L9" s="259">
        <f t="shared" ref="L9" si="14">ROUNDDOWN(K9*N9,0)</f>
        <v>1559309</v>
      </c>
      <c r="M9" s="285">
        <f t="shared" ref="M9" si="15">K9-L9</f>
        <v>1039540.2999999998</v>
      </c>
      <c r="N9" s="301">
        <v>0.6</v>
      </c>
      <c r="O9" s="259">
        <v>0</v>
      </c>
      <c r="P9" s="259">
        <v>0</v>
      </c>
      <c r="Q9" s="257">
        <v>0</v>
      </c>
      <c r="R9" s="285">
        <v>0</v>
      </c>
      <c r="S9" s="285">
        <f t="shared" ref="S9" si="16">L9</f>
        <v>1559309</v>
      </c>
      <c r="T9" s="295"/>
      <c r="U9" s="295"/>
      <c r="V9" s="295"/>
      <c r="W9" s="295"/>
      <c r="X9" s="295"/>
      <c r="Y9" s="236" t="b">
        <f t="shared" si="10"/>
        <v>1</v>
      </c>
      <c r="Z9" s="249">
        <f t="shared" si="11"/>
        <v>0.6</v>
      </c>
      <c r="AA9" s="250" t="b">
        <f t="shared" si="12"/>
        <v>1</v>
      </c>
      <c r="AB9" s="250" t="b">
        <f t="shared" si="13"/>
        <v>1</v>
      </c>
    </row>
    <row r="10" spans="1:28" ht="34.5" customHeight="1" x14ac:dyDescent="0.3">
      <c r="A10" s="251">
        <v>8</v>
      </c>
      <c r="B10" s="297" t="s">
        <v>346</v>
      </c>
      <c r="C10" s="251" t="s">
        <v>230</v>
      </c>
      <c r="D10" s="297" t="s">
        <v>104</v>
      </c>
      <c r="E10" s="298" t="s">
        <v>105</v>
      </c>
      <c r="F10" s="251" t="s">
        <v>323</v>
      </c>
      <c r="G10" s="299" t="s">
        <v>348</v>
      </c>
      <c r="H10" s="251" t="s">
        <v>136</v>
      </c>
      <c r="I10" s="300">
        <v>0.113</v>
      </c>
      <c r="J10" s="298" t="s">
        <v>250</v>
      </c>
      <c r="K10" s="257">
        <v>301944.96999999997</v>
      </c>
      <c r="L10" s="259">
        <f t="shared" si="7"/>
        <v>150972</v>
      </c>
      <c r="M10" s="285">
        <f t="shared" si="8"/>
        <v>150972.96999999997</v>
      </c>
      <c r="N10" s="306">
        <v>0.5</v>
      </c>
      <c r="O10" s="259">
        <v>0</v>
      </c>
      <c r="P10" s="259">
        <v>0</v>
      </c>
      <c r="Q10" s="257">
        <v>0</v>
      </c>
      <c r="R10" s="285">
        <v>0</v>
      </c>
      <c r="S10" s="285">
        <f t="shared" si="9"/>
        <v>150972</v>
      </c>
      <c r="T10" s="295"/>
      <c r="U10" s="295"/>
      <c r="V10" s="295"/>
      <c r="W10" s="295"/>
      <c r="X10" s="295"/>
      <c r="Y10" s="236" t="b">
        <f t="shared" si="10"/>
        <v>1</v>
      </c>
      <c r="Z10" s="249">
        <f t="shared" si="11"/>
        <v>0.5</v>
      </c>
      <c r="AA10" s="250" t="b">
        <f t="shared" si="12"/>
        <v>1</v>
      </c>
      <c r="AB10" s="250" t="b">
        <f t="shared" si="13"/>
        <v>1</v>
      </c>
    </row>
    <row r="11" spans="1:28" ht="33.75" customHeight="1" x14ac:dyDescent="0.3">
      <c r="A11" s="251">
        <v>9</v>
      </c>
      <c r="B11" s="297" t="s">
        <v>374</v>
      </c>
      <c r="C11" s="251" t="s">
        <v>230</v>
      </c>
      <c r="D11" s="251" t="s">
        <v>69</v>
      </c>
      <c r="E11" s="298" t="s">
        <v>93</v>
      </c>
      <c r="F11" s="251" t="s">
        <v>340</v>
      </c>
      <c r="G11" s="299" t="s">
        <v>382</v>
      </c>
      <c r="H11" s="251" t="s">
        <v>132</v>
      </c>
      <c r="I11" s="300">
        <v>0.34499999999999997</v>
      </c>
      <c r="J11" s="298" t="s">
        <v>274</v>
      </c>
      <c r="K11" s="285">
        <v>2904924.1600000001</v>
      </c>
      <c r="L11" s="259">
        <f>ROUNDDOWN(K11*N11,0)</f>
        <v>1452462</v>
      </c>
      <c r="M11" s="285">
        <f>K11-L11</f>
        <v>1452462.1600000001</v>
      </c>
      <c r="N11" s="301">
        <v>0.5</v>
      </c>
      <c r="O11" s="259">
        <v>0</v>
      </c>
      <c r="P11" s="259">
        <v>0</v>
      </c>
      <c r="Q11" s="257">
        <v>0</v>
      </c>
      <c r="R11" s="285">
        <v>0</v>
      </c>
      <c r="S11" s="285">
        <f>L11</f>
        <v>1452462</v>
      </c>
      <c r="T11" s="280"/>
      <c r="U11" s="295"/>
      <c r="V11" s="295"/>
      <c r="W11" s="295"/>
      <c r="X11" s="295"/>
      <c r="Y11" s="236" t="b">
        <f t="shared" si="10"/>
        <v>1</v>
      </c>
      <c r="Z11" s="249">
        <f t="shared" si="11"/>
        <v>0.5</v>
      </c>
      <c r="AA11" s="250" t="b">
        <f t="shared" si="12"/>
        <v>1</v>
      </c>
      <c r="AB11" s="250" t="b">
        <f t="shared" si="13"/>
        <v>1</v>
      </c>
    </row>
    <row r="12" spans="1:28" ht="60.75" customHeight="1" x14ac:dyDescent="0.3">
      <c r="A12" s="251">
        <v>10</v>
      </c>
      <c r="B12" s="252" t="s">
        <v>349</v>
      </c>
      <c r="C12" s="252" t="s">
        <v>230</v>
      </c>
      <c r="D12" s="252" t="s">
        <v>63</v>
      </c>
      <c r="E12" s="253" t="s">
        <v>87</v>
      </c>
      <c r="F12" s="252" t="s">
        <v>350</v>
      </c>
      <c r="G12" s="254" t="s">
        <v>379</v>
      </c>
      <c r="H12" s="252" t="s">
        <v>136</v>
      </c>
      <c r="I12" s="255">
        <v>0.23899999999999999</v>
      </c>
      <c r="J12" s="253" t="s">
        <v>351</v>
      </c>
      <c r="K12" s="284">
        <v>750857.36</v>
      </c>
      <c r="L12" s="259">
        <f t="shared" si="7"/>
        <v>375428</v>
      </c>
      <c r="M12" s="285">
        <f t="shared" si="8"/>
        <v>375429.36</v>
      </c>
      <c r="N12" s="301">
        <v>0.5</v>
      </c>
      <c r="O12" s="259">
        <v>0</v>
      </c>
      <c r="P12" s="259">
        <v>0</v>
      </c>
      <c r="Q12" s="257">
        <v>0</v>
      </c>
      <c r="R12" s="285">
        <v>0</v>
      </c>
      <c r="S12" s="285">
        <f t="shared" si="9"/>
        <v>375428</v>
      </c>
      <c r="T12" s="295"/>
      <c r="U12" s="295"/>
      <c r="V12" s="295"/>
      <c r="W12" s="295"/>
      <c r="X12" s="295"/>
      <c r="Y12" s="236" t="b">
        <f t="shared" si="10"/>
        <v>1</v>
      </c>
      <c r="Z12" s="249">
        <f t="shared" si="11"/>
        <v>0.5</v>
      </c>
      <c r="AA12" s="250" t="b">
        <f t="shared" si="12"/>
        <v>1</v>
      </c>
      <c r="AB12" s="250" t="b">
        <f t="shared" si="13"/>
        <v>1</v>
      </c>
    </row>
    <row r="13" spans="1:28" ht="37.5" customHeight="1" x14ac:dyDescent="0.3">
      <c r="A13" s="251">
        <v>11</v>
      </c>
      <c r="B13" s="297" t="s">
        <v>352</v>
      </c>
      <c r="C13" s="251" t="s">
        <v>230</v>
      </c>
      <c r="D13" s="297" t="s">
        <v>57</v>
      </c>
      <c r="E13" s="298" t="s">
        <v>80</v>
      </c>
      <c r="F13" s="251" t="s">
        <v>269</v>
      </c>
      <c r="G13" s="299" t="s">
        <v>388</v>
      </c>
      <c r="H13" s="251" t="s">
        <v>136</v>
      </c>
      <c r="I13" s="300">
        <v>0.29799999999999999</v>
      </c>
      <c r="J13" s="298" t="s">
        <v>319</v>
      </c>
      <c r="K13" s="285">
        <v>1051398.56</v>
      </c>
      <c r="L13" s="259">
        <f t="shared" si="7"/>
        <v>735978</v>
      </c>
      <c r="M13" s="285">
        <f t="shared" si="8"/>
        <v>315420.56000000006</v>
      </c>
      <c r="N13" s="301">
        <v>0.7</v>
      </c>
      <c r="O13" s="259">
        <v>0</v>
      </c>
      <c r="P13" s="259">
        <v>0</v>
      </c>
      <c r="Q13" s="257">
        <v>0</v>
      </c>
      <c r="R13" s="285">
        <v>0</v>
      </c>
      <c r="S13" s="285">
        <f t="shared" si="9"/>
        <v>735978</v>
      </c>
      <c r="T13" s="280"/>
      <c r="U13" s="280"/>
      <c r="V13" s="280"/>
      <c r="W13" s="280"/>
      <c r="X13" s="280"/>
      <c r="Y13" s="236" t="b">
        <f t="shared" si="10"/>
        <v>1</v>
      </c>
      <c r="Z13" s="249">
        <f t="shared" si="11"/>
        <v>0.7</v>
      </c>
      <c r="AA13" s="250" t="b">
        <f t="shared" si="12"/>
        <v>1</v>
      </c>
      <c r="AB13" s="250" t="b">
        <f t="shared" si="13"/>
        <v>1</v>
      </c>
    </row>
    <row r="14" spans="1:28" ht="29.25" customHeight="1" x14ac:dyDescent="0.3">
      <c r="A14" s="251">
        <v>12</v>
      </c>
      <c r="B14" s="252" t="s">
        <v>311</v>
      </c>
      <c r="C14" s="261" t="s">
        <v>230</v>
      </c>
      <c r="D14" s="252" t="s">
        <v>312</v>
      </c>
      <c r="E14" s="253" t="s">
        <v>106</v>
      </c>
      <c r="F14" s="252" t="s">
        <v>313</v>
      </c>
      <c r="G14" s="254" t="s">
        <v>314</v>
      </c>
      <c r="H14" s="252" t="s">
        <v>132</v>
      </c>
      <c r="I14" s="255">
        <v>0.56000000000000005</v>
      </c>
      <c r="J14" s="253" t="s">
        <v>285</v>
      </c>
      <c r="K14" s="284">
        <v>1179676.3700000001</v>
      </c>
      <c r="L14" s="259">
        <f>ROUNDDOWN(K14*N14,0)</f>
        <v>589838</v>
      </c>
      <c r="M14" s="285">
        <f>K14-L14</f>
        <v>589838.37000000011</v>
      </c>
      <c r="N14" s="301">
        <v>0.5</v>
      </c>
      <c r="O14" s="259">
        <v>0</v>
      </c>
      <c r="P14" s="259">
        <v>0</v>
      </c>
      <c r="Q14" s="257">
        <v>0</v>
      </c>
      <c r="R14" s="285">
        <v>0</v>
      </c>
      <c r="S14" s="285">
        <f>L14</f>
        <v>589838</v>
      </c>
      <c r="T14" s="305"/>
      <c r="U14" s="280"/>
      <c r="V14" s="280"/>
      <c r="W14" s="280"/>
      <c r="X14" s="280"/>
      <c r="Y14" s="236" t="b">
        <f t="shared" si="10"/>
        <v>1</v>
      </c>
      <c r="Z14" s="249">
        <f t="shared" si="11"/>
        <v>0.5</v>
      </c>
      <c r="AA14" s="250" t="b">
        <f t="shared" si="12"/>
        <v>1</v>
      </c>
      <c r="AB14" s="250" t="b">
        <f t="shared" si="13"/>
        <v>1</v>
      </c>
    </row>
    <row r="15" spans="1:28" ht="31.5" customHeight="1" x14ac:dyDescent="0.3">
      <c r="A15" s="251">
        <v>13</v>
      </c>
      <c r="B15" s="252" t="s">
        <v>355</v>
      </c>
      <c r="C15" s="252" t="s">
        <v>230</v>
      </c>
      <c r="D15" s="252" t="s">
        <v>52</v>
      </c>
      <c r="E15" s="294" t="s">
        <v>72</v>
      </c>
      <c r="F15" s="252" t="s">
        <v>179</v>
      </c>
      <c r="G15" s="254" t="s">
        <v>387</v>
      </c>
      <c r="H15" s="252" t="s">
        <v>132</v>
      </c>
      <c r="I15" s="255">
        <v>0.52200000000000002</v>
      </c>
      <c r="J15" s="253" t="s">
        <v>285</v>
      </c>
      <c r="K15" s="284">
        <v>1804724</v>
      </c>
      <c r="L15" s="259">
        <f t="shared" si="7"/>
        <v>1263306</v>
      </c>
      <c r="M15" s="285">
        <f t="shared" si="8"/>
        <v>541418</v>
      </c>
      <c r="N15" s="301">
        <v>0.7</v>
      </c>
      <c r="O15" s="259">
        <v>0</v>
      </c>
      <c r="P15" s="259">
        <v>0</v>
      </c>
      <c r="Q15" s="257">
        <v>0</v>
      </c>
      <c r="R15" s="285">
        <v>0</v>
      </c>
      <c r="S15" s="285">
        <f t="shared" si="9"/>
        <v>1263306</v>
      </c>
      <c r="T15" s="280"/>
      <c r="U15" s="280"/>
      <c r="V15" s="280"/>
      <c r="W15" s="280"/>
      <c r="X15" s="280"/>
      <c r="Y15" s="236" t="b">
        <f t="shared" si="10"/>
        <v>1</v>
      </c>
      <c r="Z15" s="249">
        <f t="shared" si="11"/>
        <v>0.7</v>
      </c>
      <c r="AA15" s="250" t="b">
        <f t="shared" si="12"/>
        <v>1</v>
      </c>
      <c r="AB15" s="250" t="b">
        <f t="shared" si="13"/>
        <v>1</v>
      </c>
    </row>
    <row r="16" spans="1:28" ht="59.25" customHeight="1" x14ac:dyDescent="0.3">
      <c r="A16" s="251">
        <v>14</v>
      </c>
      <c r="B16" s="252" t="s">
        <v>356</v>
      </c>
      <c r="C16" s="302" t="s">
        <v>230</v>
      </c>
      <c r="D16" s="252" t="s">
        <v>60</v>
      </c>
      <c r="E16" s="253" t="s">
        <v>83</v>
      </c>
      <c r="F16" s="252" t="s">
        <v>273</v>
      </c>
      <c r="G16" s="254" t="s">
        <v>357</v>
      </c>
      <c r="H16" s="302" t="s">
        <v>254</v>
      </c>
      <c r="I16" s="303">
        <v>2.27</v>
      </c>
      <c r="J16" s="294" t="s">
        <v>237</v>
      </c>
      <c r="K16" s="256">
        <v>4204088.5599999996</v>
      </c>
      <c r="L16" s="259">
        <f t="shared" si="7"/>
        <v>2522453</v>
      </c>
      <c r="M16" s="285">
        <f t="shared" si="8"/>
        <v>1681635.5599999996</v>
      </c>
      <c r="N16" s="301">
        <v>0.6</v>
      </c>
      <c r="O16" s="259">
        <v>0</v>
      </c>
      <c r="P16" s="259">
        <v>0</v>
      </c>
      <c r="Q16" s="257">
        <v>0</v>
      </c>
      <c r="R16" s="285">
        <v>0</v>
      </c>
      <c r="S16" s="285">
        <f t="shared" si="9"/>
        <v>2522453</v>
      </c>
      <c r="T16" s="280"/>
      <c r="U16" s="280"/>
      <c r="V16" s="280"/>
      <c r="W16" s="280"/>
      <c r="X16" s="280"/>
      <c r="Y16" s="236" t="b">
        <f t="shared" si="10"/>
        <v>1</v>
      </c>
      <c r="Z16" s="249">
        <f t="shared" si="11"/>
        <v>0.6</v>
      </c>
      <c r="AA16" s="250" t="b">
        <f t="shared" si="12"/>
        <v>1</v>
      </c>
      <c r="AB16" s="250" t="b">
        <f t="shared" si="13"/>
        <v>1</v>
      </c>
    </row>
    <row r="17" spans="1:28" ht="41.25" customHeight="1" x14ac:dyDescent="0.3">
      <c r="A17" s="251">
        <v>15</v>
      </c>
      <c r="B17" s="297" t="s">
        <v>358</v>
      </c>
      <c r="C17" s="251" t="s">
        <v>230</v>
      </c>
      <c r="D17" s="251" t="s">
        <v>116</v>
      </c>
      <c r="E17" s="298" t="s">
        <v>117</v>
      </c>
      <c r="F17" s="297" t="s">
        <v>293</v>
      </c>
      <c r="G17" s="299" t="s">
        <v>359</v>
      </c>
      <c r="H17" s="251" t="s">
        <v>254</v>
      </c>
      <c r="I17" s="300">
        <v>0.998</v>
      </c>
      <c r="J17" s="298" t="s">
        <v>360</v>
      </c>
      <c r="K17" s="257">
        <v>936838.66</v>
      </c>
      <c r="L17" s="259">
        <f t="shared" si="7"/>
        <v>655787</v>
      </c>
      <c r="M17" s="285">
        <f t="shared" si="8"/>
        <v>281051.66000000003</v>
      </c>
      <c r="N17" s="301">
        <v>0.7</v>
      </c>
      <c r="O17" s="259">
        <v>0</v>
      </c>
      <c r="P17" s="259">
        <v>0</v>
      </c>
      <c r="Q17" s="257">
        <v>0</v>
      </c>
      <c r="R17" s="285">
        <v>0</v>
      </c>
      <c r="S17" s="285">
        <f t="shared" si="9"/>
        <v>655787</v>
      </c>
      <c r="T17" s="280"/>
      <c r="U17" s="280"/>
      <c r="V17" s="280"/>
      <c r="W17" s="280"/>
      <c r="X17" s="280"/>
      <c r="Y17" s="236" t="b">
        <f t="shared" si="10"/>
        <v>1</v>
      </c>
      <c r="Z17" s="249">
        <f t="shared" si="11"/>
        <v>0.7</v>
      </c>
      <c r="AA17" s="250" t="b">
        <f t="shared" si="12"/>
        <v>1</v>
      </c>
      <c r="AB17" s="250" t="b">
        <f t="shared" si="13"/>
        <v>1</v>
      </c>
    </row>
    <row r="18" spans="1:28" ht="56.25" customHeight="1" x14ac:dyDescent="0.3">
      <c r="A18" s="251">
        <v>16</v>
      </c>
      <c r="B18" s="252" t="s">
        <v>280</v>
      </c>
      <c r="C18" s="252" t="s">
        <v>230</v>
      </c>
      <c r="D18" s="252" t="s">
        <v>281</v>
      </c>
      <c r="E18" s="253" t="s">
        <v>85</v>
      </c>
      <c r="F18" s="252" t="s">
        <v>269</v>
      </c>
      <c r="G18" s="254" t="s">
        <v>282</v>
      </c>
      <c r="H18" s="252" t="s">
        <v>136</v>
      </c>
      <c r="I18" s="255">
        <v>0.58599999999999997</v>
      </c>
      <c r="J18" s="253" t="s">
        <v>233</v>
      </c>
      <c r="K18" s="284">
        <v>2688808.18</v>
      </c>
      <c r="L18" s="259">
        <f>ROUNDDOWN(K18*N18,0)</f>
        <v>1882165</v>
      </c>
      <c r="M18" s="285">
        <f>K18-L18</f>
        <v>806643.18000000017</v>
      </c>
      <c r="N18" s="258">
        <v>0.7</v>
      </c>
      <c r="O18" s="259">
        <v>0</v>
      </c>
      <c r="P18" s="259">
        <v>0</v>
      </c>
      <c r="Q18" s="257">
        <v>0</v>
      </c>
      <c r="R18" s="285">
        <v>0</v>
      </c>
      <c r="S18" s="285">
        <f>L18</f>
        <v>1882165</v>
      </c>
      <c r="T18" s="295"/>
      <c r="U18" s="280"/>
      <c r="V18" s="280"/>
      <c r="W18" s="280"/>
      <c r="X18" s="280"/>
      <c r="Y18" s="236" t="b">
        <f t="shared" si="10"/>
        <v>1</v>
      </c>
      <c r="Z18" s="249">
        <f t="shared" si="11"/>
        <v>0.7</v>
      </c>
      <c r="AA18" s="250" t="b">
        <f t="shared" si="12"/>
        <v>1</v>
      </c>
      <c r="AB18" s="250" t="b">
        <f t="shared" si="13"/>
        <v>1</v>
      </c>
    </row>
    <row r="19" spans="1:28" ht="33.75" customHeight="1" x14ac:dyDescent="0.3">
      <c r="A19" s="251">
        <v>17</v>
      </c>
      <c r="B19" s="297" t="s">
        <v>364</v>
      </c>
      <c r="C19" s="251" t="s">
        <v>230</v>
      </c>
      <c r="D19" s="251" t="s">
        <v>61</v>
      </c>
      <c r="E19" s="298" t="s">
        <v>84</v>
      </c>
      <c r="F19" s="251" t="s">
        <v>365</v>
      </c>
      <c r="G19" s="299" t="s">
        <v>366</v>
      </c>
      <c r="H19" s="251" t="s">
        <v>132</v>
      </c>
      <c r="I19" s="300">
        <v>0.55000000000000004</v>
      </c>
      <c r="J19" s="298" t="s">
        <v>367</v>
      </c>
      <c r="K19" s="257">
        <v>863977.84</v>
      </c>
      <c r="L19" s="259">
        <f t="shared" si="7"/>
        <v>431988</v>
      </c>
      <c r="M19" s="285">
        <f t="shared" si="8"/>
        <v>431989.83999999997</v>
      </c>
      <c r="N19" s="301">
        <v>0.5</v>
      </c>
      <c r="O19" s="259">
        <v>0</v>
      </c>
      <c r="P19" s="259">
        <v>0</v>
      </c>
      <c r="Q19" s="257">
        <v>0</v>
      </c>
      <c r="R19" s="285">
        <v>0</v>
      </c>
      <c r="S19" s="285">
        <f t="shared" si="9"/>
        <v>431988</v>
      </c>
      <c r="T19" s="280"/>
      <c r="U19" s="280"/>
      <c r="V19" s="280"/>
      <c r="W19" s="280"/>
      <c r="X19" s="280"/>
      <c r="Y19" s="236" t="b">
        <f t="shared" si="10"/>
        <v>1</v>
      </c>
      <c r="Z19" s="249">
        <f t="shared" si="11"/>
        <v>0.5</v>
      </c>
      <c r="AA19" s="250" t="b">
        <f t="shared" si="12"/>
        <v>1</v>
      </c>
      <c r="AB19" s="250" t="b">
        <f t="shared" si="13"/>
        <v>1</v>
      </c>
    </row>
    <row r="20" spans="1:28" ht="31.5" customHeight="1" x14ac:dyDescent="0.3">
      <c r="A20" s="251">
        <v>18</v>
      </c>
      <c r="B20" s="297" t="s">
        <v>368</v>
      </c>
      <c r="C20" s="251" t="s">
        <v>230</v>
      </c>
      <c r="D20" s="297" t="s">
        <v>64</v>
      </c>
      <c r="E20" s="298" t="s">
        <v>88</v>
      </c>
      <c r="F20" s="251" t="s">
        <v>323</v>
      </c>
      <c r="G20" s="299" t="s">
        <v>373</v>
      </c>
      <c r="H20" s="251" t="s">
        <v>254</v>
      </c>
      <c r="I20" s="300">
        <v>0.32</v>
      </c>
      <c r="J20" s="298" t="s">
        <v>360</v>
      </c>
      <c r="K20" s="257">
        <v>826367.94</v>
      </c>
      <c r="L20" s="259">
        <f t="shared" si="7"/>
        <v>495820</v>
      </c>
      <c r="M20" s="285">
        <f t="shared" si="8"/>
        <v>330547.93999999994</v>
      </c>
      <c r="N20" s="301">
        <v>0.6</v>
      </c>
      <c r="O20" s="259">
        <v>0</v>
      </c>
      <c r="P20" s="259">
        <v>0</v>
      </c>
      <c r="Q20" s="257">
        <v>0</v>
      </c>
      <c r="R20" s="285">
        <v>0</v>
      </c>
      <c r="S20" s="285">
        <f t="shared" si="9"/>
        <v>495820</v>
      </c>
      <c r="T20" s="280"/>
      <c r="U20" s="280"/>
      <c r="V20" s="280"/>
      <c r="W20" s="280"/>
      <c r="X20" s="280"/>
      <c r="Y20" s="236" t="b">
        <f t="shared" si="10"/>
        <v>1</v>
      </c>
      <c r="Z20" s="249">
        <f t="shared" si="11"/>
        <v>0.6</v>
      </c>
      <c r="AA20" s="250" t="b">
        <f t="shared" si="12"/>
        <v>1</v>
      </c>
      <c r="AB20" s="250" t="b">
        <f t="shared" si="13"/>
        <v>1</v>
      </c>
    </row>
    <row r="21" spans="1:28" ht="43.5" customHeight="1" x14ac:dyDescent="0.3">
      <c r="A21" s="251">
        <v>19</v>
      </c>
      <c r="B21" s="297" t="s">
        <v>369</v>
      </c>
      <c r="C21" s="251" t="s">
        <v>230</v>
      </c>
      <c r="D21" s="251" t="s">
        <v>53</v>
      </c>
      <c r="E21" s="298" t="s">
        <v>73</v>
      </c>
      <c r="F21" s="251" t="s">
        <v>273</v>
      </c>
      <c r="G21" s="299" t="s">
        <v>370</v>
      </c>
      <c r="H21" s="251" t="s">
        <v>132</v>
      </c>
      <c r="I21" s="300">
        <v>0.44400000000000001</v>
      </c>
      <c r="J21" s="298" t="s">
        <v>285</v>
      </c>
      <c r="K21" s="257">
        <v>609302.31999999995</v>
      </c>
      <c r="L21" s="259">
        <f t="shared" si="7"/>
        <v>365581</v>
      </c>
      <c r="M21" s="285">
        <f t="shared" si="8"/>
        <v>243721.31999999995</v>
      </c>
      <c r="N21" s="301">
        <v>0.6</v>
      </c>
      <c r="O21" s="259">
        <v>0</v>
      </c>
      <c r="P21" s="259">
        <v>0</v>
      </c>
      <c r="Q21" s="257">
        <v>0</v>
      </c>
      <c r="R21" s="285">
        <v>0</v>
      </c>
      <c r="S21" s="285">
        <f t="shared" si="9"/>
        <v>365581</v>
      </c>
      <c r="T21" s="280"/>
      <c r="U21" s="280"/>
      <c r="V21" s="280"/>
      <c r="W21" s="280"/>
      <c r="X21" s="280"/>
      <c r="Y21" s="236" t="b">
        <f t="shared" si="10"/>
        <v>1</v>
      </c>
      <c r="Z21" s="249">
        <f t="shared" si="11"/>
        <v>0.6</v>
      </c>
      <c r="AA21" s="250" t="b">
        <f t="shared" si="12"/>
        <v>1</v>
      </c>
      <c r="AB21" s="250" t="b">
        <f t="shared" si="13"/>
        <v>1</v>
      </c>
    </row>
    <row r="22" spans="1:28" ht="33" customHeight="1" x14ac:dyDescent="0.3">
      <c r="A22" s="251">
        <v>20</v>
      </c>
      <c r="B22" s="297" t="s">
        <v>371</v>
      </c>
      <c r="C22" s="251" t="s">
        <v>230</v>
      </c>
      <c r="D22" s="251" t="s">
        <v>61</v>
      </c>
      <c r="E22" s="298" t="s">
        <v>84</v>
      </c>
      <c r="F22" s="251" t="s">
        <v>365</v>
      </c>
      <c r="G22" s="299" t="s">
        <v>383</v>
      </c>
      <c r="H22" s="251" t="s">
        <v>132</v>
      </c>
      <c r="I22" s="300">
        <v>0.42299999999999999</v>
      </c>
      <c r="J22" s="307" t="s">
        <v>372</v>
      </c>
      <c r="K22" s="257">
        <v>595788.96</v>
      </c>
      <c r="L22" s="259">
        <f t="shared" si="7"/>
        <v>297894</v>
      </c>
      <c r="M22" s="285">
        <f t="shared" si="8"/>
        <v>297894.95999999996</v>
      </c>
      <c r="N22" s="301">
        <v>0.5</v>
      </c>
      <c r="O22" s="259">
        <v>0</v>
      </c>
      <c r="P22" s="259">
        <v>0</v>
      </c>
      <c r="Q22" s="257">
        <v>0</v>
      </c>
      <c r="R22" s="285">
        <v>0</v>
      </c>
      <c r="S22" s="285">
        <f t="shared" si="9"/>
        <v>297894</v>
      </c>
      <c r="T22" s="280"/>
      <c r="U22" s="280"/>
      <c r="V22" s="280"/>
      <c r="W22" s="280"/>
      <c r="X22" s="280"/>
      <c r="Y22" s="236" t="b">
        <f t="shared" si="10"/>
        <v>1</v>
      </c>
      <c r="Z22" s="249">
        <f t="shared" si="11"/>
        <v>0.5</v>
      </c>
      <c r="AA22" s="250" t="b">
        <f t="shared" si="12"/>
        <v>1</v>
      </c>
      <c r="AB22" s="250" t="b">
        <f t="shared" si="13"/>
        <v>1</v>
      </c>
    </row>
    <row r="23" spans="1:28" ht="30.75" customHeight="1" x14ac:dyDescent="0.3">
      <c r="A23" s="251">
        <v>21</v>
      </c>
      <c r="B23" s="252" t="s">
        <v>375</v>
      </c>
      <c r="C23" s="252" t="s">
        <v>230</v>
      </c>
      <c r="D23" s="252" t="s">
        <v>60</v>
      </c>
      <c r="E23" s="253" t="s">
        <v>83</v>
      </c>
      <c r="F23" s="252" t="s">
        <v>273</v>
      </c>
      <c r="G23" s="254" t="s">
        <v>376</v>
      </c>
      <c r="H23" s="252" t="s">
        <v>254</v>
      </c>
      <c r="I23" s="255">
        <v>0.11899999999999999</v>
      </c>
      <c r="J23" s="253" t="s">
        <v>237</v>
      </c>
      <c r="K23" s="284">
        <v>833627.74</v>
      </c>
      <c r="L23" s="259">
        <f t="shared" si="7"/>
        <v>500176</v>
      </c>
      <c r="M23" s="285">
        <f t="shared" si="8"/>
        <v>333451.74</v>
      </c>
      <c r="N23" s="301">
        <v>0.6</v>
      </c>
      <c r="O23" s="259">
        <v>0</v>
      </c>
      <c r="P23" s="259">
        <v>0</v>
      </c>
      <c r="Q23" s="257">
        <v>0</v>
      </c>
      <c r="R23" s="285">
        <v>0</v>
      </c>
      <c r="S23" s="285">
        <f t="shared" si="9"/>
        <v>500176</v>
      </c>
      <c r="T23" s="280"/>
      <c r="U23" s="280"/>
      <c r="V23" s="280"/>
      <c r="W23" s="280"/>
      <c r="X23" s="280"/>
      <c r="Y23" s="236" t="b">
        <f t="shared" si="10"/>
        <v>1</v>
      </c>
      <c r="Z23" s="249">
        <f t="shared" si="11"/>
        <v>0.6</v>
      </c>
      <c r="AA23" s="250" t="b">
        <f t="shared" si="12"/>
        <v>1</v>
      </c>
      <c r="AB23" s="250" t="b">
        <f t="shared" si="13"/>
        <v>1</v>
      </c>
    </row>
    <row r="24" spans="1:28" ht="42" customHeight="1" x14ac:dyDescent="0.3">
      <c r="A24" s="275">
        <v>22</v>
      </c>
      <c r="B24" s="286" t="s">
        <v>306</v>
      </c>
      <c r="C24" s="286" t="s">
        <v>145</v>
      </c>
      <c r="D24" s="286" t="s">
        <v>281</v>
      </c>
      <c r="E24" s="291" t="s">
        <v>85</v>
      </c>
      <c r="F24" s="286" t="s">
        <v>269</v>
      </c>
      <c r="G24" s="289" t="s">
        <v>307</v>
      </c>
      <c r="H24" s="286" t="s">
        <v>136</v>
      </c>
      <c r="I24" s="324">
        <v>1.99</v>
      </c>
      <c r="J24" s="291" t="s">
        <v>308</v>
      </c>
      <c r="K24" s="325">
        <v>6046721.6399999997</v>
      </c>
      <c r="L24" s="247">
        <f>ROUNDDOWN(K24*N24,0)</f>
        <v>4232705</v>
      </c>
      <c r="M24" s="183">
        <f>K24-L24</f>
        <v>1814016.6399999997</v>
      </c>
      <c r="N24" s="248">
        <v>0.7</v>
      </c>
      <c r="O24" s="247">
        <v>0</v>
      </c>
      <c r="P24" s="247">
        <v>0</v>
      </c>
      <c r="Q24" s="181">
        <v>0</v>
      </c>
      <c r="R24" s="183">
        <v>0</v>
      </c>
      <c r="S24" s="183">
        <v>2520000</v>
      </c>
      <c r="T24" s="280">
        <v>1712705</v>
      </c>
      <c r="U24" s="295"/>
      <c r="V24" s="280"/>
      <c r="W24" s="280"/>
      <c r="X24" s="280"/>
      <c r="Y24" s="236" t="b">
        <f t="shared" si="10"/>
        <v>1</v>
      </c>
      <c r="Z24" s="249">
        <f t="shared" si="11"/>
        <v>0.7</v>
      </c>
      <c r="AA24" s="250" t="b">
        <f t="shared" si="12"/>
        <v>1</v>
      </c>
      <c r="AB24" s="250" t="b">
        <f t="shared" si="13"/>
        <v>1</v>
      </c>
    </row>
    <row r="25" spans="1:28" ht="20.100000000000001" customHeight="1" x14ac:dyDescent="0.3">
      <c r="A25" s="315" t="s">
        <v>42</v>
      </c>
      <c r="B25" s="315"/>
      <c r="C25" s="315"/>
      <c r="D25" s="315"/>
      <c r="E25" s="315"/>
      <c r="F25" s="315"/>
      <c r="G25" s="315"/>
      <c r="H25" s="315"/>
      <c r="I25" s="163">
        <f>SUM(I3:I24)</f>
        <v>12.326000000000001</v>
      </c>
      <c r="J25" s="326" t="s">
        <v>13</v>
      </c>
      <c r="K25" s="327">
        <f>SUM(K3:K24)</f>
        <v>35094234.149999999</v>
      </c>
      <c r="L25" s="327">
        <f>SUM(L3:L24)</f>
        <v>21331398</v>
      </c>
      <c r="M25" s="327">
        <f>SUM(M3:M24)</f>
        <v>13762836.149999999</v>
      </c>
      <c r="N25" s="166" t="s">
        <v>13</v>
      </c>
      <c r="O25" s="328">
        <f>SUM(O3:O24)</f>
        <v>0</v>
      </c>
      <c r="P25" s="328">
        <f t="shared" ref="P25:X25" si="17">SUM(P3:P24)</f>
        <v>0</v>
      </c>
      <c r="Q25" s="328">
        <f t="shared" si="17"/>
        <v>0</v>
      </c>
      <c r="R25" s="328">
        <f t="shared" si="17"/>
        <v>0</v>
      </c>
      <c r="S25" s="328">
        <f t="shared" si="17"/>
        <v>19618693</v>
      </c>
      <c r="T25" s="328">
        <f t="shared" si="17"/>
        <v>1712705</v>
      </c>
      <c r="U25" s="328">
        <f t="shared" si="17"/>
        <v>0</v>
      </c>
      <c r="V25" s="328">
        <f t="shared" si="17"/>
        <v>0</v>
      </c>
      <c r="W25" s="328">
        <f t="shared" si="17"/>
        <v>0</v>
      </c>
      <c r="X25" s="328">
        <f t="shared" si="17"/>
        <v>0</v>
      </c>
      <c r="Y25" s="236" t="b">
        <f t="shared" ref="Y4:Y27" si="18">L25=SUM(O25:X25)</f>
        <v>1</v>
      </c>
      <c r="Z25" s="249"/>
      <c r="AA25" s="250"/>
      <c r="AB25" s="250" t="b">
        <f t="shared" ref="AB4:AB27" si="19">K25=L25+M25</f>
        <v>1</v>
      </c>
    </row>
    <row r="26" spans="1:28" ht="20.100000000000001" customHeight="1" x14ac:dyDescent="0.3">
      <c r="A26" s="329" t="s">
        <v>36</v>
      </c>
      <c r="B26" s="330"/>
      <c r="C26" s="330"/>
      <c r="D26" s="330"/>
      <c r="E26" s="330"/>
      <c r="F26" s="330"/>
      <c r="G26" s="330"/>
      <c r="H26" s="331"/>
      <c r="I26" s="163">
        <f>SUMIF($C$3:$C$24,"N",I3:I24)</f>
        <v>10.336</v>
      </c>
      <c r="J26" s="326" t="s">
        <v>13</v>
      </c>
      <c r="K26" s="327">
        <f>SUMIF($C$3:$C$24,"N",K3:K24)</f>
        <v>29047512.510000002</v>
      </c>
      <c r="L26" s="327">
        <f t="shared" ref="L26:X26" si="20">SUMIF($C$3:$C$24,"N",L3:L24)</f>
        <v>17098693</v>
      </c>
      <c r="M26" s="327">
        <f t="shared" si="20"/>
        <v>11948819.51</v>
      </c>
      <c r="N26" s="332" t="s">
        <v>13</v>
      </c>
      <c r="O26" s="327">
        <f t="shared" si="20"/>
        <v>0</v>
      </c>
      <c r="P26" s="327">
        <f t="shared" si="20"/>
        <v>0</v>
      </c>
      <c r="Q26" s="327">
        <f t="shared" si="20"/>
        <v>0</v>
      </c>
      <c r="R26" s="327">
        <f t="shared" si="20"/>
        <v>0</v>
      </c>
      <c r="S26" s="327">
        <f t="shared" si="20"/>
        <v>17098693</v>
      </c>
      <c r="T26" s="327">
        <f t="shared" si="20"/>
        <v>0</v>
      </c>
      <c r="U26" s="327">
        <f t="shared" si="20"/>
        <v>0</v>
      </c>
      <c r="V26" s="327">
        <f t="shared" si="20"/>
        <v>0</v>
      </c>
      <c r="W26" s="327">
        <f t="shared" si="20"/>
        <v>0</v>
      </c>
      <c r="X26" s="327">
        <f t="shared" si="20"/>
        <v>0</v>
      </c>
      <c r="Y26" s="236" t="b">
        <f t="shared" si="18"/>
        <v>1</v>
      </c>
      <c r="Z26" s="249"/>
      <c r="AA26" s="250"/>
      <c r="AB26" s="250" t="b">
        <f t="shared" si="19"/>
        <v>1</v>
      </c>
    </row>
    <row r="27" spans="1:28" ht="20.100000000000001" customHeight="1" x14ac:dyDescent="0.3">
      <c r="A27" s="333" t="s">
        <v>37</v>
      </c>
      <c r="B27" s="333"/>
      <c r="C27" s="333"/>
      <c r="D27" s="333"/>
      <c r="E27" s="333"/>
      <c r="F27" s="333"/>
      <c r="G27" s="333"/>
      <c r="H27" s="333"/>
      <c r="I27" s="168">
        <f>SUMIF($C$3:$C$24,"W",I3:I24)</f>
        <v>1.99</v>
      </c>
      <c r="J27" s="168" t="s">
        <v>13</v>
      </c>
      <c r="K27" s="334">
        <f t="shared" ref="K27:X27" si="21">SUMIF($C$3:$C$24,"W",K3:K24)</f>
        <v>6046721.6399999997</v>
      </c>
      <c r="L27" s="334">
        <f t="shared" si="21"/>
        <v>4232705</v>
      </c>
      <c r="M27" s="334">
        <f t="shared" si="21"/>
        <v>1814016.6399999997</v>
      </c>
      <c r="N27" s="168" t="s">
        <v>13</v>
      </c>
      <c r="O27" s="334">
        <f t="shared" si="21"/>
        <v>0</v>
      </c>
      <c r="P27" s="334">
        <f t="shared" si="21"/>
        <v>0</v>
      </c>
      <c r="Q27" s="334">
        <f t="shared" si="21"/>
        <v>0</v>
      </c>
      <c r="R27" s="334">
        <f t="shared" si="21"/>
        <v>0</v>
      </c>
      <c r="S27" s="334">
        <f t="shared" si="21"/>
        <v>2520000</v>
      </c>
      <c r="T27" s="334">
        <f t="shared" si="21"/>
        <v>1712705</v>
      </c>
      <c r="U27" s="334">
        <f t="shared" si="21"/>
        <v>0</v>
      </c>
      <c r="V27" s="334">
        <f t="shared" si="21"/>
        <v>0</v>
      </c>
      <c r="W27" s="334">
        <f t="shared" si="21"/>
        <v>0</v>
      </c>
      <c r="X27" s="334">
        <f t="shared" si="21"/>
        <v>0</v>
      </c>
      <c r="Y27" s="236" t="b">
        <f t="shared" si="18"/>
        <v>1</v>
      </c>
      <c r="Z27" s="249"/>
      <c r="AA27" s="250"/>
      <c r="AB27" s="250" t="b">
        <f t="shared" si="19"/>
        <v>1</v>
      </c>
    </row>
    <row r="28" spans="1:28" x14ac:dyDescent="0.3">
      <c r="A28" s="178"/>
      <c r="AB28" s="176"/>
    </row>
    <row r="29" spans="1:28" x14ac:dyDescent="0.3">
      <c r="A29" s="172" t="s">
        <v>22</v>
      </c>
    </row>
    <row r="30" spans="1:28" x14ac:dyDescent="0.3">
      <c r="A30" s="174" t="s">
        <v>23</v>
      </c>
    </row>
    <row r="31" spans="1:28" x14ac:dyDescent="0.3">
      <c r="A31" s="172" t="s">
        <v>33</v>
      </c>
      <c r="K31" s="173"/>
    </row>
    <row r="32" spans="1:28" x14ac:dyDescent="0.3">
      <c r="A32" s="180"/>
      <c r="K32" s="173"/>
    </row>
  </sheetData>
  <mergeCells count="18">
    <mergeCell ref="G1:G2"/>
    <mergeCell ref="H1:H2"/>
    <mergeCell ref="A26:H26"/>
    <mergeCell ref="D1:D2"/>
    <mergeCell ref="A27:H27"/>
    <mergeCell ref="E1:E2"/>
    <mergeCell ref="O1:X1"/>
    <mergeCell ref="M1:M2"/>
    <mergeCell ref="N1:N2"/>
    <mergeCell ref="A25:H25"/>
    <mergeCell ref="I1:I2"/>
    <mergeCell ref="J1:J2"/>
    <mergeCell ref="K1:K2"/>
    <mergeCell ref="L1:L2"/>
    <mergeCell ref="A1:A2"/>
    <mergeCell ref="B1:B2"/>
    <mergeCell ref="C1:C2"/>
    <mergeCell ref="F1:F2"/>
  </mergeCells>
  <conditionalFormatting sqref="AB28">
    <cfRule type="cellIs" dxfId="2" priority="22" operator="equal">
      <formula>FALSE</formula>
    </cfRule>
  </conditionalFormatting>
  <conditionalFormatting sqref="Y3:AB27">
    <cfRule type="cellIs" dxfId="1" priority="2" operator="equal">
      <formula>FALSE</formula>
    </cfRule>
  </conditionalFormatting>
  <conditionalFormatting sqref="Y3:AA27">
    <cfRule type="containsText" dxfId="0" priority="1" operator="containsText" text="fałsz">
      <formula>NOT(ISERROR(SEARCH("fałsz",Y3)))</formula>
    </cfRule>
  </conditionalFormatting>
  <dataValidations count="2">
    <dataValidation type="list" allowBlank="1" showInputMessage="1" showErrorMessage="1" sqref="H3:H24" xr:uid="{00000000-0002-0000-0400-000000000000}">
      <formula1>"B,P,R"</formula1>
    </dataValidation>
    <dataValidation type="list" allowBlank="1" showInputMessage="1" showErrorMessage="1" sqref="C3:C24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9" fitToHeight="0" orientation="landscape" r:id="rId1"/>
  <headerFooter>
    <oddHeader>&amp;LWojewództwo Lubuskie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08 - lubuskie</vt:lpstr>
      <vt:lpstr>pow podst</vt:lpstr>
      <vt:lpstr>gm podst</vt:lpstr>
      <vt:lpstr>pow rez</vt:lpstr>
      <vt:lpstr>gm rez</vt:lpstr>
      <vt:lpstr>'08 - lubuskie'!Obszar_wydruku</vt:lpstr>
      <vt:lpstr>'gm podst'!Obszar_wydruku</vt:lpstr>
      <vt:lpstr>'gm rez'!Obszar_wydruku</vt:lpstr>
      <vt:lpstr>'pow podst'!Obszar_wydruku</vt:lpstr>
      <vt:lpstr>'pow rez'!Obszar_wydruku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2022-11-25T07:36:00Z</cp:lastPrinted>
  <dcterms:created xsi:type="dcterms:W3CDTF">2019-02-25T10:53:14Z</dcterms:created>
  <dcterms:modified xsi:type="dcterms:W3CDTF">2023-01-30T19:45:53Z</dcterms:modified>
</cp:coreProperties>
</file>