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'doch_wyd'!$A$1:$M$114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<sst xmlns="http://schemas.openxmlformats.org/spreadsheetml/2006/main" count="255" uniqueCount="113">
  <si>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</si>
  <si>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</si>
  <si>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</si>
  <si>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</si>
  <si>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</si>
  <si>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</si>
  <si>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</si>
  <si>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</si>
  <si>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</si>
  <si>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</si>
  <si>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</si>
  <si>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</si>
  <si>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</si>
  <si>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</si>
  <si>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</si>
  <si>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</si>
  <si>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</si>
  <si>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</si>
  <si>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</si>
  <si>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</si>
  <si>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</si>
  <si>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</si>
  <si>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</si>
  <si>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</si>
  <si>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</si>
  <si>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</si>
  <si>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</si>
  <si>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</si>
  <si>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</si>
  <si>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</si>
  <si>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</si>
  <si>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</si>
  <si>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</si>
  <si>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</si>
  <si>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</si>
  <si>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</si>
  <si>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</si>
  <si>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</si>
  <si>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</si>
  <si>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</si>
  <si>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</si>
  <si>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</si>
  <si>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</si>
  <si>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</si>
  <si>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</si>
  <si>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</si>
  <si>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</si>
  <si>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</si>
  <si>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</si>
  <si>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</si>
  <si>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</si>
  <si>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</si>
  <si>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</si>
  <si>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</si>
  <si>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</si>
  <si>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</si>
  <si>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</si>
  <si>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</si>
  <si>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</si>
  <si>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</si>
  <si>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</si>
  <si>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</si>
  <si>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</si>
  <si>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</si>
  <si>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</si>
  <si>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</si>
  <si>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</si>
  <si>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</si>
  <si>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</si>
  <si>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</si>
  <si>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</si>
  <si>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</si>
  <si>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</si>
  <si>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</si>
  <si>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</si>
  <si>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</si>
  <si>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</si>
  <si>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</si>
  <si>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</si>
  <si>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</si>
  <si>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</si>
  <si>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</si>
  <si>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</si>
  <si>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</si>
  <si>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</si>
  <si>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</si>
  <si>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</si>
  <si>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</si>
  <si>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</si>
  <si>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</si>
  <si>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</si>
  <si>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</si>
  <si>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</si>
  <si>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</si>
  <si>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</si>
  <si>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</si>
  <si>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</si>
  <si>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</si>
  <si>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</si>
  <si>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</si>
  <si>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</si>
  <si>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</si>
  <si>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</si>
  <si>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</si>
  <si>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</si>
  <si>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</si>
  <si>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</si>
  <si>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</si>
  <si>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</si>
  <si>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</si>
  <si>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</si>
  <si>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</si>
  <si>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 xml:space="preserve">Informacja z wykonania budżetów gmin za III Kwartały 2020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</si>
</sst>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50" fillId="0" borderId="10" xfId="52" applyFont="1" applyFill="1" applyBorder="1" applyAlignment="1">
      <alignment horizontal="left" vertical="top" wrapText="1"/>
      <protection/>
    </xf>
    <xf numFmtId="0" fontId="50" fillId="35" borderId="11" xfId="52" applyFont="1" applyFill="1" applyBorder="1" applyAlignment="1">
      <alignment horizontal="left" vertical="top" wrapText="1"/>
      <protection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3" fillId="37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4"/>
  <sheetViews>
    <sheetView tabSelected="1" workbookViewId="0" topLeftCell="B1">
      <selection activeCell="B116" sqref="A116:IV121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2" t="s">
        <v>112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0.75" customHeight="1"/>
    <row r="3" spans="2:13" ht="63.75" customHeight="1">
      <c r="B3" s="103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3"/>
      <c r="C4" s="105" t="s">
        <v>78</v>
      </c>
      <c r="D4" s="105"/>
      <c r="E4" s="105"/>
      <c r="F4" s="105"/>
      <c r="G4" s="105"/>
      <c r="H4" s="105"/>
      <c r="I4" s="105"/>
      <c r="J4" s="105"/>
      <c r="K4" s="105" t="s">
        <v>4</v>
      </c>
      <c r="L4" s="105"/>
      <c r="M4" s="105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2" t="s">
        <v>5</v>
      </c>
      <c r="C6" s="49">
        <f>146389327536.06</f>
        <v>146389327536.06</v>
      </c>
      <c r="D6" s="49">
        <f>110666528290.12</f>
        <v>110666528290.12</v>
      </c>
      <c r="E6" s="49">
        <f>107467556907.37</f>
        <v>107467556907.37</v>
      </c>
      <c r="F6" s="49">
        <f>2049075933.73</f>
        <v>2049075933.73</v>
      </c>
      <c r="G6" s="49">
        <f>540873767.84</f>
        <v>540873767.84</v>
      </c>
      <c r="H6" s="49">
        <f>91831145.53</f>
        <v>91831145.53</v>
      </c>
      <c r="I6" s="49">
        <f>132046835.39</f>
        <v>132046835.39</v>
      </c>
      <c r="J6" s="49">
        <f>858028.15</f>
        <v>858028.15</v>
      </c>
      <c r="K6" s="50">
        <f aca="true" t="shared" si="0" ref="K6:K49">IF($D$6=0,"",100*$D6/$D$6)</f>
        <v>100</v>
      </c>
      <c r="L6" s="50">
        <f aca="true" t="shared" si="1" ref="L6:L45">IF(C6=0,"",100*D6/C6)</f>
        <v>75.59740190954807</v>
      </c>
      <c r="M6" s="50"/>
    </row>
    <row r="7" spans="2:13" ht="25.5" customHeight="1">
      <c r="B7" s="82" t="s">
        <v>61</v>
      </c>
      <c r="C7" s="25">
        <f>C6-C22-C40</f>
        <v>62375623197.57</v>
      </c>
      <c r="D7" s="25">
        <f>D6-D22-D40</f>
        <v>46223715485.149994</v>
      </c>
      <c r="E7" s="25">
        <f>E6-E22-E40</f>
        <v>44714961950.63999</v>
      </c>
      <c r="F7" s="25">
        <f>F6</f>
        <v>2049075933.73</v>
      </c>
      <c r="G7" s="25">
        <f>G6</f>
        <v>540873767.84</v>
      </c>
      <c r="H7" s="25">
        <f>H6</f>
        <v>91831145.53</v>
      </c>
      <c r="I7" s="25">
        <f>I6</f>
        <v>132046835.39</v>
      </c>
      <c r="J7" s="25">
        <f>J6</f>
        <v>858028.15</v>
      </c>
      <c r="K7" s="33">
        <f t="shared" si="0"/>
        <v>41.768469833960374</v>
      </c>
      <c r="L7" s="33">
        <f t="shared" si="1"/>
        <v>74.10541669257543</v>
      </c>
      <c r="M7" s="33">
        <f aca="true" t="shared" si="2" ref="M7:M21">IF($D$7=0,"",100*$D7/$D$7)</f>
        <v>99.99999999999999</v>
      </c>
    </row>
    <row r="8" spans="2:13" ht="22.5" customHeight="1">
      <c r="B8" s="32" t="s">
        <v>35</v>
      </c>
      <c r="C8" s="24">
        <f>1030611076.96</f>
        <v>1030611076.96</v>
      </c>
      <c r="D8" s="24">
        <f>840793705.95</f>
        <v>840793705.95</v>
      </c>
      <c r="E8" s="24">
        <f>911725778.95</f>
        <v>911725778.95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0.7597542987395438</v>
      </c>
      <c r="L8" s="34">
        <f t="shared" si="1"/>
        <v>81.58205600022217</v>
      </c>
      <c r="M8" s="34">
        <f t="shared" si="2"/>
        <v>1.8189660807775536</v>
      </c>
    </row>
    <row r="9" spans="2:13" ht="22.5" customHeight="1">
      <c r="B9" s="32" t="s">
        <v>19</v>
      </c>
      <c r="C9" s="24">
        <f>23374222315.24</f>
        <v>23374222315.24</v>
      </c>
      <c r="D9" s="24">
        <f>16074081432</f>
        <v>16074081432</v>
      </c>
      <c r="E9" s="24">
        <f>14541379589.85</f>
        <v>14541379589.85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14.524790539973097</v>
      </c>
      <c r="L9" s="34">
        <f t="shared" si="1"/>
        <v>68.76841169393556</v>
      </c>
      <c r="M9" s="34">
        <f t="shared" si="2"/>
        <v>34.77453351227039</v>
      </c>
    </row>
    <row r="10" spans="2:13" ht="13.5" customHeight="1">
      <c r="B10" s="32" t="s">
        <v>20</v>
      </c>
      <c r="C10" s="24">
        <f>1619128287.54</f>
        <v>1619128287.54</v>
      </c>
      <c r="D10" s="24">
        <f>1246710544.41</f>
        <v>1246710544.41</v>
      </c>
      <c r="E10" s="24">
        <f>1246017589.53</f>
        <v>1246017589.53</v>
      </c>
      <c r="F10" s="24">
        <f>113920565.21</f>
        <v>113920565.21</v>
      </c>
      <c r="G10" s="24">
        <f>1421284.66</f>
        <v>1421284.66</v>
      </c>
      <c r="H10" s="24">
        <f>2850173.37</f>
        <v>2850173.37</v>
      </c>
      <c r="I10" s="24">
        <f>2865142.42</f>
        <v>2865142.42</v>
      </c>
      <c r="J10" s="24">
        <f>2040.15</f>
        <v>2040.15</v>
      </c>
      <c r="K10" s="34">
        <f t="shared" si="0"/>
        <v>1.1265470812833867</v>
      </c>
      <c r="L10" s="34">
        <f t="shared" si="1"/>
        <v>76.99887365343808</v>
      </c>
      <c r="M10" s="34">
        <f t="shared" si="2"/>
        <v>2.697123178707958</v>
      </c>
    </row>
    <row r="11" spans="2:13" ht="13.5" customHeight="1">
      <c r="B11" s="32" t="s">
        <v>21</v>
      </c>
      <c r="C11" s="24">
        <f>14843042022.01</f>
        <v>14843042022.01</v>
      </c>
      <c r="D11" s="62">
        <f>11331549936.22</f>
        <v>11331549936.22</v>
      </c>
      <c r="E11" s="24">
        <f>11324085365.03</f>
        <v>11324085365.03</v>
      </c>
      <c r="F11" s="24">
        <f>1353219793.99</f>
        <v>1353219793.99</v>
      </c>
      <c r="G11" s="24">
        <f>525715847.63</f>
        <v>525715847.63</v>
      </c>
      <c r="H11" s="24">
        <f>75264181.71</f>
        <v>75264181.71</v>
      </c>
      <c r="I11" s="24">
        <f>111756684.48</f>
        <v>111756684.48</v>
      </c>
      <c r="J11" s="24">
        <f>609079.34</f>
        <v>609079.34</v>
      </c>
      <c r="K11" s="34">
        <f t="shared" si="0"/>
        <v>10.239365155210756</v>
      </c>
      <c r="L11" s="34">
        <f t="shared" si="1"/>
        <v>76.34250391137488</v>
      </c>
      <c r="M11" s="34">
        <f t="shared" si="2"/>
        <v>24.514580485985416</v>
      </c>
    </row>
    <row r="12" spans="2:13" ht="13.5" customHeight="1">
      <c r="B12" s="32" t="s">
        <v>22</v>
      </c>
      <c r="C12" s="24">
        <f>298791528.51</f>
        <v>298791528.51</v>
      </c>
      <c r="D12" s="62">
        <f>229618740.39</f>
        <v>229618740.39</v>
      </c>
      <c r="E12" s="24">
        <f>229990122.43</f>
        <v>229990122.43</v>
      </c>
      <c r="F12" s="24">
        <f>1442348.55</f>
        <v>1442348.55</v>
      </c>
      <c r="G12" s="24">
        <f>356561</f>
        <v>356561</v>
      </c>
      <c r="H12" s="24">
        <f>82830.03</f>
        <v>82830.03</v>
      </c>
      <c r="I12" s="24">
        <f>17961.92</f>
        <v>17961.92</v>
      </c>
      <c r="J12" s="24">
        <f>88.73</f>
        <v>88.73</v>
      </c>
      <c r="K12" s="34">
        <f t="shared" si="0"/>
        <v>0.20748707304528297</v>
      </c>
      <c r="L12" s="34">
        <f t="shared" si="1"/>
        <v>76.84914680648822</v>
      </c>
      <c r="M12" s="34">
        <f t="shared" si="2"/>
        <v>0.4967552650841497</v>
      </c>
    </row>
    <row r="13" spans="2:13" ht="22.5" customHeight="1">
      <c r="B13" s="32" t="s">
        <v>23</v>
      </c>
      <c r="C13" s="24">
        <f>829659373.15</f>
        <v>829659373.15</v>
      </c>
      <c r="D13" s="62">
        <f>709186874.44</f>
        <v>709186874.44</v>
      </c>
      <c r="E13" s="24">
        <f>709113923.37</f>
        <v>709113923.37</v>
      </c>
      <c r="F13" s="24">
        <f>575606598.46</f>
        <v>575606598.46</v>
      </c>
      <c r="G13" s="24">
        <f>2854261.3</f>
        <v>2854261.3</v>
      </c>
      <c r="H13" s="24">
        <f>4915614.71</f>
        <v>4915614.71</v>
      </c>
      <c r="I13" s="24">
        <f>5496874.76</f>
        <v>5496874.76</v>
      </c>
      <c r="J13" s="24">
        <f>2695.68</f>
        <v>2695.68</v>
      </c>
      <c r="K13" s="34">
        <f t="shared" si="0"/>
        <v>0.6408323143388192</v>
      </c>
      <c r="L13" s="34">
        <f t="shared" si="1"/>
        <v>85.47928190667004</v>
      </c>
      <c r="M13" s="34">
        <f t="shared" si="2"/>
        <v>1.5342489607263095</v>
      </c>
    </row>
    <row r="14" spans="2:13" ht="33" customHeight="1">
      <c r="B14" s="32" t="s">
        <v>46</v>
      </c>
      <c r="C14" s="24">
        <f>38006869.65</f>
        <v>38006869.65</v>
      </c>
      <c r="D14" s="62">
        <f>25445803.09</f>
        <v>25445803.09</v>
      </c>
      <c r="E14" s="24">
        <f>25692428.91</f>
        <v>25692428.91</v>
      </c>
      <c r="F14" s="24">
        <f>0</f>
        <v>0</v>
      </c>
      <c r="G14" s="24">
        <f>0</f>
        <v>0</v>
      </c>
      <c r="H14" s="24">
        <f>24000.13</f>
        <v>24000.13</v>
      </c>
      <c r="I14" s="24">
        <f>23354.51</f>
        <v>23354.51</v>
      </c>
      <c r="J14" s="24">
        <f>0</f>
        <v>0</v>
      </c>
      <c r="K14" s="34">
        <f t="shared" si="0"/>
        <v>0.022993224313761843</v>
      </c>
      <c r="L14" s="34">
        <f t="shared" si="1"/>
        <v>66.95053637494189</v>
      </c>
      <c r="M14" s="34">
        <f t="shared" si="2"/>
        <v>0.05504923787049273</v>
      </c>
    </row>
    <row r="15" spans="2:13" ht="22.5" customHeight="1">
      <c r="B15" s="32" t="s">
        <v>28</v>
      </c>
      <c r="C15" s="24">
        <f>115768345.41</f>
        <v>115768345.41</v>
      </c>
      <c r="D15" s="62">
        <f>93184107.62</f>
        <v>93184107.62</v>
      </c>
      <c r="E15" s="24">
        <f>92482144.91</f>
        <v>92482144.91</v>
      </c>
      <c r="F15" s="24">
        <f>0</f>
        <v>0</v>
      </c>
      <c r="G15" s="24">
        <f>12426</f>
        <v>12426</v>
      </c>
      <c r="H15" s="24">
        <f>2290385.99</f>
        <v>2290385.99</v>
      </c>
      <c r="I15" s="24">
        <f>3603297.28</f>
        <v>3603297.28</v>
      </c>
      <c r="J15" s="24">
        <f>0</f>
        <v>0</v>
      </c>
      <c r="K15" s="34">
        <f t="shared" si="0"/>
        <v>0.08420261217168698</v>
      </c>
      <c r="L15" s="34">
        <f t="shared" si="1"/>
        <v>80.4918713228416</v>
      </c>
      <c r="M15" s="34">
        <f t="shared" si="2"/>
        <v>0.20159372011091725</v>
      </c>
    </row>
    <row r="16" spans="2:13" ht="22.5" customHeight="1">
      <c r="B16" s="32" t="s">
        <v>29</v>
      </c>
      <c r="C16" s="24">
        <f>1099015902.88</f>
        <v>1099015902.88</v>
      </c>
      <c r="D16" s="62">
        <f>994294969.42</f>
        <v>994294969.42</v>
      </c>
      <c r="E16" s="24">
        <f>991529685.28</f>
        <v>991529685.28</v>
      </c>
      <c r="F16" s="24">
        <f>0</f>
        <v>0</v>
      </c>
      <c r="G16" s="24">
        <f>0</f>
        <v>0</v>
      </c>
      <c r="H16" s="24">
        <f>60411.57</f>
        <v>60411.57</v>
      </c>
      <c r="I16" s="24">
        <f>858545.64</f>
        <v>858545.64</v>
      </c>
      <c r="J16" s="24">
        <f>0</f>
        <v>0</v>
      </c>
      <c r="K16" s="34">
        <f t="shared" si="0"/>
        <v>0.8984604331432415</v>
      </c>
      <c r="L16" s="34">
        <f t="shared" si="1"/>
        <v>90.47139052441588</v>
      </c>
      <c r="M16" s="34">
        <f t="shared" si="2"/>
        <v>2.1510494320592444</v>
      </c>
    </row>
    <row r="17" spans="2:13" ht="13.5" customHeight="1">
      <c r="B17" s="32" t="s">
        <v>30</v>
      </c>
      <c r="C17" s="24">
        <f>176107797.68</f>
        <v>176107797.68</v>
      </c>
      <c r="D17" s="62">
        <f>129944946.12</f>
        <v>129944946.12</v>
      </c>
      <c r="E17" s="24">
        <f>129795568.57</f>
        <v>129795568.57</v>
      </c>
      <c r="F17" s="24">
        <f>0</f>
        <v>0</v>
      </c>
      <c r="G17" s="24">
        <f>0</f>
        <v>0</v>
      </c>
      <c r="H17" s="24">
        <f>223</f>
        <v>223</v>
      </c>
      <c r="I17" s="24">
        <f>10320</f>
        <v>10320</v>
      </c>
      <c r="J17" s="24">
        <f>0</f>
        <v>0</v>
      </c>
      <c r="K17" s="34">
        <f t="shared" si="0"/>
        <v>0.11742027885734366</v>
      </c>
      <c r="L17" s="34">
        <f t="shared" si="1"/>
        <v>73.78716208587136</v>
      </c>
      <c r="M17" s="34">
        <f t="shared" si="2"/>
        <v>0.28112181107930756</v>
      </c>
    </row>
    <row r="18" spans="2:13" ht="22.5" customHeight="1">
      <c r="B18" s="32" t="s">
        <v>31</v>
      </c>
      <c r="C18" s="24">
        <f>389977932.36</f>
        <v>389977932.36</v>
      </c>
      <c r="D18" s="62">
        <f>365653896.88</f>
        <v>365653896.88</v>
      </c>
      <c r="E18" s="24">
        <f>365422859.75</f>
        <v>365422859.75</v>
      </c>
      <c r="F18" s="24">
        <f>0</f>
        <v>0</v>
      </c>
      <c r="G18" s="24">
        <f>0</f>
        <v>0</v>
      </c>
      <c r="H18" s="24">
        <f>99596.48</f>
        <v>99596.48</v>
      </c>
      <c r="I18" s="24">
        <f>570281.93</f>
        <v>570281.93</v>
      </c>
      <c r="J18" s="24">
        <f>0</f>
        <v>0</v>
      </c>
      <c r="K18" s="34">
        <f t="shared" si="0"/>
        <v>0.33041056092535304</v>
      </c>
      <c r="L18" s="34">
        <f t="shared" si="1"/>
        <v>93.76271489701992</v>
      </c>
      <c r="M18" s="34">
        <f t="shared" si="2"/>
        <v>0.7910525864098297</v>
      </c>
    </row>
    <row r="19" spans="2:13" ht="13.5" customHeight="1">
      <c r="B19" s="32" t="s">
        <v>32</v>
      </c>
      <c r="C19" s="24">
        <f>114615498</f>
        <v>114615498</v>
      </c>
      <c r="D19" s="62">
        <f>72471586.57</f>
        <v>72471586.57</v>
      </c>
      <c r="E19" s="24">
        <f>72436861.56</f>
        <v>72436861.56</v>
      </c>
      <c r="F19" s="24">
        <f>1326101.3</f>
        <v>1326101.3</v>
      </c>
      <c r="G19" s="24">
        <f>90954</f>
        <v>90954</v>
      </c>
      <c r="H19" s="24">
        <f>3304</f>
        <v>3304</v>
      </c>
      <c r="I19" s="24">
        <f>82309.32</f>
        <v>82309.32</v>
      </c>
      <c r="J19" s="24">
        <f>0</f>
        <v>0</v>
      </c>
      <c r="K19" s="34">
        <f t="shared" si="0"/>
        <v>0.06548645529026689</v>
      </c>
      <c r="L19" s="34">
        <f t="shared" si="1"/>
        <v>63.23018076490842</v>
      </c>
      <c r="M19" s="34">
        <f t="shared" si="2"/>
        <v>0.1567844250713305</v>
      </c>
    </row>
    <row r="20" spans="2:13" ht="13.5" customHeight="1">
      <c r="B20" s="32" t="s">
        <v>24</v>
      </c>
      <c r="C20" s="24">
        <f>3701858026.74</f>
        <v>3701858026.74</v>
      </c>
      <c r="D20" s="62">
        <f>2293039409.8</f>
        <v>2293039409.8</v>
      </c>
      <c r="E20" s="24">
        <f>2286455680.78</f>
        <v>2286455680.78</v>
      </c>
      <c r="F20" s="24">
        <f>0</f>
        <v>0</v>
      </c>
      <c r="G20" s="24">
        <f>2477.44</f>
        <v>2477.44</v>
      </c>
      <c r="H20" s="24">
        <f>0</f>
        <v>0</v>
      </c>
      <c r="I20" s="24">
        <f>133724.4</f>
        <v>133724.4</v>
      </c>
      <c r="J20" s="24">
        <f>0</f>
        <v>0</v>
      </c>
      <c r="K20" s="34">
        <f t="shared" si="0"/>
        <v>2.0720261539140705</v>
      </c>
      <c r="L20" s="34">
        <f t="shared" si="1"/>
        <v>61.942932258246</v>
      </c>
      <c r="M20" s="34">
        <f t="shared" si="2"/>
        <v>4.9607423066989735</v>
      </c>
    </row>
    <row r="21" spans="2:13" ht="13.5" customHeight="1">
      <c r="B21" s="32" t="s">
        <v>25</v>
      </c>
      <c r="C21" s="24">
        <f>C7-C8-C9-C10-C11-C12-C13-C14-C15-C16-C17-C18-C19-C20</f>
        <v>14744818221.43999</v>
      </c>
      <c r="D21" s="24">
        <f aca="true" t="shared" si="3" ref="D21:J21">D7-D8-D9-D10-D11-D12-D13-D14-D15-D16-D17-D18-D19-D20</f>
        <v>11817739532.239998</v>
      </c>
      <c r="E21" s="24">
        <f t="shared" si="3"/>
        <v>11788834351.719995</v>
      </c>
      <c r="F21" s="24">
        <f t="shared" si="3"/>
        <v>3560526.219999981</v>
      </c>
      <c r="G21" s="24">
        <f t="shared" si="3"/>
        <v>10419955.810000071</v>
      </c>
      <c r="H21" s="24">
        <f t="shared" si="3"/>
        <v>6240424.540000003</v>
      </c>
      <c r="I21" s="24">
        <f t="shared" si="3"/>
        <v>6628338.729999994</v>
      </c>
      <c r="J21" s="24">
        <f t="shared" si="3"/>
        <v>244124.25000000003</v>
      </c>
      <c r="K21" s="34">
        <f t="shared" si="0"/>
        <v>10.678693652753768</v>
      </c>
      <c r="L21" s="34">
        <f t="shared" si="1"/>
        <v>80.1484247195139</v>
      </c>
      <c r="M21" s="34">
        <f t="shared" si="2"/>
        <v>25.56639899714814</v>
      </c>
    </row>
    <row r="22" spans="2:13" ht="26.25" customHeight="1">
      <c r="B22" s="82" t="s">
        <v>69</v>
      </c>
      <c r="C22" s="49">
        <f>C23+C36+C38</f>
        <v>52780704595.80999</v>
      </c>
      <c r="D22" s="49">
        <f>D23+D36+D38</f>
        <v>38877836699.97</v>
      </c>
      <c r="E22" s="49">
        <f>E23+E36+E38</f>
        <v>38865240348.22</v>
      </c>
      <c r="F22" s="41" t="s">
        <v>60</v>
      </c>
      <c r="G22" s="41" t="s">
        <v>60</v>
      </c>
      <c r="H22" s="41" t="s">
        <v>60</v>
      </c>
      <c r="I22" s="41" t="s">
        <v>60</v>
      </c>
      <c r="J22" s="41" t="s">
        <v>60</v>
      </c>
      <c r="K22" s="50">
        <f t="shared" si="0"/>
        <v>35.13061925829014</v>
      </c>
      <c r="L22" s="50">
        <f t="shared" si="1"/>
        <v>73.65918472989905</v>
      </c>
      <c r="M22" s="28"/>
    </row>
    <row r="23" spans="2:13" ht="25.5" customHeight="1">
      <c r="B23" s="82" t="s">
        <v>62</v>
      </c>
      <c r="C23" s="49">
        <f>C24+C26+C28+C30+C32+C34</f>
        <v>43779654376.939995</v>
      </c>
      <c r="D23" s="49">
        <f>D24+D26+D28+D30+D32+D34</f>
        <v>34701638239.12</v>
      </c>
      <c r="E23" s="49">
        <f>E24+E26+E28+E30+E32+E34</f>
        <v>34700435011.15</v>
      </c>
      <c r="F23" s="41" t="s">
        <v>60</v>
      </c>
      <c r="G23" s="41" t="s">
        <v>60</v>
      </c>
      <c r="H23" s="41" t="s">
        <v>60</v>
      </c>
      <c r="I23" s="41" t="s">
        <v>60</v>
      </c>
      <c r="J23" s="41" t="s">
        <v>60</v>
      </c>
      <c r="K23" s="50">
        <f t="shared" si="0"/>
        <v>31.356941231722068</v>
      </c>
      <c r="L23" s="50">
        <f t="shared" si="1"/>
        <v>79.26430377988173</v>
      </c>
      <c r="M23" s="28"/>
    </row>
    <row r="24" spans="2:13" ht="22.5" customHeight="1">
      <c r="B24" s="32" t="s">
        <v>9</v>
      </c>
      <c r="C24" s="24">
        <f>38700756973.37</f>
        <v>38700756973.37</v>
      </c>
      <c r="D24" s="24">
        <f>31345651422.85</f>
        <v>31345651422.85</v>
      </c>
      <c r="E24" s="24">
        <f>31338666487.7</f>
        <v>31338666487.7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4">
        <f t="shared" si="0"/>
        <v>28.324419232412527</v>
      </c>
      <c r="L24" s="34">
        <f t="shared" si="1"/>
        <v>80.99493104080354</v>
      </c>
      <c r="M24" s="28"/>
    </row>
    <row r="25" spans="2:13" ht="13.5" customHeight="1">
      <c r="B25" s="63" t="s">
        <v>6</v>
      </c>
      <c r="C25" s="24">
        <f>18508490.04</f>
        <v>18508490.04</v>
      </c>
      <c r="D25" s="24">
        <f>3560188.49</f>
        <v>3560188.49</v>
      </c>
      <c r="E25" s="24">
        <f>3560188.49</f>
        <v>3560188.49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4">
        <f t="shared" si="0"/>
        <v>0.00321704181472714</v>
      </c>
      <c r="L25" s="34">
        <f t="shared" si="1"/>
        <v>19.235434561683995</v>
      </c>
      <c r="M25" s="28"/>
    </row>
    <row r="26" spans="2:13" ht="13.5" customHeight="1">
      <c r="B26" s="32" t="s">
        <v>7</v>
      </c>
      <c r="C26" s="24">
        <f>3655602045.21</f>
        <v>3655602045.21</v>
      </c>
      <c r="D26" s="24">
        <f>2582468908.65</f>
        <v>2582468908.65</v>
      </c>
      <c r="E26" s="24">
        <f>2581699407.4</f>
        <v>2581699407.4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4">
        <f t="shared" si="0"/>
        <v>2.3335591606161876</v>
      </c>
      <c r="L26" s="34">
        <f t="shared" si="1"/>
        <v>70.64414771388627</v>
      </c>
      <c r="M26" s="28"/>
    </row>
    <row r="27" spans="2:13" ht="13.5" customHeight="1">
      <c r="B27" s="63" t="s">
        <v>6</v>
      </c>
      <c r="C27" s="24">
        <f>419853578.2</f>
        <v>419853578.2</v>
      </c>
      <c r="D27" s="24">
        <f>171820165.41</f>
        <v>171820165.41</v>
      </c>
      <c r="E27" s="24">
        <f>171693880.17</f>
        <v>171693880.17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4">
        <f t="shared" si="0"/>
        <v>0.15525937974629644</v>
      </c>
      <c r="L27" s="34">
        <f t="shared" si="1"/>
        <v>40.92383019495247</v>
      </c>
      <c r="M27" s="28"/>
    </row>
    <row r="28" spans="2:13" ht="33" customHeight="1">
      <c r="B28" s="32" t="s">
        <v>10</v>
      </c>
      <c r="C28" s="24">
        <f>31941141.67</f>
        <v>31941141.67</v>
      </c>
      <c r="D28" s="24">
        <f>20257024.77</f>
        <v>20257024.77</v>
      </c>
      <c r="E28" s="24">
        <f>25945249.68</f>
        <v>25945249.68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4">
        <f t="shared" si="0"/>
        <v>0.018304563342671058</v>
      </c>
      <c r="L28" s="34">
        <f t="shared" si="1"/>
        <v>63.419851986774646</v>
      </c>
      <c r="M28" s="28"/>
    </row>
    <row r="29" spans="2:13" ht="13.5" customHeight="1">
      <c r="B29" s="63" t="s">
        <v>6</v>
      </c>
      <c r="C29" s="24">
        <f>16051772.48</f>
        <v>16051772.48</v>
      </c>
      <c r="D29" s="24">
        <f>8755653.44</f>
        <v>8755653.44</v>
      </c>
      <c r="E29" s="24">
        <f>14514980.44</f>
        <v>14514980.44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4">
        <f t="shared" si="0"/>
        <v>0.007911744928915132</v>
      </c>
      <c r="L29" s="34">
        <f t="shared" si="1"/>
        <v>54.54633406316509</v>
      </c>
      <c r="M29" s="28"/>
    </row>
    <row r="30" spans="2:13" ht="33.75">
      <c r="B30" s="32" t="s">
        <v>11</v>
      </c>
      <c r="C30" s="24">
        <f>591251702.61</f>
        <v>591251702.61</v>
      </c>
      <c r="D30" s="24">
        <f>279027987.26</f>
        <v>279027987.26</v>
      </c>
      <c r="E30" s="24">
        <f>278868954.34</f>
        <v>278868954.34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4">
        <f t="shared" si="0"/>
        <v>0.252134038693713</v>
      </c>
      <c r="L30" s="34">
        <f t="shared" si="1"/>
        <v>47.192758351184274</v>
      </c>
      <c r="M30" s="28"/>
    </row>
    <row r="31" spans="2:13" ht="12.75">
      <c r="B31" s="63" t="s">
        <v>6</v>
      </c>
      <c r="C31" s="24">
        <f>280476644.88</f>
        <v>280476644.88</v>
      </c>
      <c r="D31" s="24">
        <f>52842733.43</f>
        <v>52842733.43</v>
      </c>
      <c r="E31" s="24">
        <f>52842433.43</f>
        <v>52842433.43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4">
        <f t="shared" si="0"/>
        <v>0.04774951762421706</v>
      </c>
      <c r="L31" s="34">
        <f t="shared" si="1"/>
        <v>18.840332838624906</v>
      </c>
      <c r="M31" s="28"/>
    </row>
    <row r="32" spans="2:13" ht="45">
      <c r="B32" s="32" t="s">
        <v>79</v>
      </c>
      <c r="C32" s="24">
        <f>358004090.06</f>
        <v>358004090.06</v>
      </c>
      <c r="D32" s="24">
        <f>193979662.19</f>
        <v>193979662.19</v>
      </c>
      <c r="E32" s="24">
        <f>193991956.63</f>
        <v>193991956.63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4">
        <f t="shared" si="0"/>
        <v>0.17528304645237341</v>
      </c>
      <c r="L32" s="34">
        <f t="shared" si="1"/>
        <v>54.18364414705145</v>
      </c>
      <c r="M32" s="28"/>
    </row>
    <row r="33" spans="2:13" ht="12.75">
      <c r="B33" s="63" t="s">
        <v>6</v>
      </c>
      <c r="C33" s="24">
        <f>284726039.66</f>
        <v>284726039.66</v>
      </c>
      <c r="D33" s="24">
        <f>140196157.02</f>
        <v>140196157.02</v>
      </c>
      <c r="E33" s="24">
        <f>140276797.01</f>
        <v>140276797.01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4">
        <f t="shared" si="0"/>
        <v>0.1266834328194213</v>
      </c>
      <c r="L33" s="34">
        <f t="shared" si="1"/>
        <v>49.238965704511074</v>
      </c>
      <c r="M33" s="28"/>
    </row>
    <row r="34" spans="2:13" ht="22.5">
      <c r="B34" s="32" t="s">
        <v>8</v>
      </c>
      <c r="C34" s="24">
        <f>442098424.02</f>
        <v>442098424.02</v>
      </c>
      <c r="D34" s="24">
        <f>280253233.4</f>
        <v>280253233.4</v>
      </c>
      <c r="E34" s="24">
        <f>281262955.4</f>
        <v>281262955.4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4">
        <f t="shared" si="0"/>
        <v>0.2532411902045907</v>
      </c>
      <c r="L34" s="34">
        <f t="shared" si="1"/>
        <v>63.39159295155543</v>
      </c>
      <c r="M34" s="28"/>
    </row>
    <row r="35" spans="2:13" ht="12.75">
      <c r="B35" s="31" t="s">
        <v>6</v>
      </c>
      <c r="C35" s="22">
        <f>408357684.62</f>
        <v>408357684.62</v>
      </c>
      <c r="D35" s="22">
        <f>261542181.27</f>
        <v>261542181.27</v>
      </c>
      <c r="E35" s="22">
        <f>262869253.27</f>
        <v>262869253.27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4">
        <f t="shared" si="0"/>
        <v>0.23633359183758706</v>
      </c>
      <c r="L35" s="34">
        <f t="shared" si="1"/>
        <v>64.04732691962926</v>
      </c>
      <c r="M35" s="28"/>
    </row>
    <row r="36" spans="2:13" ht="12.75">
      <c r="B36" s="82" t="s">
        <v>107</v>
      </c>
      <c r="C36" s="49">
        <f>1342862645.67</f>
        <v>1342862645.67</v>
      </c>
      <c r="D36" s="49">
        <f>562429066.4</f>
        <v>562429066.4</v>
      </c>
      <c r="E36" s="49">
        <f>561259924.41</f>
        <v>561259924.41</v>
      </c>
      <c r="F36" s="41" t="s">
        <v>60</v>
      </c>
      <c r="G36" s="41" t="s">
        <v>60</v>
      </c>
      <c r="H36" s="41" t="s">
        <v>60</v>
      </c>
      <c r="I36" s="41" t="s">
        <v>60</v>
      </c>
      <c r="J36" s="41" t="s">
        <v>60</v>
      </c>
      <c r="K36" s="50">
        <f t="shared" si="0"/>
        <v>0.5082196713766542</v>
      </c>
      <c r="L36" s="50">
        <f t="shared" si="1"/>
        <v>41.882843953812184</v>
      </c>
      <c r="M36" s="28"/>
    </row>
    <row r="37" spans="2:13" ht="13.5" customHeight="1">
      <c r="B37" s="31" t="s">
        <v>108</v>
      </c>
      <c r="C37" s="22">
        <f>1205338115.54</f>
        <v>1205338115.54</v>
      </c>
      <c r="D37" s="22">
        <f>473615414.18</f>
        <v>473615414.18</v>
      </c>
      <c r="E37" s="22">
        <f>472908335.06</f>
        <v>472908335.06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4">
        <f t="shared" si="0"/>
        <v>0.4279662708297709</v>
      </c>
      <c r="L37" s="34">
        <f t="shared" si="1"/>
        <v>39.29315833240841</v>
      </c>
      <c r="M37" s="28"/>
    </row>
    <row r="38" spans="2:13" ht="13.5" customHeight="1">
      <c r="B38" s="82" t="s">
        <v>109</v>
      </c>
      <c r="C38" s="41">
        <f>7658187573.2</f>
        <v>7658187573.2</v>
      </c>
      <c r="D38" s="41">
        <f>3613769394.45</f>
        <v>3613769394.45</v>
      </c>
      <c r="E38" s="41">
        <f>3603545412.66</f>
        <v>3603545412.66</v>
      </c>
      <c r="F38" s="41" t="s">
        <v>60</v>
      </c>
      <c r="G38" s="41" t="s">
        <v>60</v>
      </c>
      <c r="H38" s="41" t="s">
        <v>60</v>
      </c>
      <c r="I38" s="41" t="s">
        <v>60</v>
      </c>
      <c r="J38" s="41" t="s">
        <v>60</v>
      </c>
      <c r="K38" s="64">
        <f t="shared" si="0"/>
        <v>3.26545835519142</v>
      </c>
      <c r="L38" s="64">
        <f t="shared" si="1"/>
        <v>47.18831133225918</v>
      </c>
      <c r="M38" s="28"/>
    </row>
    <row r="39" spans="2:13" ht="13.5" customHeight="1">
      <c r="B39" s="31" t="s">
        <v>110</v>
      </c>
      <c r="C39" s="22">
        <f>6581709475.71</f>
        <v>6581709475.71</v>
      </c>
      <c r="D39" s="22">
        <f>2813612516.81</f>
        <v>2813612516.81</v>
      </c>
      <c r="E39" s="22">
        <f>2806131172.2</f>
        <v>2806131172.2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4">
        <f t="shared" si="0"/>
        <v>2.5424241279476294</v>
      </c>
      <c r="L39" s="34">
        <f t="shared" si="1"/>
        <v>42.748962517925214</v>
      </c>
      <c r="M39" s="28"/>
    </row>
    <row r="40" spans="2:13" s="5" customFormat="1" ht="25.5" customHeight="1">
      <c r="B40" s="82" t="s">
        <v>63</v>
      </c>
      <c r="C40" s="25">
        <f>C41+C42+C43+C44+C45</f>
        <v>31232999742.68</v>
      </c>
      <c r="D40" s="25">
        <f>D41+D42+D43+D44+D45</f>
        <v>25564976105</v>
      </c>
      <c r="E40" s="25">
        <f>E41+E42+E43+E44+E45</f>
        <v>23887354608.510002</v>
      </c>
      <c r="F40" s="23" t="s">
        <v>60</v>
      </c>
      <c r="G40" s="23" t="s">
        <v>60</v>
      </c>
      <c r="H40" s="23" t="s">
        <v>60</v>
      </c>
      <c r="I40" s="23" t="s">
        <v>60</v>
      </c>
      <c r="J40" s="23" t="s">
        <v>60</v>
      </c>
      <c r="K40" s="33">
        <f t="shared" si="0"/>
        <v>23.100910907749487</v>
      </c>
      <c r="L40" s="33">
        <f t="shared" si="1"/>
        <v>81.85245194385018</v>
      </c>
      <c r="M40" s="29"/>
    </row>
    <row r="41" spans="2:13" ht="13.5" customHeight="1">
      <c r="B41" s="20" t="s">
        <v>50</v>
      </c>
      <c r="C41" s="22">
        <f>8746659140.68</f>
        <v>8746659140.68</v>
      </c>
      <c r="D41" s="22">
        <f>6559814889</f>
        <v>6559814889</v>
      </c>
      <c r="E41" s="22">
        <f>6559307661</f>
        <v>6559307661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4">
        <f t="shared" si="0"/>
        <v>5.927550986150925</v>
      </c>
      <c r="L41" s="34">
        <f t="shared" si="1"/>
        <v>74.99794817075738</v>
      </c>
      <c r="M41" s="28"/>
    </row>
    <row r="42" spans="2:13" ht="13.5" customHeight="1">
      <c r="B42" s="32" t="s">
        <v>49</v>
      </c>
      <c r="C42" s="24">
        <f>22098404465</f>
        <v>22098404465</v>
      </c>
      <c r="D42" s="24">
        <f>18711055411</f>
        <v>18711055411</v>
      </c>
      <c r="E42" s="24">
        <f>17033666325.51</f>
        <v>17033666325.51</v>
      </c>
      <c r="F42" s="24" t="s">
        <v>60</v>
      </c>
      <c r="G42" s="24" t="s">
        <v>60</v>
      </c>
      <c r="H42" s="24" t="s">
        <v>60</v>
      </c>
      <c r="I42" s="24" t="s">
        <v>60</v>
      </c>
      <c r="J42" s="24" t="s">
        <v>60</v>
      </c>
      <c r="K42" s="34">
        <f t="shared" si="0"/>
        <v>16.90760133176643</v>
      </c>
      <c r="L42" s="34">
        <f t="shared" si="1"/>
        <v>84.67152205778038</v>
      </c>
      <c r="M42" s="28"/>
    </row>
    <row r="43" spans="2:13" ht="13.5" customHeight="1">
      <c r="B43" s="32" t="s">
        <v>48</v>
      </c>
      <c r="C43" s="24">
        <f>0</f>
        <v>0</v>
      </c>
      <c r="D43" s="24">
        <f>0</f>
        <v>0</v>
      </c>
      <c r="E43" s="24">
        <f>0</f>
        <v>0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4">
        <f t="shared" si="0"/>
        <v>0</v>
      </c>
      <c r="L43" s="34">
        <f t="shared" si="1"/>
      </c>
      <c r="M43" s="28"/>
    </row>
    <row r="44" spans="2:13" ht="13.5" customHeight="1">
      <c r="B44" s="32" t="s">
        <v>47</v>
      </c>
      <c r="C44" s="24">
        <f>337928594</f>
        <v>337928594</v>
      </c>
      <c r="D44" s="24">
        <f>253446894</f>
        <v>253446894</v>
      </c>
      <c r="E44" s="24">
        <f>253721711</f>
        <v>253721711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4">
        <f t="shared" si="0"/>
        <v>0.2290185640734761</v>
      </c>
      <c r="L44" s="34">
        <f t="shared" si="1"/>
        <v>75.00013272034624</v>
      </c>
      <c r="M44" s="28"/>
    </row>
    <row r="45" spans="2:13" s="5" customFormat="1" ht="22.5" customHeight="1">
      <c r="B45" s="32" t="s">
        <v>45</v>
      </c>
      <c r="C45" s="24">
        <f>50007543</f>
        <v>50007543</v>
      </c>
      <c r="D45" s="24">
        <f>40658911</f>
        <v>40658911</v>
      </c>
      <c r="E45" s="24">
        <f>40658911</f>
        <v>40658911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4">
        <f t="shared" si="0"/>
        <v>0.03674002575865563</v>
      </c>
      <c r="L45" s="34">
        <f t="shared" si="1"/>
        <v>81.30555624378506</v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2" t="s">
        <v>5</v>
      </c>
      <c r="C47" s="41">
        <f aca="true" t="shared" si="4" ref="C47:J47">+C6</f>
        <v>146389327536.06</v>
      </c>
      <c r="D47" s="41">
        <f t="shared" si="4"/>
        <v>110666528290.12</v>
      </c>
      <c r="E47" s="41">
        <f t="shared" si="4"/>
        <v>107467556907.37</v>
      </c>
      <c r="F47" s="41">
        <f t="shared" si="4"/>
        <v>2049075933.73</v>
      </c>
      <c r="G47" s="41">
        <f t="shared" si="4"/>
        <v>540873767.84</v>
      </c>
      <c r="H47" s="41">
        <f t="shared" si="4"/>
        <v>91831145.53</v>
      </c>
      <c r="I47" s="41">
        <f t="shared" si="4"/>
        <v>132046835.39</v>
      </c>
      <c r="J47" s="41">
        <f t="shared" si="4"/>
        <v>858028.15</v>
      </c>
      <c r="K47" s="65">
        <f t="shared" si="0"/>
        <v>100</v>
      </c>
      <c r="L47" s="65">
        <f>IF(C47=0,"",100*D47/C47)</f>
        <v>75.59740190954807</v>
      </c>
      <c r="M47" s="65"/>
    </row>
    <row r="48" spans="1:13" s="5" customFormat="1" ht="13.5" customHeight="1">
      <c r="A48" s="2"/>
      <c r="B48" s="83" t="s">
        <v>71</v>
      </c>
      <c r="C48" s="24">
        <f>15108677086.65</f>
        <v>15108677086.65</v>
      </c>
      <c r="D48" s="24">
        <f>9145113631.98</f>
        <v>9145113631.98</v>
      </c>
      <c r="E48" s="24">
        <f>9129715472.53</f>
        <v>9129715472.53</v>
      </c>
      <c r="F48" s="24">
        <f>0</f>
        <v>0</v>
      </c>
      <c r="G48" s="24">
        <f>0</f>
        <v>0</v>
      </c>
      <c r="H48" s="24">
        <f>0</f>
        <v>0</v>
      </c>
      <c r="I48" s="24">
        <f>133724.4</f>
        <v>133724.4</v>
      </c>
      <c r="J48" s="24">
        <f>0</f>
        <v>0</v>
      </c>
      <c r="K48" s="38">
        <f t="shared" si="0"/>
        <v>8.263667229178319</v>
      </c>
      <c r="L48" s="38">
        <f>IF(C48=0,"",100*D48/C48)</f>
        <v>60.52888402824233</v>
      </c>
      <c r="M48" s="38"/>
    </row>
    <row r="49" spans="1:13" s="5" customFormat="1" ht="13.5" customHeight="1">
      <c r="A49" s="2"/>
      <c r="B49" s="83" t="s">
        <v>72</v>
      </c>
      <c r="C49" s="24">
        <f>C47-C48</f>
        <v>131280650449.41</v>
      </c>
      <c r="D49" s="24">
        <f aca="true" t="shared" si="5" ref="D49:J49">D47-D48</f>
        <v>101521414658.14</v>
      </c>
      <c r="E49" s="24">
        <f t="shared" si="5"/>
        <v>98337841434.84</v>
      </c>
      <c r="F49" s="24">
        <f t="shared" si="5"/>
        <v>2049075933.73</v>
      </c>
      <c r="G49" s="24">
        <f t="shared" si="5"/>
        <v>540873767.84</v>
      </c>
      <c r="H49" s="24">
        <f t="shared" si="5"/>
        <v>91831145.53</v>
      </c>
      <c r="I49" s="24">
        <f t="shared" si="5"/>
        <v>131913110.99</v>
      </c>
      <c r="J49" s="24">
        <f t="shared" si="5"/>
        <v>858028.15</v>
      </c>
      <c r="K49" s="38">
        <f t="shared" si="0"/>
        <v>91.73633277082169</v>
      </c>
      <c r="L49" s="38">
        <f>IF(C49=0,"",100*D49/C49)</f>
        <v>77.33159023100822</v>
      </c>
      <c r="M49" s="38"/>
    </row>
    <row r="50" spans="2:13" ht="15">
      <c r="B50" s="102" t="s">
        <v>112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3" t="s">
        <v>0</v>
      </c>
      <c r="C52" s="104" t="s">
        <v>56</v>
      </c>
      <c r="D52" s="104" t="s">
        <v>57</v>
      </c>
      <c r="E52" s="104" t="s">
        <v>58</v>
      </c>
      <c r="F52" s="104" t="s">
        <v>12</v>
      </c>
      <c r="G52" s="104"/>
      <c r="H52" s="104"/>
      <c r="I52" s="104" t="s">
        <v>95</v>
      </c>
      <c r="J52" s="104"/>
      <c r="K52" s="104" t="s">
        <v>2</v>
      </c>
      <c r="L52" s="108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3"/>
      <c r="C53" s="104"/>
      <c r="D53" s="107"/>
      <c r="E53" s="104"/>
      <c r="F53" s="92" t="s">
        <v>59</v>
      </c>
      <c r="G53" s="106" t="s">
        <v>34</v>
      </c>
      <c r="H53" s="107"/>
      <c r="I53" s="104"/>
      <c r="J53" s="104"/>
      <c r="K53" s="104"/>
      <c r="L53" s="108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3"/>
      <c r="C54" s="104"/>
      <c r="D54" s="107"/>
      <c r="E54" s="104"/>
      <c r="F54" s="107"/>
      <c r="G54" s="18" t="s">
        <v>54</v>
      </c>
      <c r="H54" s="18" t="s">
        <v>55</v>
      </c>
      <c r="I54" s="104"/>
      <c r="J54" s="104"/>
      <c r="K54" s="104"/>
      <c r="L54" s="108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3"/>
      <c r="C55" s="105" t="s">
        <v>78</v>
      </c>
      <c r="D55" s="105"/>
      <c r="E55" s="105"/>
      <c r="F55" s="105"/>
      <c r="G55" s="105"/>
      <c r="H55" s="105"/>
      <c r="I55" s="105"/>
      <c r="J55" s="105"/>
      <c r="K55" s="105" t="s">
        <v>4</v>
      </c>
      <c r="L55" s="10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107">
        <v>8</v>
      </c>
      <c r="J56" s="107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2" t="s">
        <v>64</v>
      </c>
      <c r="C57" s="66">
        <f>156716856639.81</f>
        <v>156716856639.81</v>
      </c>
      <c r="D57" s="66">
        <f>127759846621.32</f>
        <v>127759846621.32</v>
      </c>
      <c r="E57" s="66">
        <f>101128989679.1</f>
        <v>101128989679.1</v>
      </c>
      <c r="F57" s="66">
        <f>3032291145.26</f>
        <v>3032291145.26</v>
      </c>
      <c r="G57" s="66">
        <f>1666087.59</f>
        <v>1666087.59</v>
      </c>
      <c r="H57" s="66">
        <f>10446670.5</f>
        <v>10446670.5</v>
      </c>
      <c r="I57" s="111">
        <f>0</f>
        <v>0</v>
      </c>
      <c r="J57" s="111"/>
      <c r="K57" s="58">
        <f aca="true" t="shared" si="6" ref="K57:K66">IF($E$57=0,"",100*$E57/$E$57)</f>
        <v>100</v>
      </c>
      <c r="L57" s="58">
        <f aca="true" t="shared" si="7" ref="L57:L66">IF(C57=0,"",100*E57/C57)</f>
        <v>64.52974609587129</v>
      </c>
    </row>
    <row r="58" spans="2:12" ht="24" customHeight="1">
      <c r="B58" s="82" t="s">
        <v>14</v>
      </c>
      <c r="C58" s="26">
        <f>29469063234.99</f>
        <v>29469063234.99</v>
      </c>
      <c r="D58" s="26">
        <f>18576628387.97</f>
        <v>18576628387.97</v>
      </c>
      <c r="E58" s="26">
        <f>11640504846.16</f>
        <v>11640504846.16</v>
      </c>
      <c r="F58" s="26">
        <f>1010955854.78</f>
        <v>1010955854.78</v>
      </c>
      <c r="G58" s="26">
        <f>269611.62</f>
        <v>269611.62</v>
      </c>
      <c r="H58" s="26">
        <f>1172144.19</f>
        <v>1172144.19</v>
      </c>
      <c r="I58" s="101">
        <f>0</f>
        <v>0</v>
      </c>
      <c r="J58" s="112"/>
      <c r="K58" s="35">
        <f t="shared" si="6"/>
        <v>11.510551903165808</v>
      </c>
      <c r="L58" s="35">
        <f t="shared" si="7"/>
        <v>39.500763065785826</v>
      </c>
    </row>
    <row r="59" spans="2:12" ht="22.5" customHeight="1">
      <c r="B59" s="20" t="s">
        <v>13</v>
      </c>
      <c r="C59" s="22">
        <f>28942760072.02</f>
        <v>28942760072.02</v>
      </c>
      <c r="D59" s="22">
        <f>18208270099.1</f>
        <v>18208270099.1</v>
      </c>
      <c r="E59" s="22">
        <f>11300151998.97</f>
        <v>11300151998.97</v>
      </c>
      <c r="F59" s="22">
        <f>1002936562.21</f>
        <v>1002936562.21</v>
      </c>
      <c r="G59" s="22">
        <f>269611.62</f>
        <v>269611.62</v>
      </c>
      <c r="H59" s="22">
        <f>1172144.19</f>
        <v>1172144.19</v>
      </c>
      <c r="I59" s="109">
        <f>0</f>
        <v>0</v>
      </c>
      <c r="J59" s="110"/>
      <c r="K59" s="36">
        <f t="shared" si="6"/>
        <v>11.173998706827152</v>
      </c>
      <c r="L59" s="36">
        <f t="shared" si="7"/>
        <v>39.043104288779496</v>
      </c>
    </row>
    <row r="60" spans="2:12" ht="25.5" customHeight="1">
      <c r="B60" s="82" t="s">
        <v>65</v>
      </c>
      <c r="C60" s="26">
        <f aca="true" t="shared" si="8" ref="C60:I60">C57-C58</f>
        <v>127247793404.81999</v>
      </c>
      <c r="D60" s="26">
        <f t="shared" si="8"/>
        <v>109183218233.35</v>
      </c>
      <c r="E60" s="26">
        <f t="shared" si="8"/>
        <v>89488484832.94</v>
      </c>
      <c r="F60" s="26">
        <f t="shared" si="8"/>
        <v>2021335290.4800003</v>
      </c>
      <c r="G60" s="26">
        <f t="shared" si="8"/>
        <v>1396475.9700000002</v>
      </c>
      <c r="H60" s="26">
        <f t="shared" si="8"/>
        <v>9274526.31</v>
      </c>
      <c r="I60" s="101">
        <f t="shared" si="8"/>
        <v>0</v>
      </c>
      <c r="J60" s="101"/>
      <c r="K60" s="35">
        <f t="shared" si="6"/>
        <v>88.48944809683418</v>
      </c>
      <c r="L60" s="35">
        <f t="shared" si="7"/>
        <v>70.3261584648825</v>
      </c>
    </row>
    <row r="61" spans="2:12" ht="22.5">
      <c r="B61" s="20" t="s">
        <v>111</v>
      </c>
      <c r="C61" s="22">
        <f>46006748046.78</f>
        <v>46006748046.78</v>
      </c>
      <c r="D61" s="22">
        <f>42269403625.46</f>
        <v>42269403625.46</v>
      </c>
      <c r="E61" s="22">
        <f>32319055136.58</f>
        <v>32319055136.58</v>
      </c>
      <c r="F61" s="22">
        <f>828058145.7</f>
        <v>828058145.7</v>
      </c>
      <c r="G61" s="22">
        <f>346999.05</f>
        <v>346999.05</v>
      </c>
      <c r="H61" s="22">
        <f>1773351.88</f>
        <v>1773351.88</v>
      </c>
      <c r="I61" s="109">
        <f>0</f>
        <v>0</v>
      </c>
      <c r="J61" s="110"/>
      <c r="K61" s="36">
        <f t="shared" si="6"/>
        <v>31.95824979477598</v>
      </c>
      <c r="L61" s="36">
        <f t="shared" si="7"/>
        <v>70.24851029183316</v>
      </c>
    </row>
    <row r="62" spans="2:12" ht="13.5" customHeight="1">
      <c r="B62" s="32" t="s">
        <v>53</v>
      </c>
      <c r="C62" s="68">
        <f>8820556205.64</f>
        <v>8820556205.64</v>
      </c>
      <c r="D62" s="68">
        <f>7322417683.2</f>
        <v>7322417683.2</v>
      </c>
      <c r="E62" s="68">
        <f>6435518186.53</f>
        <v>6435518186.53</v>
      </c>
      <c r="F62" s="68">
        <f>24855057.43</f>
        <v>24855057.43</v>
      </c>
      <c r="G62" s="68">
        <f>346000.39</f>
        <v>346000.39</v>
      </c>
      <c r="H62" s="68">
        <f>449632.93</f>
        <v>449632.93</v>
      </c>
      <c r="I62" s="100">
        <f>0</f>
        <v>0</v>
      </c>
      <c r="J62" s="100"/>
      <c r="K62" s="69">
        <f t="shared" si="6"/>
        <v>6.363672975425767</v>
      </c>
      <c r="L62" s="69">
        <f t="shared" si="7"/>
        <v>72.96045778173298</v>
      </c>
    </row>
    <row r="63" spans="2:12" ht="13.5" customHeight="1">
      <c r="B63" s="32" t="s">
        <v>52</v>
      </c>
      <c r="C63" s="24">
        <f>982410038.92</f>
        <v>982410038.92</v>
      </c>
      <c r="D63" s="24">
        <f>589580133.4</f>
        <v>589580133.4</v>
      </c>
      <c r="E63" s="24">
        <f>499097350.05</f>
        <v>499097350.05</v>
      </c>
      <c r="F63" s="24">
        <f>13604405.79</f>
        <v>13604405.79</v>
      </c>
      <c r="G63" s="24">
        <f>0</f>
        <v>0</v>
      </c>
      <c r="H63" s="24">
        <f>455.89</f>
        <v>455.89</v>
      </c>
      <c r="I63" s="115">
        <f>0</f>
        <v>0</v>
      </c>
      <c r="J63" s="115"/>
      <c r="K63" s="69">
        <f t="shared" si="6"/>
        <v>0.49352549811258206</v>
      </c>
      <c r="L63" s="69">
        <f t="shared" si="7"/>
        <v>50.80336420408288</v>
      </c>
    </row>
    <row r="64" spans="2:12" ht="22.5" customHeight="1">
      <c r="B64" s="32" t="s">
        <v>68</v>
      </c>
      <c r="C64" s="68">
        <f>114414701.27</f>
        <v>114414701.27</v>
      </c>
      <c r="D64" s="68">
        <f>11646110.68</f>
        <v>11646110.68</v>
      </c>
      <c r="E64" s="68">
        <f>2483017.36</f>
        <v>2483017.36</v>
      </c>
      <c r="F64" s="68">
        <f>0</f>
        <v>0</v>
      </c>
      <c r="G64" s="68">
        <f>0</f>
        <v>0</v>
      </c>
      <c r="H64" s="68">
        <f>0</f>
        <v>0</v>
      </c>
      <c r="I64" s="100">
        <f>0</f>
        <v>0</v>
      </c>
      <c r="J64" s="100"/>
      <c r="K64" s="69">
        <f t="shared" si="6"/>
        <v>0.00245529730681484</v>
      </c>
      <c r="L64" s="69">
        <f t="shared" si="7"/>
        <v>2.1701908342534453</v>
      </c>
    </row>
    <row r="65" spans="2:12" ht="22.5" customHeight="1">
      <c r="B65" s="32" t="s">
        <v>70</v>
      </c>
      <c r="C65" s="68">
        <f>40018085046.08</f>
        <v>40018085046.08</v>
      </c>
      <c r="D65" s="68">
        <f>36390948492.22</f>
        <v>36390948492.22</v>
      </c>
      <c r="E65" s="68">
        <f>31340603735.69</f>
        <v>31340603735.69</v>
      </c>
      <c r="F65" s="68">
        <f>367747676.08</f>
        <v>367747676.08</v>
      </c>
      <c r="G65" s="68">
        <f>4695.92</f>
        <v>4695.92</v>
      </c>
      <c r="H65" s="68">
        <f>61468.68</f>
        <v>61468.68</v>
      </c>
      <c r="I65" s="113">
        <f>0</f>
        <v>0</v>
      </c>
      <c r="J65" s="114"/>
      <c r="K65" s="69">
        <f t="shared" si="6"/>
        <v>30.99072168637225</v>
      </c>
      <c r="L65" s="69">
        <f t="shared" si="7"/>
        <v>78.3161005820292</v>
      </c>
    </row>
    <row r="66" spans="2:12" ht="13.5" customHeight="1">
      <c r="B66" s="32" t="s">
        <v>51</v>
      </c>
      <c r="C66" s="24">
        <f aca="true" t="shared" si="9" ref="C66:I66">C60-C61-C62-C63-C64-C65</f>
        <v>31305579366.12999</v>
      </c>
      <c r="D66" s="24">
        <f t="shared" si="9"/>
        <v>22599222188.390007</v>
      </c>
      <c r="E66" s="24">
        <f t="shared" si="9"/>
        <v>18891727406.73</v>
      </c>
      <c r="F66" s="24">
        <f t="shared" si="9"/>
        <v>787070005.4800003</v>
      </c>
      <c r="G66" s="24">
        <f t="shared" si="9"/>
        <v>698780.6100000001</v>
      </c>
      <c r="H66" s="24">
        <f t="shared" si="9"/>
        <v>6989616.930000002</v>
      </c>
      <c r="I66" s="100">
        <f t="shared" si="9"/>
        <v>0</v>
      </c>
      <c r="J66" s="100" t="e">
        <f>J60-J61-#REF!-J62-J63-J64-J65</f>
        <v>#REF!</v>
      </c>
      <c r="K66" s="69">
        <f t="shared" si="6"/>
        <v>18.68082284484079</v>
      </c>
      <c r="L66" s="69">
        <f t="shared" si="7"/>
        <v>60.34619958884794</v>
      </c>
    </row>
    <row r="67" spans="2:13" ht="18" customHeight="1">
      <c r="B67" s="82" t="s">
        <v>15</v>
      </c>
      <c r="C67" s="26">
        <f>C6-C57</f>
        <v>-10327529103.75</v>
      </c>
      <c r="D67" s="26"/>
      <c r="E67" s="26">
        <f>D6-E57</f>
        <v>9537538611.019989</v>
      </c>
      <c r="F67" s="26"/>
      <c r="G67" s="26"/>
      <c r="H67" s="26"/>
      <c r="I67" s="101"/>
      <c r="J67" s="101"/>
      <c r="K67" s="27"/>
      <c r="L67" s="27"/>
      <c r="M67" s="13"/>
    </row>
    <row r="68" spans="2:13" ht="33" customHeight="1">
      <c r="B68" s="84" t="s">
        <v>73</v>
      </c>
      <c r="C68" s="26">
        <f>+C49-C60</f>
        <v>4032857044.5900116</v>
      </c>
      <c r="D68" s="26"/>
      <c r="E68" s="26">
        <f>+D49-E60</f>
        <v>12032929825.199997</v>
      </c>
      <c r="F68" s="26"/>
      <c r="G68" s="26"/>
      <c r="H68" s="26"/>
      <c r="I68" s="26"/>
      <c r="J68" s="26"/>
      <c r="K68" s="27"/>
      <c r="L68" s="27"/>
      <c r="M68" s="13"/>
    </row>
    <row r="69" spans="2:13" ht="8.25" customHeight="1" thickBot="1">
      <c r="B69" s="70"/>
      <c r="C69" s="71"/>
      <c r="D69" s="71"/>
      <c r="E69" s="71"/>
      <c r="F69" s="71"/>
      <c r="G69" s="71"/>
      <c r="H69" s="71"/>
      <c r="I69" s="71"/>
      <c r="J69" s="71"/>
      <c r="K69" s="27"/>
      <c r="L69" s="27"/>
      <c r="M69" s="13"/>
    </row>
    <row r="70" spans="2:13" ht="14.25" customHeight="1">
      <c r="B70" s="85" t="s">
        <v>74</v>
      </c>
      <c r="C70" s="71"/>
      <c r="D70" s="71"/>
      <c r="E70" s="71"/>
      <c r="F70" s="71"/>
      <c r="G70" s="71"/>
      <c r="H70" s="71"/>
      <c r="I70" s="71"/>
      <c r="J70" s="71"/>
      <c r="K70" s="27"/>
      <c r="L70" s="27"/>
      <c r="M70" s="13"/>
    </row>
    <row r="71" spans="2:13" ht="24" customHeight="1">
      <c r="B71" s="82" t="s">
        <v>75</v>
      </c>
      <c r="C71" s="41">
        <f>12722538058.8</f>
        <v>12722538058.8</v>
      </c>
      <c r="D71" s="41">
        <f>8228037489.76</f>
        <v>8228037489.76</v>
      </c>
      <c r="E71" s="41">
        <f>5289342661.1</f>
        <v>5289342661.1</v>
      </c>
      <c r="F71" s="41">
        <f>357152846.91</f>
        <v>357152846.91</v>
      </c>
      <c r="G71" s="41">
        <f>0</f>
        <v>0</v>
      </c>
      <c r="H71" s="41">
        <f>1250.6</f>
        <v>1250.6</v>
      </c>
      <c r="I71" s="41">
        <f>0</f>
        <v>0</v>
      </c>
      <c r="J71" s="41">
        <f>0</f>
        <v>0</v>
      </c>
      <c r="K71" s="72">
        <f>IF($E$57=0,"",100*$E71/$E$71)</f>
        <v>100</v>
      </c>
      <c r="L71" s="72">
        <f>IF(C71=0,"",100*E71/C71)</f>
        <v>41.574587056876105</v>
      </c>
      <c r="M71" s="13"/>
    </row>
    <row r="72" spans="2:13" ht="15" customHeight="1">
      <c r="B72" s="86" t="s">
        <v>76</v>
      </c>
      <c r="C72" s="22">
        <f>11244599348.24</f>
        <v>11244599348.24</v>
      </c>
      <c r="D72" s="22">
        <f>7288667229.79</f>
        <v>7288667229.79</v>
      </c>
      <c r="E72" s="22">
        <f>4515711274.81</f>
        <v>4515711274.81</v>
      </c>
      <c r="F72" s="22">
        <f>346249664.99</f>
        <v>346249664.99</v>
      </c>
      <c r="G72" s="22">
        <f>0</f>
        <v>0</v>
      </c>
      <c r="H72" s="22">
        <f>0.6</f>
        <v>0.6</v>
      </c>
      <c r="I72" s="22">
        <f>0</f>
        <v>0</v>
      </c>
      <c r="J72" s="22">
        <f>0</f>
        <v>0</v>
      </c>
      <c r="K72" s="36">
        <f>IF($E$57=0,"",100*$E72/$E$71)</f>
        <v>85.37377069593916</v>
      </c>
      <c r="L72" s="36">
        <f>IF(C72=0,"",100*E72/C72)</f>
        <v>40.15893439117329</v>
      </c>
      <c r="M72" s="13"/>
    </row>
    <row r="73" spans="2:13" ht="14.25" customHeight="1">
      <c r="B73" s="87" t="s">
        <v>77</v>
      </c>
      <c r="C73" s="22">
        <f>+C71-C72</f>
        <v>1477938710.5599995</v>
      </c>
      <c r="D73" s="22">
        <f aca="true" t="shared" si="10" ref="D73:J73">+D71-D72</f>
        <v>939370259.9700003</v>
      </c>
      <c r="E73" s="22">
        <f t="shared" si="10"/>
        <v>773631386.29</v>
      </c>
      <c r="F73" s="22">
        <f t="shared" si="10"/>
        <v>10903181.920000017</v>
      </c>
      <c r="G73" s="22">
        <f t="shared" si="10"/>
        <v>0</v>
      </c>
      <c r="H73" s="22">
        <f t="shared" si="10"/>
        <v>1250</v>
      </c>
      <c r="I73" s="22">
        <f t="shared" si="10"/>
        <v>0</v>
      </c>
      <c r="J73" s="22">
        <f t="shared" si="10"/>
        <v>0</v>
      </c>
      <c r="K73" s="36">
        <f>IF($E$57=0,"",100*$E73/$E$71)</f>
        <v>14.626229304060846</v>
      </c>
      <c r="L73" s="36">
        <f>IF(C73=0,"",100*E73/C73)</f>
        <v>52.34529556349916</v>
      </c>
      <c r="M73" s="10"/>
    </row>
    <row r="74" spans="2:13" ht="15">
      <c r="B74" s="102" t="s">
        <v>112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ht="6.75" customHeight="1"/>
    <row r="76" spans="2:8" ht="18" customHeight="1">
      <c r="B76" s="81" t="s">
        <v>16</v>
      </c>
      <c r="C76" s="91" t="s">
        <v>17</v>
      </c>
      <c r="D76" s="90"/>
      <c r="E76" s="91" t="s">
        <v>1</v>
      </c>
      <c r="F76" s="90"/>
      <c r="G76" s="19" t="s">
        <v>26</v>
      </c>
      <c r="H76" s="19" t="s">
        <v>27</v>
      </c>
    </row>
    <row r="77" spans="2:10" ht="13.5" customHeight="1">
      <c r="B77" s="40"/>
      <c r="C77" s="92" t="s">
        <v>78</v>
      </c>
      <c r="D77" s="93"/>
      <c r="E77" s="93"/>
      <c r="F77" s="94"/>
      <c r="G77" s="95" t="s">
        <v>4</v>
      </c>
      <c r="H77" s="96"/>
      <c r="J77" s="14"/>
    </row>
    <row r="78" spans="2:10" ht="11.25" customHeight="1">
      <c r="B78" s="39">
        <v>1</v>
      </c>
      <c r="C78" s="42">
        <v>2</v>
      </c>
      <c r="D78" s="43"/>
      <c r="E78" s="42">
        <v>3</v>
      </c>
      <c r="F78" s="43"/>
      <c r="G78" s="30">
        <v>4</v>
      </c>
      <c r="H78" s="30">
        <v>5</v>
      </c>
      <c r="J78" s="10"/>
    </row>
    <row r="79" spans="2:8" ht="25.5" customHeight="1">
      <c r="B79" s="80" t="s">
        <v>66</v>
      </c>
      <c r="C79" s="44">
        <f>15626934977.33</f>
        <v>15626934977.33</v>
      </c>
      <c r="D79" s="45"/>
      <c r="E79" s="44">
        <f>12182568886.93</f>
        <v>12182568886.93</v>
      </c>
      <c r="F79" s="45"/>
      <c r="G79" s="37">
        <f aca="true" t="shared" si="11" ref="G79:G86">IF($E$79=0,"",100*$E79/$E$79)</f>
        <v>100</v>
      </c>
      <c r="H79" s="35">
        <f>IF(C79=0,"",100*E79/C79)</f>
        <v>77.95878657333161</v>
      </c>
    </row>
    <row r="80" spans="2:8" ht="26.25" customHeight="1">
      <c r="B80" s="60" t="s">
        <v>96</v>
      </c>
      <c r="C80" s="46">
        <f>8983150449.98</f>
        <v>8983150449.98</v>
      </c>
      <c r="D80" s="47"/>
      <c r="E80" s="46">
        <f>2090959863.51</f>
        <v>2090959863.51</v>
      </c>
      <c r="F80" s="47"/>
      <c r="G80" s="56">
        <f t="shared" si="11"/>
        <v>17.1635381906461</v>
      </c>
      <c r="H80" s="57">
        <f aca="true" t="shared" si="12" ref="H80:H91">IF(C80=0,"",100*E80/C80)</f>
        <v>23.276464923446266</v>
      </c>
    </row>
    <row r="81" spans="2:8" ht="22.5">
      <c r="B81" s="73" t="s">
        <v>97</v>
      </c>
      <c r="C81" s="74">
        <f>401758899.58</f>
        <v>401758899.58</v>
      </c>
      <c r="D81" s="75"/>
      <c r="E81" s="74">
        <f>88260000</f>
        <v>88260000</v>
      </c>
      <c r="F81" s="75"/>
      <c r="G81" s="76">
        <f t="shared" si="11"/>
        <v>0.7244777420851627</v>
      </c>
      <c r="H81" s="67">
        <f t="shared" si="12"/>
        <v>21.96839947846016</v>
      </c>
    </row>
    <row r="82" spans="2:8" ht="12.75">
      <c r="B82" s="77" t="s">
        <v>98</v>
      </c>
      <c r="C82" s="74">
        <f>74517738.48</f>
        <v>74517738.48</v>
      </c>
      <c r="D82" s="75"/>
      <c r="E82" s="74">
        <f>34735235.68</f>
        <v>34735235.68</v>
      </c>
      <c r="F82" s="75"/>
      <c r="G82" s="76">
        <f t="shared" si="11"/>
        <v>0.2851224237054428</v>
      </c>
      <c r="H82" s="67">
        <f t="shared" si="12"/>
        <v>46.61337875856589</v>
      </c>
    </row>
    <row r="83" spans="2:8" ht="12.75">
      <c r="B83" s="77" t="s">
        <v>99</v>
      </c>
      <c r="C83" s="74">
        <f>1473998325.28</f>
        <v>1473998325.28</v>
      </c>
      <c r="D83" s="75"/>
      <c r="E83" s="74">
        <f>2291806023.08</f>
        <v>2291806023.08</v>
      </c>
      <c r="F83" s="75"/>
      <c r="G83" s="76">
        <f t="shared" si="11"/>
        <v>18.812173724203202</v>
      </c>
      <c r="H83" s="67">
        <f t="shared" si="12"/>
        <v>155.48226777290603</v>
      </c>
    </row>
    <row r="84" spans="2:8" ht="13.5" customHeight="1">
      <c r="B84" s="77" t="s">
        <v>100</v>
      </c>
      <c r="C84" s="74">
        <f>0</f>
        <v>0</v>
      </c>
      <c r="D84" s="75"/>
      <c r="E84" s="74">
        <f>7685.04</f>
        <v>7685.04</v>
      </c>
      <c r="F84" s="75"/>
      <c r="G84" s="76">
        <f t="shared" si="11"/>
        <v>6.308226180641467E-05</v>
      </c>
      <c r="H84" s="67">
        <f t="shared" si="12"/>
      </c>
    </row>
    <row r="85" spans="2:8" ht="40.5" customHeight="1">
      <c r="B85" s="77" t="s">
        <v>80</v>
      </c>
      <c r="C85" s="74">
        <f>4287080801.31</f>
        <v>4287080801.31</v>
      </c>
      <c r="D85" s="75"/>
      <c r="E85" s="74">
        <f>6783626630.76</f>
        <v>6783626630.76</v>
      </c>
      <c r="F85" s="75"/>
      <c r="G85" s="76">
        <f t="shared" si="11"/>
        <v>55.683055796530525</v>
      </c>
      <c r="H85" s="67">
        <f t="shared" si="12"/>
        <v>158.23416784416875</v>
      </c>
    </row>
    <row r="86" spans="2:8" ht="12.75">
      <c r="B86" s="77" t="s">
        <v>81</v>
      </c>
      <c r="C86" s="74">
        <f>40509044.63</f>
        <v>40509044.63</v>
      </c>
      <c r="D86" s="75"/>
      <c r="E86" s="74">
        <f>140205810.65</f>
        <v>140205810.65</v>
      </c>
      <c r="F86" s="75"/>
      <c r="G86" s="76">
        <f t="shared" si="11"/>
        <v>1.1508722991947864</v>
      </c>
      <c r="H86" s="67">
        <f t="shared" si="12"/>
        <v>346.10989207621805</v>
      </c>
    </row>
    <row r="87" spans="2:8" ht="25.5" customHeight="1">
      <c r="B87" s="80" t="s">
        <v>67</v>
      </c>
      <c r="C87" s="54">
        <f>5260724140.31</f>
        <v>5260724140.31</v>
      </c>
      <c r="D87" s="55"/>
      <c r="E87" s="54">
        <f>3712758255.45</f>
        <v>3712758255.45</v>
      </c>
      <c r="F87" s="55"/>
      <c r="G87" s="37">
        <f>IF($E$87=0,"",100*$E87/$E$87)</f>
        <v>100</v>
      </c>
      <c r="H87" s="35">
        <f t="shared" si="12"/>
        <v>70.57504169437816</v>
      </c>
    </row>
    <row r="88" spans="2:8" ht="36" customHeight="1">
      <c r="B88" s="60" t="s">
        <v>101</v>
      </c>
      <c r="C88" s="46">
        <f>4569790764.9</f>
        <v>4569790764.9</v>
      </c>
      <c r="D88" s="52"/>
      <c r="E88" s="53">
        <f>2884082406.4</f>
        <v>2884082406.4</v>
      </c>
      <c r="F88" s="52"/>
      <c r="G88" s="56">
        <f>IF($E$87=0,"",100*$E88/$E$87)</f>
        <v>77.68031764972639</v>
      </c>
      <c r="H88" s="57">
        <f t="shared" si="12"/>
        <v>63.111913756583384</v>
      </c>
    </row>
    <row r="89" spans="2:8" ht="24.75" customHeight="1">
      <c r="B89" s="77" t="s">
        <v>102</v>
      </c>
      <c r="C89" s="74">
        <f>87639492.05</f>
        <v>87639492.05</v>
      </c>
      <c r="D89" s="75"/>
      <c r="E89" s="74">
        <f>43441627.16</f>
        <v>43441627.16</v>
      </c>
      <c r="F89" s="75"/>
      <c r="G89" s="76">
        <f>IF($E$87=0,"",100*$E89/$E$87)</f>
        <v>1.1700634453167411</v>
      </c>
      <c r="H89" s="67">
        <f t="shared" si="12"/>
        <v>49.56855196652181</v>
      </c>
    </row>
    <row r="90" spans="2:8" ht="12.75">
      <c r="B90" s="73" t="s">
        <v>103</v>
      </c>
      <c r="C90" s="74">
        <f>54950815.76</f>
        <v>54950815.76</v>
      </c>
      <c r="D90" s="75"/>
      <c r="E90" s="74">
        <f>34116677.33</f>
        <v>34116677.33</v>
      </c>
      <c r="F90" s="75"/>
      <c r="G90" s="76">
        <f>IF($E$87=0,"",100*$E90/$E$87)</f>
        <v>0.9189038171262496</v>
      </c>
      <c r="H90" s="67">
        <f t="shared" si="12"/>
        <v>62.08584323662459</v>
      </c>
    </row>
    <row r="91" spans="2:8" ht="12.75">
      <c r="B91" s="77" t="s">
        <v>33</v>
      </c>
      <c r="C91" s="74">
        <f>635982559.65</f>
        <v>635982559.65</v>
      </c>
      <c r="D91" s="75"/>
      <c r="E91" s="74">
        <f>794559171.72</f>
        <v>794559171.72</v>
      </c>
      <c r="F91" s="75"/>
      <c r="G91" s="76">
        <f>IF($E$87=0,"",100*$E91/$E$87)</f>
        <v>21.40077853314736</v>
      </c>
      <c r="H91" s="67">
        <f t="shared" si="12"/>
        <v>124.93411331236338</v>
      </c>
    </row>
    <row r="92" ht="7.5" customHeight="1"/>
    <row r="93" spans="2:8" ht="12.75">
      <c r="B93" s="81" t="s">
        <v>16</v>
      </c>
      <c r="C93" s="91" t="s">
        <v>17</v>
      </c>
      <c r="D93" s="90"/>
      <c r="E93" s="91" t="s">
        <v>1</v>
      </c>
      <c r="F93" s="90"/>
      <c r="G93" s="19" t="s">
        <v>26</v>
      </c>
      <c r="H93" s="19" t="s">
        <v>27</v>
      </c>
    </row>
    <row r="94" spans="2:8" ht="12.75">
      <c r="B94" s="40"/>
      <c r="C94" s="92" t="s">
        <v>78</v>
      </c>
      <c r="D94" s="93"/>
      <c r="E94" s="93"/>
      <c r="F94" s="94"/>
      <c r="G94" s="95" t="s">
        <v>4</v>
      </c>
      <c r="H94" s="96"/>
    </row>
    <row r="95" spans="2:8" ht="12.75">
      <c r="B95" s="39">
        <v>1</v>
      </c>
      <c r="C95" s="42">
        <v>2</v>
      </c>
      <c r="D95" s="43"/>
      <c r="E95" s="42">
        <v>3</v>
      </c>
      <c r="F95" s="43"/>
      <c r="G95" s="30">
        <v>4</v>
      </c>
      <c r="H95" s="30">
        <v>5</v>
      </c>
    </row>
    <row r="96" spans="2:8" ht="31.5" customHeight="1">
      <c r="B96" s="61" t="s">
        <v>82</v>
      </c>
      <c r="C96" s="51">
        <f>10599126136.5</f>
        <v>10599126136.5</v>
      </c>
      <c r="D96" s="48"/>
      <c r="E96" s="51">
        <f>0</f>
        <v>0</v>
      </c>
      <c r="F96" s="45"/>
      <c r="G96" s="37"/>
      <c r="H96" s="35"/>
    </row>
    <row r="97" spans="2:8" ht="47.25" customHeight="1">
      <c r="B97" s="59" t="s">
        <v>83</v>
      </c>
      <c r="C97" s="53">
        <f>325183574.27</f>
        <v>325183574.27</v>
      </c>
      <c r="D97" s="52"/>
      <c r="E97" s="53">
        <f>0</f>
        <v>0</v>
      </c>
      <c r="F97" s="52"/>
      <c r="G97" s="56"/>
      <c r="H97" s="57"/>
    </row>
    <row r="98" spans="2:8" ht="12.75">
      <c r="B98" s="59" t="s">
        <v>84</v>
      </c>
      <c r="C98" s="53">
        <f>5909054861.57</f>
        <v>5909054861.57</v>
      </c>
      <c r="D98" s="52"/>
      <c r="E98" s="53">
        <f>0</f>
        <v>0</v>
      </c>
      <c r="F98" s="52"/>
      <c r="G98" s="56"/>
      <c r="H98" s="57"/>
    </row>
    <row r="99" spans="2:8" ht="25.5" customHeight="1">
      <c r="B99" s="59" t="s">
        <v>85</v>
      </c>
      <c r="C99" s="53">
        <f>0</f>
        <v>0</v>
      </c>
      <c r="D99" s="52"/>
      <c r="E99" s="53">
        <f>0</f>
        <v>0</v>
      </c>
      <c r="F99" s="52"/>
      <c r="G99" s="56"/>
      <c r="H99" s="57"/>
    </row>
    <row r="100" spans="2:8" ht="33.75">
      <c r="B100" s="59" t="s">
        <v>86</v>
      </c>
      <c r="C100" s="53">
        <f>900582371.83</f>
        <v>900582371.83</v>
      </c>
      <c r="D100" s="52"/>
      <c r="E100" s="53">
        <f>0</f>
        <v>0</v>
      </c>
      <c r="F100" s="52"/>
      <c r="G100" s="56"/>
      <c r="H100" s="57"/>
    </row>
    <row r="101" spans="2:8" ht="85.5" customHeight="1">
      <c r="B101" s="59" t="s">
        <v>87</v>
      </c>
      <c r="C101" s="53">
        <f>2794278341.68</f>
        <v>2794278341.68</v>
      </c>
      <c r="D101" s="52"/>
      <c r="E101" s="53">
        <f>0</f>
        <v>0</v>
      </c>
      <c r="F101" s="52"/>
      <c r="G101" s="56"/>
      <c r="H101" s="57"/>
    </row>
    <row r="102" ht="7.5" customHeight="1"/>
    <row r="103" spans="2:6" ht="12.75">
      <c r="B103" s="81" t="s">
        <v>16</v>
      </c>
      <c r="C103" s="91" t="s">
        <v>106</v>
      </c>
      <c r="D103" s="89"/>
      <c r="E103" s="89"/>
      <c r="F103" s="90"/>
    </row>
    <row r="104" spans="2:6" ht="12.75">
      <c r="B104" s="40"/>
      <c r="C104" s="92" t="s">
        <v>78</v>
      </c>
      <c r="D104" s="93"/>
      <c r="E104" s="93"/>
      <c r="F104" s="94"/>
    </row>
    <row r="105" spans="2:6" ht="12.75">
      <c r="B105" s="39">
        <v>1</v>
      </c>
      <c r="C105" s="97">
        <v>2</v>
      </c>
      <c r="D105" s="98"/>
      <c r="E105" s="98"/>
      <c r="F105" s="99"/>
    </row>
    <row r="106" spans="2:6" ht="48.75" customHeight="1">
      <c r="B106" s="79" t="s">
        <v>88</v>
      </c>
      <c r="C106" s="88">
        <f>0</f>
        <v>0</v>
      </c>
      <c r="D106" s="89"/>
      <c r="E106" s="89"/>
      <c r="F106" s="90"/>
    </row>
    <row r="107" spans="2:6" ht="36.75" customHeight="1">
      <c r="B107" s="59" t="s">
        <v>89</v>
      </c>
      <c r="C107" s="88">
        <f>0</f>
        <v>0</v>
      </c>
      <c r="D107" s="89"/>
      <c r="E107" s="89"/>
      <c r="F107" s="90"/>
    </row>
    <row r="108" spans="2:6" ht="37.5" customHeight="1">
      <c r="B108" s="59" t="s">
        <v>90</v>
      </c>
      <c r="C108" s="88">
        <f>0</f>
        <v>0</v>
      </c>
      <c r="D108" s="89"/>
      <c r="E108" s="89"/>
      <c r="F108" s="90"/>
    </row>
    <row r="109" spans="2:6" ht="73.5" customHeight="1">
      <c r="B109" s="59" t="s">
        <v>91</v>
      </c>
      <c r="C109" s="88">
        <f>0</f>
        <v>0</v>
      </c>
      <c r="D109" s="89"/>
      <c r="E109" s="89"/>
      <c r="F109" s="90"/>
    </row>
    <row r="110" spans="2:6" ht="56.25">
      <c r="B110" s="59" t="s">
        <v>92</v>
      </c>
      <c r="C110" s="88">
        <f>0</f>
        <v>0</v>
      </c>
      <c r="D110" s="89"/>
      <c r="E110" s="89"/>
      <c r="F110" s="90"/>
    </row>
    <row r="111" spans="2:6" ht="61.5" customHeight="1">
      <c r="B111" s="78" t="s">
        <v>93</v>
      </c>
      <c r="C111" s="88">
        <f>0</f>
        <v>0</v>
      </c>
      <c r="D111" s="89"/>
      <c r="E111" s="89"/>
      <c r="F111" s="90"/>
    </row>
    <row r="112" spans="2:6" ht="49.5" customHeight="1">
      <c r="B112" s="78" t="s">
        <v>94</v>
      </c>
      <c r="C112" s="88">
        <f>0</f>
        <v>0</v>
      </c>
      <c r="D112" s="89"/>
      <c r="E112" s="89"/>
      <c r="F112" s="90"/>
    </row>
    <row r="113" spans="2:6" ht="87" customHeight="1">
      <c r="B113" s="78" t="s">
        <v>104</v>
      </c>
      <c r="C113" s="88">
        <f>0</f>
        <v>0</v>
      </c>
      <c r="D113" s="89"/>
      <c r="E113" s="89"/>
      <c r="F113" s="90"/>
    </row>
    <row r="114" spans="2:6" ht="81" customHeight="1">
      <c r="B114" s="78" t="s">
        <v>105</v>
      </c>
      <c r="C114" s="88">
        <f>0</f>
        <v>0</v>
      </c>
      <c r="D114" s="89"/>
      <c r="E114" s="89"/>
      <c r="F114" s="90"/>
    </row>
    <row r="115" ht="7.5" customHeight="1"/>
  </sheetData>
  <sheetProtection/>
  <mergeCells count="50">
    <mergeCell ref="I58:J58"/>
    <mergeCell ref="I65:J65"/>
    <mergeCell ref="C76:D76"/>
    <mergeCell ref="E76:F76"/>
    <mergeCell ref="C77:F77"/>
    <mergeCell ref="G77:H77"/>
    <mergeCell ref="I63:J63"/>
    <mergeCell ref="I64:J64"/>
    <mergeCell ref="I61:J61"/>
    <mergeCell ref="I62:J62"/>
    <mergeCell ref="B1:M1"/>
    <mergeCell ref="I52:J54"/>
    <mergeCell ref="D52:D54"/>
    <mergeCell ref="E52:E54"/>
    <mergeCell ref="F53:F54"/>
    <mergeCell ref="F52:H52"/>
    <mergeCell ref="I56:J56"/>
    <mergeCell ref="I57:J57"/>
    <mergeCell ref="B3:B4"/>
    <mergeCell ref="K4:M4"/>
    <mergeCell ref="C4:J4"/>
    <mergeCell ref="C55:J55"/>
    <mergeCell ref="C52:C54"/>
    <mergeCell ref="B50:M50"/>
    <mergeCell ref="I66:J66"/>
    <mergeCell ref="I67:J67"/>
    <mergeCell ref="B74:M74"/>
    <mergeCell ref="B52:B55"/>
    <mergeCell ref="K52:K54"/>
    <mergeCell ref="K55:L55"/>
    <mergeCell ref="G53:H53"/>
    <mergeCell ref="L52:L54"/>
    <mergeCell ref="I59:J59"/>
    <mergeCell ref="I60:J60"/>
    <mergeCell ref="C93:D93"/>
    <mergeCell ref="E93:F93"/>
    <mergeCell ref="C94:F94"/>
    <mergeCell ref="G94:H94"/>
    <mergeCell ref="C103:F103"/>
    <mergeCell ref="C112:F112"/>
    <mergeCell ref="C105:F105"/>
    <mergeCell ref="C104:F104"/>
    <mergeCell ref="C113:F113"/>
    <mergeCell ref="C114:F114"/>
    <mergeCell ref="C106:F106"/>
    <mergeCell ref="C107:F107"/>
    <mergeCell ref="C108:F108"/>
    <mergeCell ref="C109:F109"/>
    <mergeCell ref="C110:F110"/>
    <mergeCell ref="C111:F111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6" manualBreakCount="6">
    <brk id="21" max="255" man="1"/>
    <brk id="49" max="255" man="1"/>
    <brk id="73" max="255" man="1"/>
    <brk id="92" max="12" man="1"/>
    <brk id="101" max="12" man="1"/>
    <brk id="11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2020-11-27T08:10:30Z</dcterms:modified>
  <cp:category/>
  <cp:version/>
  <cp:contentType/>
  <cp:contentStatus/>
</cp:coreProperties>
</file>