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tabRatio="5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'Arkusz1'!$A$1:$J$149</definedName>
    <definedName name="_xlnm.Print_Titles" localSheetId="0">'Arkusz1'!$A:$J,'Arkusz1'!$4:$5</definedName>
  </definedNames>
  <calcPr fullCalcOnLoad="1"/>
</workbook>
</file>

<file path=xl/sharedStrings.xml><?xml version="1.0" encoding="utf-8"?>
<sst xmlns="http://schemas.openxmlformats.org/spreadsheetml/2006/main" count="446" uniqueCount="241">
  <si>
    <t>stan na</t>
  </si>
  <si>
    <t>Lp.</t>
  </si>
  <si>
    <t>Data podpisania zgody przez  MRiRW</t>
  </si>
  <si>
    <t>Numer zgody MRiRW</t>
  </si>
  <si>
    <t>Województwo</t>
  </si>
  <si>
    <t>Rodzaj klęski</t>
  </si>
  <si>
    <t>ŁĄCZNE STRATY</t>
  </si>
  <si>
    <t>liczba poszkodowanych gospodarstw</t>
  </si>
  <si>
    <t>liczba ha</t>
  </si>
  <si>
    <t>SUMA</t>
  </si>
  <si>
    <r>
      <t xml:space="preserve">STRATY w uprawach  </t>
    </r>
    <r>
      <rPr>
        <b/>
        <sz val="12"/>
        <rFont val="Arial"/>
        <family val="2"/>
      </rPr>
      <t>/w zł/</t>
    </r>
  </si>
  <si>
    <r>
      <t xml:space="preserve">STRATY  w środkach trwałych </t>
    </r>
    <r>
      <rPr>
        <b/>
        <sz val="12"/>
        <rFont val="Arial"/>
        <family val="2"/>
      </rPr>
      <t>/w zł/</t>
    </r>
  </si>
  <si>
    <t>lubuskie</t>
  </si>
  <si>
    <t>powódź</t>
  </si>
  <si>
    <t>ZGODY MRiRW WYRAŻONE W 2011 ROKU NA URUCHOMIENIE LINII KREDYTÓW "KLĘSKOWYCH"</t>
  </si>
  <si>
    <t>Fwe-4400KL/1/KK/2011/75</t>
  </si>
  <si>
    <t>Fwe-4400KL/2/KK/2011/77</t>
  </si>
  <si>
    <t>zachodniopomorskie</t>
  </si>
  <si>
    <t>deszcz nawalny</t>
  </si>
  <si>
    <t>Fwe-4400KL/4/KK/2011/317</t>
  </si>
  <si>
    <t>kujawsko-pomorskie</t>
  </si>
  <si>
    <t>Fwe-4400KL/5/KK/2011/316</t>
  </si>
  <si>
    <t>podkarpackie</t>
  </si>
  <si>
    <t>Fwe-4400KL/7/KK/2011/361</t>
  </si>
  <si>
    <t>mazowieckie</t>
  </si>
  <si>
    <t>Fwe-4400KL/3/KK/2011/398</t>
  </si>
  <si>
    <t>dolnośląskie</t>
  </si>
  <si>
    <t>Fwe-4400KL/155/KK/2011/527</t>
  </si>
  <si>
    <t>lubelskie</t>
  </si>
  <si>
    <t>huragan</t>
  </si>
  <si>
    <t>Fwe-4400KL/12/KK/2011/629</t>
  </si>
  <si>
    <t>Fwe-4400KL/10/KK/2011/924</t>
  </si>
  <si>
    <t>deszcz nawalny, ujemne skutki przezimowania</t>
  </si>
  <si>
    <t>Fwe-4400KL/15/KK/2011/1013</t>
  </si>
  <si>
    <t>Fwe-4400KL/22/KK/2011/1339</t>
  </si>
  <si>
    <t>Fwe-4400KL/26/KK/2011/1599</t>
  </si>
  <si>
    <t>Fwe-4400KL/16/KK/2011/1863</t>
  </si>
  <si>
    <t>małopolskie</t>
  </si>
  <si>
    <t>Fwe-4400KL/31/KK/2011/2091</t>
  </si>
  <si>
    <t>Fwe-4400KL/33/KK/2011/2187</t>
  </si>
  <si>
    <t>warmińsko-mazurskie</t>
  </si>
  <si>
    <t>Fwe-4400KL/28/KK/2011/2189</t>
  </si>
  <si>
    <t>Fwe-4400KL/35/KK/2011/2374</t>
  </si>
  <si>
    <t>pomorskie</t>
  </si>
  <si>
    <t>Fwe-4400KL/37/KK/2011/2373</t>
  </si>
  <si>
    <t>Fwe-4400KL/39/KK/2011/2480</t>
  </si>
  <si>
    <t>Fwe-4400KL-46/2011/2782</t>
  </si>
  <si>
    <t>powódź, ujemne skutki przezimowania</t>
  </si>
  <si>
    <t>Fwe-4400KL-44/2011/2780</t>
  </si>
  <si>
    <t>Fwe-4400KL-43/2011/2779</t>
  </si>
  <si>
    <t>Fwe-4400KL-45/2011/2781</t>
  </si>
  <si>
    <t>ujemne skutki przezimowania i obsuniecia się ziemi</t>
  </si>
  <si>
    <t>Fwe-4400KL-48/2011/2795</t>
  </si>
  <si>
    <t>ujemne skutki przezimowania</t>
  </si>
  <si>
    <t>26-07-2011r.</t>
  </si>
  <si>
    <t>Fwe-4400KL-57/2011/3196</t>
  </si>
  <si>
    <t>przymrozki wiosenne</t>
  </si>
  <si>
    <t>Fwe-4400KL/53/KK/2011/3118</t>
  </si>
  <si>
    <t>Fwe-4400KL/51/KK/2011/3121</t>
  </si>
  <si>
    <t>Fwe-4400KL/59/KK/2011/3301</t>
  </si>
  <si>
    <t>grad, ujemne skutki przezimowania, przymrozki wiosenne</t>
  </si>
  <si>
    <t>Fwe-4400KL/58/KK/2011/3302</t>
  </si>
  <si>
    <t>Fwe-4400KL-56/2011/3194</t>
  </si>
  <si>
    <t>ujemne skutki przezimowania, przymrozki wiosenne, powódź</t>
  </si>
  <si>
    <t>Fwe-4400KL/52/KK/2011/3122</t>
  </si>
  <si>
    <t>powódź, przymrozki wiosenne</t>
  </si>
  <si>
    <t>Fwe-4400KL/29-1/KK/2011/3299</t>
  </si>
  <si>
    <t>opolskie</t>
  </si>
  <si>
    <t>powódź, deszcz nawalny</t>
  </si>
  <si>
    <t>Fwe-4400KL/47/KK/2011/3300</t>
  </si>
  <si>
    <t>łódzkie</t>
  </si>
  <si>
    <t>Fwe-4400KL/60/KK/2011/3337</t>
  </si>
  <si>
    <t>wielkopolskie</t>
  </si>
  <si>
    <t>Fwe-4400KL/52/KK/2011/3336</t>
  </si>
  <si>
    <t>Fwe-4400KL/66/KK/2011/3440</t>
  </si>
  <si>
    <t>ujemne skutki przezimowania, przymrozki wiosenne</t>
  </si>
  <si>
    <t>Fwe-4400KL/67/KK/2011/3441</t>
  </si>
  <si>
    <t>przymrozki wiosenne, grad</t>
  </si>
  <si>
    <t>Fwe-4400KL/68/KK/2011/3442</t>
  </si>
  <si>
    <t>Fwe-4400KL/74/KK/2011/3511</t>
  </si>
  <si>
    <t>Fwe-4400KL/73/KK/2011/3561</t>
  </si>
  <si>
    <t>podlaskie</t>
  </si>
  <si>
    <t>śląskie</t>
  </si>
  <si>
    <t>Fwe-4400KL/77/KK/2011/3562</t>
  </si>
  <si>
    <t>Fwe-4400KL/76/KK/2011/3560</t>
  </si>
  <si>
    <t>Fwe-4400KL/78/KK/2011/3563</t>
  </si>
  <si>
    <t>piorun</t>
  </si>
  <si>
    <t>Fwe-4400KL/75/KK/2011/3587</t>
  </si>
  <si>
    <t>powódź, ujemne skutki przezimowania, przymrozki wiosenne</t>
  </si>
  <si>
    <t>Fwe-4400KL/79/KK/2011/3586</t>
  </si>
  <si>
    <t>przymrozki wiosenne, ujemne skutki przezimowania, piorun, grad</t>
  </si>
  <si>
    <t>przymrozki wiosenne, gradobicie, huragan</t>
  </si>
  <si>
    <t>Fwe 4400KL-85/2011/3758</t>
  </si>
  <si>
    <t>Fwe 4400KL-83/2011/3751</t>
  </si>
  <si>
    <t>Fwe 4400KL-84/2011/3757</t>
  </si>
  <si>
    <t>Fwe 4400KL-87/2011/3780</t>
  </si>
  <si>
    <t>świętokrzyskie</t>
  </si>
  <si>
    <t>gradobicie</t>
  </si>
  <si>
    <t>Fwe 4400KL-86/2011/3779</t>
  </si>
  <si>
    <t>F.we-4400KL-89/2011/3874</t>
  </si>
  <si>
    <t>Fwe 4400KL-92/2011/3921</t>
  </si>
  <si>
    <t>F.we-4400KL-91/2011/3909</t>
  </si>
  <si>
    <t>przymrozki wiosenne, gradobicie, deszcz nawalny, susza, huragan, uderzenie pioruna, powódź</t>
  </si>
  <si>
    <t>przymrozki wiosenne, grad, deszcz nawalny</t>
  </si>
  <si>
    <t>Fwe 4400KL-93/2011/3923</t>
  </si>
  <si>
    <t xml:space="preserve">przymrozki wiosenne </t>
  </si>
  <si>
    <t>Fwe 4400KL-90/2011/3911</t>
  </si>
  <si>
    <t xml:space="preserve">przymrozki wiosenne, deszcz nawalny, huragan, grad, susza </t>
  </si>
  <si>
    <t>F.we-4400KL-95/2011/3928</t>
  </si>
  <si>
    <t>przymrozki wiosenne, deszcz nawalny, huragan</t>
  </si>
  <si>
    <t>F.we-4400KL-94/2011/3926</t>
  </si>
  <si>
    <t>susza</t>
  </si>
  <si>
    <t>Fwe-4400KL/97/2011/3949</t>
  </si>
  <si>
    <t>przymrozki wiosenne, ujemne skutki przezimowania, gradobicie</t>
  </si>
  <si>
    <t>Fwe 4400KL-101/2011/3994</t>
  </si>
  <si>
    <t>przymrozki wiosenne, susza, grad</t>
  </si>
  <si>
    <t>Fwe 4400KL-105/2011/4020</t>
  </si>
  <si>
    <t>grad, ujemne skutki przezimowania</t>
  </si>
  <si>
    <t>Fwe-4400KL/99/KK/2011/4071</t>
  </si>
  <si>
    <t>Fwe-4400KL/96/KK/2011/4075</t>
  </si>
  <si>
    <t>huragan, deszcz nawalny, grad, powódź</t>
  </si>
  <si>
    <t>Fwe-4400KL/98/KK/2011/4073</t>
  </si>
  <si>
    <t>przymrozki wiosenne, susza, ujemne skutki przezimowania</t>
  </si>
  <si>
    <t>Fwe-4400KL/100/KK/2011/4074</t>
  </si>
  <si>
    <t>deszcz nawalny, huragan, grad</t>
  </si>
  <si>
    <t>Fwe-4400KL/111/KK/2011/4121</t>
  </si>
  <si>
    <t>grad</t>
  </si>
  <si>
    <t>Fwe-4400KL/109/KK/2011/4119</t>
  </si>
  <si>
    <t>przymrozki wiosenne, deszcz nawalny, huragan, grad</t>
  </si>
  <si>
    <t>Fwe-4400KL/110/KK/2011/4120</t>
  </si>
  <si>
    <t>Fwe 4400KL-114/2011</t>
  </si>
  <si>
    <t>F we-4400KL/117/KK/2011/4218</t>
  </si>
  <si>
    <t>F we-4400KL/116/KK/2011/4216</t>
  </si>
  <si>
    <t>deszcz nawalny, grad</t>
  </si>
  <si>
    <t>F we-4400KL/122/KK/2011/4213</t>
  </si>
  <si>
    <t>susza, deszcz nawalny</t>
  </si>
  <si>
    <t>F we-4400KL/115/KK/2011/4214</t>
  </si>
  <si>
    <t>huragan, uderzenie pioruna</t>
  </si>
  <si>
    <t>F we-4400KL/123/KK/2011/4224</t>
  </si>
  <si>
    <t>huragan, grad</t>
  </si>
  <si>
    <t>F we-4400KL/119/KK/2011/4220</t>
  </si>
  <si>
    <t>F we-4400KL/120/KK/2011/4221</t>
  </si>
  <si>
    <t>F we-4400KL/121/KK/2011/4222</t>
  </si>
  <si>
    <t>F we-4400KL/103/KK/2011/4226</t>
  </si>
  <si>
    <t>grad, deszcz nawalny, przymrozki wiosenne, susza</t>
  </si>
  <si>
    <t>F we-4400KL/104/KK/2011/4225</t>
  </si>
  <si>
    <t>F we-4400KL/128/KK/2011/4310</t>
  </si>
  <si>
    <t>F we-4400KL/127/KK/2011/4309</t>
  </si>
  <si>
    <t>F we-4400KL/124/KK/2011/4297</t>
  </si>
  <si>
    <t>susza rolnicza, przymrozki wiosenne</t>
  </si>
  <si>
    <t xml:space="preserve">powódź </t>
  </si>
  <si>
    <t xml:space="preserve">deszcz nawalny, powódź, grad </t>
  </si>
  <si>
    <t xml:space="preserve">deszcz nawalny, huragan, grad </t>
  </si>
  <si>
    <t xml:space="preserve">deszcz nawalny </t>
  </si>
  <si>
    <t xml:space="preserve">ujemne skutki przezimowania </t>
  </si>
  <si>
    <t>F we-4400KL/129/KK/2011/4296</t>
  </si>
  <si>
    <t>F we-4400KL/125/KK/2011/4292</t>
  </si>
  <si>
    <t xml:space="preserve">huragan, deszcz nawalny, grad, powódź, piorun </t>
  </si>
  <si>
    <t>F we-4400KL/118/KK/2011/4298</t>
  </si>
  <si>
    <t>F we-4400KL/106/KK/2011/4399</t>
  </si>
  <si>
    <t>F we-4400KL/125b/KK/2011/4449</t>
  </si>
  <si>
    <t>F we-4400KL/135/KK/2011/4481</t>
  </si>
  <si>
    <t>F we-4400KL/136/KK/2011/4482</t>
  </si>
  <si>
    <t>F we-4400KL/141/KK/2011/4519</t>
  </si>
  <si>
    <t>powódź, huragan, susza</t>
  </si>
  <si>
    <t>F we-4400KL/144/KK/2011/4517</t>
  </si>
  <si>
    <t>F we-4400KL/139/KK/2011/4516</t>
  </si>
  <si>
    <t>susza, huragan powódź</t>
  </si>
  <si>
    <t>F we-4400KL/145/KK/2011/4562</t>
  </si>
  <si>
    <t>deszcz nawalny 2011</t>
  </si>
  <si>
    <t>F we-4400KL/126/KK/2011/4561</t>
  </si>
  <si>
    <t>deszcz nawalny, grad, huragan 2011</t>
  </si>
  <si>
    <t>F we-4400KL/138/KK/2011/4581</t>
  </si>
  <si>
    <t xml:space="preserve">susza, piorun, huragan, deszcz nawalny, powódź, przymrozki wiosenne </t>
  </si>
  <si>
    <t>F we-4400KL/142/KK/2011/4580</t>
  </si>
  <si>
    <t>deszcz nawalny, grad, powódź, huragan, piorun 2011</t>
  </si>
  <si>
    <t>F we-4400KL/140/KK/2011/4609</t>
  </si>
  <si>
    <t>F we-4400KL/133/KK/2011/4608</t>
  </si>
  <si>
    <t>F we-4400KL/154/KK/2011/4679</t>
  </si>
  <si>
    <t>deszcz nawalny, powódź</t>
  </si>
  <si>
    <t>F we-4400KL/147/KK/2011/4711</t>
  </si>
  <si>
    <t xml:space="preserve">deszcz nawalny, grad </t>
  </si>
  <si>
    <t>F we-4400KL/160/KK/2011/4710</t>
  </si>
  <si>
    <t>F we-4400KL/161/KK/2011/4712</t>
  </si>
  <si>
    <t xml:space="preserve">huragan, grad, deszcz nawalny </t>
  </si>
  <si>
    <t>F we-4400KL/162/KK/2011/4714</t>
  </si>
  <si>
    <t xml:space="preserve">deszcz nawalny, grad, huragan </t>
  </si>
  <si>
    <t>F we-4400KL/151/KK/2011/4707</t>
  </si>
  <si>
    <t xml:space="preserve">huragan, deszcz nawalny, powódź, piorun </t>
  </si>
  <si>
    <t>F we-4400KL/155/KK/2011/4680</t>
  </si>
  <si>
    <t>F we-4400KL/149/KK/2011/4708</t>
  </si>
  <si>
    <t>F we-4400KL/152/KK/2011/4678</t>
  </si>
  <si>
    <t xml:space="preserve">susza </t>
  </si>
  <si>
    <t>F we-4400KL/159/KK/2011/4713</t>
  </si>
  <si>
    <t>deszcz nawalny, huragan, grad, susza</t>
  </si>
  <si>
    <t>F we-4400KL/150/KK/2011/4706</t>
  </si>
  <si>
    <t>F we-4400KL/156/KK/2011/4705</t>
  </si>
  <si>
    <t xml:space="preserve">powódź, deszcz nawalny, susza </t>
  </si>
  <si>
    <t>F we-4400KL/146/KK/2011/4709</t>
  </si>
  <si>
    <t>F we-4400KL/170/KK/2011/4818</t>
  </si>
  <si>
    <t>huragan, piorun 2011</t>
  </si>
  <si>
    <t>F we-4400KL/171/KK/2011/4815</t>
  </si>
  <si>
    <t xml:space="preserve">deszcz nawalny, grad, piorun </t>
  </si>
  <si>
    <t>F we-4400KL/164/KK/2011/4816</t>
  </si>
  <si>
    <t>grad, huragan</t>
  </si>
  <si>
    <t>F we-4400KL/148/KK/2011/4817</t>
  </si>
  <si>
    <t xml:space="preserve">susza, piorun, deszcz nawalny, grad, huragan </t>
  </si>
  <si>
    <t>09-11-2011</t>
  </si>
  <si>
    <t>F we-4400KL/130/KK/2011/4888</t>
  </si>
  <si>
    <t>F we-4400KL/143/KK/2011/4889</t>
  </si>
  <si>
    <t>Fwe 4400KL-174/2011/4896</t>
  </si>
  <si>
    <t>susza, grad, piorun</t>
  </si>
  <si>
    <t>Fwe 4400KL-176/2011/4940</t>
  </si>
  <si>
    <t>Fwe 4400KL-175/2011/4939</t>
  </si>
  <si>
    <t>Fwe 4400KL-177/2011/4941</t>
  </si>
  <si>
    <t>Fwe 4400KL-179/2011/4979</t>
  </si>
  <si>
    <t>Fwe 4400KL-180/2011/5002</t>
  </si>
  <si>
    <t>deszcz nawalny, huragan</t>
  </si>
  <si>
    <t>Fwe 4400KL-131/KK//2011/5033</t>
  </si>
  <si>
    <t>susza, przymrozki wiosenne, huragan, grad i piorun</t>
  </si>
  <si>
    <t>F we-4400KL/167/KK/2011/5048</t>
  </si>
  <si>
    <t>Fwe 4400KL/112/KK/2011/5050</t>
  </si>
  <si>
    <t>Fwe 4400KL-188/2011/5088</t>
  </si>
  <si>
    <t>Fwe 4400KL-189/2011/5089</t>
  </si>
  <si>
    <t>F we-4400KL/158/KK/2011/5112</t>
  </si>
  <si>
    <t>F we-4400KL/185/KK/2011/5136</t>
  </si>
  <si>
    <t>F we-4400KL/183/KK/2011/5137</t>
  </si>
  <si>
    <t>F we-4400KL/181/KK/2011/5114</t>
  </si>
  <si>
    <t>Fwe 4400KL/187/KK/2011/5327</t>
  </si>
  <si>
    <t>Fwe 4400KL-190/KK/2011</t>
  </si>
  <si>
    <t>Fwe 4400KL-184b/2011</t>
  </si>
  <si>
    <t>F we-4400KL/131a/KK/2011/5477</t>
  </si>
  <si>
    <t>F we-4400KL/193/KK/2011/5478</t>
  </si>
  <si>
    <t xml:space="preserve">huragan, deszcz nawalny, grad, powódź, piorun, susza </t>
  </si>
  <si>
    <t>przymrozki wiosenne, piorun, ujemne skutki przezimowania</t>
  </si>
  <si>
    <t>F we-4400KL/201/KK/2011/5714</t>
  </si>
  <si>
    <t>F we-4400KL/199/KK/2011/5713</t>
  </si>
  <si>
    <t>F we-4400KL/198/KK/2011/5716</t>
  </si>
  <si>
    <t>F we-4400KL/191/KK/2011/5813</t>
  </si>
  <si>
    <t>F we-4400KL/182/KK/2011/5814</t>
  </si>
  <si>
    <t>F we-4400KL/197/KK/2011/5795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</si>
</sst>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mm/yyyy"/>
  </numFmts>
  <fonts count="46">
    <font>
      <sz val="10"/>
      <name val="Arial"/>
      <family val="0"/>
    </font>
    <font>
      <b/>
      <i/>
      <sz val="12"/>
      <color indexed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" fontId="1" fillId="33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14" fontId="0" fillId="33" borderId="0" xfId="0" applyNumberFormat="1" applyFont="1" applyFill="1" applyAlignment="1">
      <alignment horizontal="center" vertical="center" wrapText="1"/>
    </xf>
    <xf numFmtId="4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6" fillId="34" borderId="10" xfId="52" applyFont="1" applyFill="1" applyBorder="1" applyAlignment="1" quotePrefix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center" vertical="center" wrapText="1"/>
      <protection/>
    </xf>
    <xf numFmtId="3" fontId="9" fillId="34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4" fontId="9" fillId="33" borderId="10" xfId="52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35" borderId="10" xfId="52" applyFont="1" applyFill="1" applyBorder="1" applyAlignment="1" quotePrefix="1">
      <alignment horizontal="center" vertical="center" wrapText="1"/>
      <protection/>
    </xf>
    <xf numFmtId="14" fontId="4" fillId="13" borderId="10" xfId="52" applyNumberFormat="1" applyFont="1" applyFill="1" applyBorder="1" applyAlignment="1">
      <alignment horizontal="center" vertical="center" wrapText="1"/>
      <protection/>
    </xf>
    <xf numFmtId="3" fontId="4" fillId="13" borderId="10" xfId="52" applyNumberFormat="1" applyFont="1" applyFill="1" applyBorder="1" applyAlignment="1">
      <alignment horizontal="right" vertical="center" wrapText="1"/>
      <protection/>
    </xf>
    <xf numFmtId="4" fontId="4" fillId="13" borderId="10" xfId="52" applyNumberFormat="1" applyFont="1" applyFill="1" applyBorder="1" applyAlignment="1">
      <alignment horizontal="right" vertical="center" wrapText="1"/>
      <protection/>
    </xf>
    <xf numFmtId="0" fontId="4" fillId="13" borderId="10" xfId="52" applyFont="1" applyFill="1" applyBorder="1" applyAlignment="1">
      <alignment horizontal="center" vertical="center" wrapText="1"/>
      <protection/>
    </xf>
    <xf numFmtId="0" fontId="5" fillId="13" borderId="10" xfId="52" applyFont="1" applyFill="1" applyBorder="1" applyAlignment="1">
      <alignment horizontal="center" vertical="center" wrapText="1"/>
      <protection/>
    </xf>
    <xf numFmtId="14" fontId="4" fillId="36" borderId="10" xfId="52" applyNumberFormat="1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0" fontId="5" fillId="36" borderId="10" xfId="52" applyFont="1" applyFill="1" applyBorder="1" applyAlignment="1">
      <alignment horizontal="center" vertical="center" wrapText="1"/>
      <protection/>
    </xf>
    <xf numFmtId="4" fontId="4" fillId="36" borderId="10" xfId="52" applyNumberFormat="1" applyFont="1" applyFill="1" applyBorder="1" applyAlignment="1">
      <alignment horizontal="right" vertical="center" wrapText="1"/>
      <protection/>
    </xf>
    <xf numFmtId="3" fontId="4" fillId="36" borderId="10" xfId="52" applyNumberFormat="1" applyFont="1" applyFill="1" applyBorder="1" applyAlignment="1">
      <alignment horizontal="right" vertical="center" wrapText="1"/>
      <protection/>
    </xf>
    <xf numFmtId="14" fontId="4" fillId="14" borderId="10" xfId="52" applyNumberFormat="1" applyFont="1" applyFill="1" applyBorder="1" applyAlignment="1">
      <alignment horizontal="center" vertical="center" wrapText="1"/>
      <protection/>
    </xf>
    <xf numFmtId="0" fontId="4" fillId="14" borderId="10" xfId="52" applyFont="1" applyFill="1" applyBorder="1" applyAlignment="1">
      <alignment horizontal="center" vertical="center" wrapText="1"/>
      <protection/>
    </xf>
    <xf numFmtId="0" fontId="5" fillId="14" borderId="10" xfId="52" applyFont="1" applyFill="1" applyBorder="1" applyAlignment="1">
      <alignment horizontal="center" vertical="center" wrapText="1"/>
      <protection/>
    </xf>
    <xf numFmtId="4" fontId="4" fillId="14" borderId="10" xfId="52" applyNumberFormat="1" applyFont="1" applyFill="1" applyBorder="1" applyAlignment="1">
      <alignment horizontal="right" vertical="center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14" fontId="4" fillId="37" borderId="10" xfId="52" applyNumberFormat="1" applyFont="1" applyFill="1" applyBorder="1" applyAlignment="1">
      <alignment horizontal="center" vertical="center" wrapText="1"/>
      <protection/>
    </xf>
    <xf numFmtId="0" fontId="4" fillId="37" borderId="10" xfId="52" applyFont="1" applyFill="1" applyBorder="1" applyAlignment="1">
      <alignment horizontal="center" vertical="center" wrapText="1"/>
      <protection/>
    </xf>
    <xf numFmtId="0" fontId="5" fillId="37" borderId="10" xfId="52" applyFont="1" applyFill="1" applyBorder="1" applyAlignment="1">
      <alignment horizontal="center" vertical="center" wrapText="1"/>
      <protection/>
    </xf>
    <xf numFmtId="4" fontId="4" fillId="37" borderId="10" xfId="52" applyNumberFormat="1" applyFont="1" applyFill="1" applyBorder="1" applyAlignment="1">
      <alignment horizontal="right" vertical="center" wrapText="1"/>
      <protection/>
    </xf>
    <xf numFmtId="3" fontId="4" fillId="37" borderId="10" xfId="52" applyNumberFormat="1" applyFont="1" applyFill="1" applyBorder="1" applyAlignment="1">
      <alignment horizontal="right" vertical="center" wrapText="1"/>
      <protection/>
    </xf>
    <xf numFmtId="4" fontId="11" fillId="17" borderId="10" xfId="0" applyNumberFormat="1" applyFont="1" applyFill="1" applyBorder="1" applyAlignment="1">
      <alignment horizontal="right" vertical="center"/>
    </xf>
    <xf numFmtId="0" fontId="9" fillId="37" borderId="10" xfId="52" applyFont="1" applyFill="1" applyBorder="1" applyAlignment="1">
      <alignment horizontal="center" vertical="center" wrapText="1"/>
      <protection/>
    </xf>
    <xf numFmtId="0" fontId="9" fillId="13" borderId="10" xfId="52" applyFont="1" applyFill="1" applyBorder="1" applyAlignment="1">
      <alignment horizontal="center" vertical="center" wrapText="1"/>
      <protection/>
    </xf>
    <xf numFmtId="0" fontId="9" fillId="14" borderId="10" xfId="52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14" fontId="4" fillId="38" borderId="10" xfId="52" applyNumberFormat="1" applyFont="1" applyFill="1" applyBorder="1" applyAlignment="1">
      <alignment horizontal="center" vertical="center" wrapText="1"/>
      <protection/>
    </xf>
    <xf numFmtId="0" fontId="4" fillId="38" borderId="10" xfId="52" applyFont="1" applyFill="1" applyBorder="1" applyAlignment="1">
      <alignment horizontal="center" vertical="center" wrapText="1"/>
      <protection/>
    </xf>
    <xf numFmtId="0" fontId="5" fillId="38" borderId="10" xfId="52" applyFont="1" applyFill="1" applyBorder="1" applyAlignment="1">
      <alignment horizontal="center" vertical="center" wrapText="1"/>
      <protection/>
    </xf>
    <xf numFmtId="0" fontId="9" fillId="38" borderId="10" xfId="52" applyFont="1" applyFill="1" applyBorder="1" applyAlignment="1">
      <alignment horizontal="center" vertical="center" wrapText="1"/>
      <protection/>
    </xf>
    <xf numFmtId="4" fontId="4" fillId="38" borderId="10" xfId="52" applyNumberFormat="1" applyFont="1" applyFill="1" applyBorder="1" applyAlignment="1">
      <alignment horizontal="right" vertical="center" wrapText="1"/>
      <protection/>
    </xf>
    <xf numFmtId="3" fontId="4" fillId="38" borderId="10" xfId="52" applyNumberFormat="1" applyFont="1" applyFill="1" applyBorder="1" applyAlignment="1">
      <alignment horizontal="right" vertical="center" wrapText="1"/>
      <protection/>
    </xf>
    <xf numFmtId="14" fontId="4" fillId="16" borderId="10" xfId="52" applyNumberFormat="1" applyFont="1" applyFill="1" applyBorder="1" applyAlignment="1">
      <alignment horizontal="center" vertical="center" wrapText="1"/>
      <protection/>
    </xf>
    <xf numFmtId="0" fontId="4" fillId="16" borderId="10" xfId="52" applyFont="1" applyFill="1" applyBorder="1" applyAlignment="1">
      <alignment horizontal="center" vertical="center" wrapText="1"/>
      <protection/>
    </xf>
    <xf numFmtId="0" fontId="5" fillId="16" borderId="10" xfId="52" applyFont="1" applyFill="1" applyBorder="1" applyAlignment="1">
      <alignment horizontal="center" vertical="center" wrapText="1"/>
      <protection/>
    </xf>
    <xf numFmtId="0" fontId="9" fillId="16" borderId="10" xfId="52" applyFont="1" applyFill="1" applyBorder="1" applyAlignment="1">
      <alignment horizontal="center" vertical="center" wrapText="1"/>
      <protection/>
    </xf>
    <xf numFmtId="4" fontId="4" fillId="16" borderId="10" xfId="52" applyNumberFormat="1" applyFont="1" applyFill="1" applyBorder="1" applyAlignment="1">
      <alignment horizontal="right" vertical="center" wrapText="1"/>
      <protection/>
    </xf>
    <xf numFmtId="3" fontId="4" fillId="16" borderId="10" xfId="52" applyNumberFormat="1" applyFont="1" applyFill="1" applyBorder="1" applyAlignment="1">
      <alignment horizontal="right" vertical="center" wrapText="1"/>
      <protection/>
    </xf>
    <xf numFmtId="14" fontId="4" fillId="11" borderId="10" xfId="52" applyNumberFormat="1" applyFont="1" applyFill="1" applyBorder="1" applyAlignment="1">
      <alignment horizontal="center" vertical="center" wrapText="1"/>
      <protection/>
    </xf>
    <xf numFmtId="0" fontId="4" fillId="11" borderId="10" xfId="52" applyFont="1" applyFill="1" applyBorder="1" applyAlignment="1">
      <alignment horizontal="center" vertical="center" wrapText="1"/>
      <protection/>
    </xf>
    <xf numFmtId="0" fontId="5" fillId="11" borderId="10" xfId="52" applyFont="1" applyFill="1" applyBorder="1" applyAlignment="1">
      <alignment horizontal="center" vertical="center" wrapText="1"/>
      <protection/>
    </xf>
    <xf numFmtId="0" fontId="9" fillId="11" borderId="10" xfId="52" applyFont="1" applyFill="1" applyBorder="1" applyAlignment="1">
      <alignment horizontal="center" vertical="center" wrapText="1"/>
      <protection/>
    </xf>
    <xf numFmtId="4" fontId="4" fillId="11" borderId="10" xfId="52" applyNumberFormat="1" applyFont="1" applyFill="1" applyBorder="1" applyAlignment="1">
      <alignment horizontal="right" vertical="center" wrapText="1"/>
      <protection/>
    </xf>
    <xf numFmtId="3" fontId="4" fillId="11" borderId="10" xfId="52" applyNumberFormat="1" applyFont="1" applyFill="1" applyBorder="1" applyAlignment="1">
      <alignment horizontal="right" vertical="center" wrapText="1"/>
      <protection/>
    </xf>
    <xf numFmtId="14" fontId="4" fillId="39" borderId="10" xfId="52" applyNumberFormat="1" applyFont="1" applyFill="1" applyBorder="1" applyAlignment="1">
      <alignment horizontal="center" vertical="center" wrapText="1"/>
      <protection/>
    </xf>
    <xf numFmtId="0" fontId="4" fillId="39" borderId="10" xfId="52" applyFont="1" applyFill="1" applyBorder="1" applyAlignment="1">
      <alignment horizontal="center" vertical="center" wrapText="1"/>
      <protection/>
    </xf>
    <xf numFmtId="0" fontId="5" fillId="39" borderId="10" xfId="52" applyFont="1" applyFill="1" applyBorder="1" applyAlignment="1">
      <alignment horizontal="center" vertical="center" wrapText="1"/>
      <protection/>
    </xf>
    <xf numFmtId="0" fontId="9" fillId="39" borderId="10" xfId="52" applyFont="1" applyFill="1" applyBorder="1" applyAlignment="1">
      <alignment horizontal="center" vertical="center" wrapText="1"/>
      <protection/>
    </xf>
    <xf numFmtId="4" fontId="4" fillId="39" borderId="10" xfId="52" applyNumberFormat="1" applyFont="1" applyFill="1" applyBorder="1" applyAlignment="1">
      <alignment horizontal="right" vertical="center" wrapText="1"/>
      <protection/>
    </xf>
    <xf numFmtId="3" fontId="4" fillId="39" borderId="10" xfId="52" applyNumberFormat="1" applyFont="1" applyFill="1" applyBorder="1" applyAlignment="1">
      <alignment horizontal="right" vertical="center" wrapText="1"/>
      <protection/>
    </xf>
    <xf numFmtId="14" fontId="4" fillId="40" borderId="10" xfId="52" applyNumberFormat="1" applyFont="1" applyFill="1" applyBorder="1" applyAlignment="1">
      <alignment horizontal="center" vertical="center" wrapText="1"/>
      <protection/>
    </xf>
    <xf numFmtId="0" fontId="4" fillId="40" borderId="10" xfId="52" applyFont="1" applyFill="1" applyBorder="1" applyAlignment="1">
      <alignment horizontal="center" vertical="center" wrapText="1"/>
      <protection/>
    </xf>
    <xf numFmtId="0" fontId="5" fillId="40" borderId="10" xfId="52" applyFont="1" applyFill="1" applyBorder="1" applyAlignment="1">
      <alignment horizontal="center" vertical="center" wrapText="1"/>
      <protection/>
    </xf>
    <xf numFmtId="0" fontId="9" fillId="40" borderId="10" xfId="52" applyFont="1" applyFill="1" applyBorder="1" applyAlignment="1">
      <alignment horizontal="center" vertical="center" wrapText="1"/>
      <protection/>
    </xf>
    <xf numFmtId="4" fontId="4" fillId="40" borderId="10" xfId="52" applyNumberFormat="1" applyFont="1" applyFill="1" applyBorder="1" applyAlignment="1">
      <alignment horizontal="right" vertical="center" wrapText="1"/>
      <protection/>
    </xf>
    <xf numFmtId="3" fontId="4" fillId="40" borderId="10" xfId="52" applyNumberFormat="1" applyFont="1" applyFill="1" applyBorder="1" applyAlignment="1">
      <alignment horizontal="right" vertical="center" wrapText="1"/>
      <protection/>
    </xf>
    <xf numFmtId="14" fontId="4" fillId="41" borderId="10" xfId="52" applyNumberFormat="1" applyFont="1" applyFill="1" applyBorder="1" applyAlignment="1">
      <alignment horizontal="center" vertical="center" wrapText="1"/>
      <protection/>
    </xf>
    <xf numFmtId="0" fontId="4" fillId="41" borderId="10" xfId="52" applyFont="1" applyFill="1" applyBorder="1" applyAlignment="1">
      <alignment horizontal="center" vertical="center" wrapText="1"/>
      <protection/>
    </xf>
    <xf numFmtId="0" fontId="5" fillId="41" borderId="10" xfId="52" applyFont="1" applyFill="1" applyBorder="1" applyAlignment="1">
      <alignment horizontal="center" vertical="center" wrapText="1"/>
      <protection/>
    </xf>
    <xf numFmtId="0" fontId="9" fillId="41" borderId="10" xfId="52" applyFont="1" applyFill="1" applyBorder="1" applyAlignment="1">
      <alignment horizontal="center" vertical="center" wrapText="1"/>
      <protection/>
    </xf>
    <xf numFmtId="4" fontId="4" fillId="41" borderId="10" xfId="52" applyNumberFormat="1" applyFont="1" applyFill="1" applyBorder="1" applyAlignment="1">
      <alignment horizontal="right" vertical="center" wrapText="1"/>
      <protection/>
    </xf>
    <xf numFmtId="3" fontId="4" fillId="41" borderId="10" xfId="52" applyNumberFormat="1" applyFont="1" applyFill="1" applyBorder="1" applyAlignment="1">
      <alignment horizontal="right" vertical="center" wrapText="1"/>
      <protection/>
    </xf>
    <xf numFmtId="14" fontId="4" fillId="42" borderId="10" xfId="52" applyNumberFormat="1" applyFont="1" applyFill="1" applyBorder="1" applyAlignment="1">
      <alignment horizontal="center" vertical="center" wrapText="1"/>
      <protection/>
    </xf>
    <xf numFmtId="0" fontId="4" fillId="42" borderId="10" xfId="52" applyFont="1" applyFill="1" applyBorder="1" applyAlignment="1">
      <alignment horizontal="center" vertical="center" wrapText="1"/>
      <protection/>
    </xf>
    <xf numFmtId="0" fontId="5" fillId="42" borderId="10" xfId="52" applyFont="1" applyFill="1" applyBorder="1" applyAlignment="1">
      <alignment horizontal="center" vertical="center" wrapText="1"/>
      <protection/>
    </xf>
    <xf numFmtId="0" fontId="9" fillId="42" borderId="10" xfId="52" applyFont="1" applyFill="1" applyBorder="1" applyAlignment="1">
      <alignment horizontal="center" vertical="center" wrapText="1"/>
      <protection/>
    </xf>
    <xf numFmtId="4" fontId="4" fillId="42" borderId="10" xfId="52" applyNumberFormat="1" applyFont="1" applyFill="1" applyBorder="1" applyAlignment="1">
      <alignment horizontal="right" vertical="center" wrapText="1"/>
      <protection/>
    </xf>
    <xf numFmtId="3" fontId="4" fillId="42" borderId="10" xfId="52" applyNumberFormat="1" applyFont="1" applyFill="1" applyBorder="1" applyAlignment="1">
      <alignment horizontal="right" vertical="center" wrapText="1"/>
      <protection/>
    </xf>
    <xf numFmtId="0" fontId="9" fillId="36" borderId="11" xfId="52" applyFont="1" applyFill="1" applyBorder="1" applyAlignment="1">
      <alignment horizontal="center" vertical="center" wrapText="1"/>
      <protection/>
    </xf>
    <xf numFmtId="14" fontId="4" fillId="43" borderId="10" xfId="52" applyNumberFormat="1" applyFont="1" applyFill="1" applyBorder="1" applyAlignment="1">
      <alignment horizontal="center" vertical="center" wrapText="1"/>
      <protection/>
    </xf>
    <xf numFmtId="0" fontId="4" fillId="43" borderId="10" xfId="52" applyFont="1" applyFill="1" applyBorder="1" applyAlignment="1">
      <alignment horizontal="center" vertical="center" wrapText="1"/>
      <protection/>
    </xf>
    <xf numFmtId="0" fontId="5" fillId="43" borderId="10" xfId="52" applyFont="1" applyFill="1" applyBorder="1" applyAlignment="1">
      <alignment horizontal="center" vertical="center" wrapText="1"/>
      <protection/>
    </xf>
    <xf numFmtId="0" fontId="9" fillId="43" borderId="10" xfId="52" applyFont="1" applyFill="1" applyBorder="1" applyAlignment="1">
      <alignment horizontal="center" vertical="center" wrapText="1"/>
      <protection/>
    </xf>
    <xf numFmtId="4" fontId="4" fillId="43" borderId="10" xfId="52" applyNumberFormat="1" applyFont="1" applyFill="1" applyBorder="1" applyAlignment="1">
      <alignment horizontal="right" vertical="center" wrapText="1"/>
      <protection/>
    </xf>
    <xf numFmtId="3" fontId="4" fillId="43" borderId="10" xfId="52" applyNumberFormat="1" applyFont="1" applyFill="1" applyBorder="1" applyAlignment="1">
      <alignment horizontal="right" vertical="center" wrapText="1"/>
      <protection/>
    </xf>
    <xf numFmtId="14" fontId="4" fillId="44" borderId="10" xfId="52" applyNumberFormat="1" applyFont="1" applyFill="1" applyBorder="1" applyAlignment="1">
      <alignment horizontal="center" vertical="center" wrapText="1"/>
      <protection/>
    </xf>
    <xf numFmtId="0" fontId="4" fillId="44" borderId="10" xfId="52" applyFont="1" applyFill="1" applyBorder="1" applyAlignment="1">
      <alignment horizontal="center" vertical="center" wrapText="1"/>
      <protection/>
    </xf>
    <xf numFmtId="0" fontId="5" fillId="44" borderId="10" xfId="52" applyFont="1" applyFill="1" applyBorder="1" applyAlignment="1">
      <alignment horizontal="center" vertical="center" wrapText="1"/>
      <protection/>
    </xf>
    <xf numFmtId="0" fontId="9" fillId="44" borderId="10" xfId="52" applyFont="1" applyFill="1" applyBorder="1" applyAlignment="1">
      <alignment horizontal="center" vertical="center" wrapText="1"/>
      <protection/>
    </xf>
    <xf numFmtId="4" fontId="4" fillId="44" borderId="10" xfId="52" applyNumberFormat="1" applyFont="1" applyFill="1" applyBorder="1" applyAlignment="1">
      <alignment horizontal="right" vertical="center" wrapText="1"/>
      <protection/>
    </xf>
    <xf numFmtId="3" fontId="4" fillId="44" borderId="10" xfId="52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0" fillId="17" borderId="10" xfId="52" applyFont="1" applyFill="1" applyBorder="1" applyAlignment="1">
      <alignment horizontal="center" vertical="center" wrapText="1"/>
      <protection/>
    </xf>
    <xf numFmtId="0" fontId="6" fillId="17" borderId="12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22" fontId="1" fillId="33" borderId="14" xfId="0" applyNumberFormat="1" applyFont="1" applyFill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ill>
        <patternFill>
          <bgColor indexed="13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56"/>
  <sheetViews>
    <sheetView tabSelected="1" zoomScalePageLayoutView="0" workbookViewId="0" topLeftCell="A1">
      <pane xSplit="4" ySplit="5" topLeftCell="E14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128" sqref="G128"/>
    </sheetView>
  </sheetViews>
  <sheetFormatPr defaultColWidth="9.140625" defaultRowHeight="12.75"/>
  <cols>
    <col min="1" max="1" width="6.28125" style="2" customWidth="1"/>
    <col min="2" max="2" width="15.140625" style="2" customWidth="1"/>
    <col min="3" max="3" width="34.421875" style="2" customWidth="1"/>
    <col min="4" max="4" width="23.7109375" style="2" customWidth="1"/>
    <col min="5" max="5" width="23.28125" style="2" customWidth="1"/>
    <col min="6" max="6" width="21.7109375" style="2" customWidth="1"/>
    <col min="7" max="7" width="19.421875" style="2" bestFit="1" customWidth="1"/>
    <col min="8" max="8" width="22.140625" style="2" customWidth="1"/>
    <col min="9" max="9" width="17.7109375" style="2" customWidth="1"/>
    <col min="10" max="10" width="14.8515625" style="2" customWidth="1"/>
    <col min="11" max="11" width="4.7109375" style="2" customWidth="1"/>
    <col min="12" max="14" width="17.140625" style="2" customWidth="1"/>
    <col min="15" max="16384" width="9.140625" style="2" customWidth="1"/>
  </cols>
  <sheetData>
    <row r="3" spans="1:10" ht="8.25" customHeight="1">
      <c r="A3" s="3"/>
      <c r="B3" s="4"/>
      <c r="C3" s="3"/>
      <c r="D3" s="3"/>
      <c r="E3" s="3"/>
      <c r="F3" s="5"/>
      <c r="G3" s="6"/>
      <c r="H3" s="1" t="s">
        <v>0</v>
      </c>
      <c r="I3" s="103">
        <f ca="1">NOW()</f>
        <v>40963.472264351854</v>
      </c>
      <c r="J3" s="103"/>
    </row>
    <row r="4" spans="1:10" ht="32.25" customHeight="1">
      <c r="A4" s="99" t="s">
        <v>14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98.25" customHeight="1">
      <c r="A5" s="7" t="s">
        <v>1</v>
      </c>
      <c r="B5" s="8" t="s">
        <v>2</v>
      </c>
      <c r="C5" s="9" t="s">
        <v>3</v>
      </c>
      <c r="D5" s="9" t="s">
        <v>4</v>
      </c>
      <c r="E5" s="10" t="s">
        <v>5</v>
      </c>
      <c r="F5" s="10" t="s">
        <v>10</v>
      </c>
      <c r="G5" s="11" t="s">
        <v>11</v>
      </c>
      <c r="H5" s="11" t="s">
        <v>6</v>
      </c>
      <c r="I5" s="12" t="s">
        <v>7</v>
      </c>
      <c r="J5" s="13" t="s">
        <v>8</v>
      </c>
    </row>
    <row r="6" spans="1:14" s="15" customFormat="1" ht="49.5" customHeight="1">
      <c r="A6" s="16">
        <v>1</v>
      </c>
      <c r="B6" s="48">
        <v>40575</v>
      </c>
      <c r="C6" s="49" t="s">
        <v>25</v>
      </c>
      <c r="D6" s="50" t="s">
        <v>26</v>
      </c>
      <c r="E6" s="51" t="s">
        <v>13</v>
      </c>
      <c r="F6" s="52">
        <v>392729.56</v>
      </c>
      <c r="G6" s="52">
        <v>366140</v>
      </c>
      <c r="H6" s="52">
        <f>F6+G6</f>
        <v>758869.56</v>
      </c>
      <c r="I6" s="53">
        <v>10</v>
      </c>
      <c r="J6" s="52">
        <v>298.05</v>
      </c>
      <c r="K6" s="97"/>
      <c r="L6" s="97"/>
      <c r="M6" s="97"/>
      <c r="N6" s="97"/>
    </row>
    <row r="7" spans="1:14" s="15" customFormat="1" ht="49.5" customHeight="1">
      <c r="A7" s="16">
        <f>1+A6</f>
        <v>2</v>
      </c>
      <c r="B7" s="48">
        <v>40703</v>
      </c>
      <c r="C7" s="49" t="s">
        <v>45</v>
      </c>
      <c r="D7" s="50" t="s">
        <v>26</v>
      </c>
      <c r="E7" s="51" t="s">
        <v>13</v>
      </c>
      <c r="F7" s="52">
        <v>261959.74</v>
      </c>
      <c r="G7" s="52">
        <v>6480</v>
      </c>
      <c r="H7" s="52">
        <f aca="true" t="shared" si="0" ref="H7:H13">F7+G7</f>
        <v>268439.74</v>
      </c>
      <c r="I7" s="53">
        <v>19</v>
      </c>
      <c r="J7" s="52">
        <v>283.49</v>
      </c>
      <c r="K7" s="97"/>
      <c r="L7" s="97"/>
      <c r="M7" s="97"/>
      <c r="N7" s="97"/>
    </row>
    <row r="8" spans="1:14" s="15" customFormat="1" ht="49.5" customHeight="1">
      <c r="A8" s="16">
        <f aca="true" t="shared" si="1" ref="A8:A144">1+A7</f>
        <v>3</v>
      </c>
      <c r="B8" s="48">
        <v>40744</v>
      </c>
      <c r="C8" s="49" t="s">
        <v>64</v>
      </c>
      <c r="D8" s="50" t="s">
        <v>26</v>
      </c>
      <c r="E8" s="51" t="s">
        <v>65</v>
      </c>
      <c r="F8" s="52">
        <f>2059151.65+1420628.71-12193.98</f>
        <v>3467586.38</v>
      </c>
      <c r="G8" s="52">
        <f>20000</f>
        <v>20000</v>
      </c>
      <c r="H8" s="52">
        <f t="shared" si="0"/>
        <v>3487586.38</v>
      </c>
      <c r="I8" s="53">
        <f>46+5-1</f>
        <v>50</v>
      </c>
      <c r="J8" s="52">
        <f>1666.33+616.4-1.14</f>
        <v>2281.59</v>
      </c>
      <c r="K8" s="97"/>
      <c r="L8" s="97"/>
      <c r="M8" s="97"/>
      <c r="N8" s="97"/>
    </row>
    <row r="9" spans="1:14" s="15" customFormat="1" ht="49.5" customHeight="1">
      <c r="A9" s="16">
        <f t="shared" si="1"/>
        <v>4</v>
      </c>
      <c r="B9" s="48">
        <v>40757</v>
      </c>
      <c r="C9" s="49" t="s">
        <v>73</v>
      </c>
      <c r="D9" s="50" t="s">
        <v>26</v>
      </c>
      <c r="E9" s="51" t="s">
        <v>65</v>
      </c>
      <c r="F9" s="52">
        <f>28539.45+1327678.41</f>
        <v>1356217.8599999999</v>
      </c>
      <c r="G9" s="52">
        <v>0</v>
      </c>
      <c r="H9" s="52">
        <f t="shared" si="0"/>
        <v>1356217.8599999999</v>
      </c>
      <c r="I9" s="53">
        <f>4+26</f>
        <v>30</v>
      </c>
      <c r="J9" s="52">
        <f>10.87+229.73</f>
        <v>240.6</v>
      </c>
      <c r="K9" s="97"/>
      <c r="L9" s="97"/>
      <c r="M9" s="97"/>
      <c r="N9" s="97"/>
    </row>
    <row r="10" spans="1:14" s="15" customFormat="1" ht="66.75" customHeight="1">
      <c r="A10" s="16">
        <f t="shared" si="1"/>
        <v>5</v>
      </c>
      <c r="B10" s="48">
        <v>40800</v>
      </c>
      <c r="C10" s="49" t="s">
        <v>112</v>
      </c>
      <c r="D10" s="50" t="s">
        <v>26</v>
      </c>
      <c r="E10" s="51" t="s">
        <v>113</v>
      </c>
      <c r="F10" s="52">
        <f>2580950.22+943956.1</f>
        <v>3524906.3200000003</v>
      </c>
      <c r="G10" s="52">
        <v>27000</v>
      </c>
      <c r="H10" s="52">
        <f t="shared" si="0"/>
        <v>3551906.3200000003</v>
      </c>
      <c r="I10" s="53">
        <f>6+1+7</f>
        <v>14</v>
      </c>
      <c r="J10" s="52">
        <f>191.53+14.27+399.3</f>
        <v>605.1</v>
      </c>
      <c r="K10" s="97"/>
      <c r="L10" s="97"/>
      <c r="M10" s="97"/>
      <c r="N10" s="97"/>
    </row>
    <row r="11" spans="1:14" s="15" customFormat="1" ht="66.75" customHeight="1">
      <c r="A11" s="16">
        <f t="shared" si="1"/>
        <v>6</v>
      </c>
      <c r="B11" s="48">
        <v>40808</v>
      </c>
      <c r="C11" s="49" t="s">
        <v>121</v>
      </c>
      <c r="D11" s="50" t="s">
        <v>26</v>
      </c>
      <c r="E11" s="51" t="s">
        <v>122</v>
      </c>
      <c r="F11" s="52">
        <f>283165.41+368358.43+204742.66</f>
        <v>856266.5</v>
      </c>
      <c r="G11" s="52">
        <v>0</v>
      </c>
      <c r="H11" s="52">
        <f t="shared" si="0"/>
        <v>856266.5</v>
      </c>
      <c r="I11" s="53">
        <f>3+14+9</f>
        <v>26</v>
      </c>
      <c r="J11" s="52">
        <f>43.09+404.68+194.24</f>
        <v>642.01</v>
      </c>
      <c r="K11" s="97"/>
      <c r="L11" s="97"/>
      <c r="M11" s="97"/>
      <c r="N11" s="97"/>
    </row>
    <row r="12" spans="1:14" s="15" customFormat="1" ht="66.75" customHeight="1">
      <c r="A12" s="16">
        <f t="shared" si="1"/>
        <v>7</v>
      </c>
      <c r="B12" s="48">
        <v>40835</v>
      </c>
      <c r="C12" s="49" t="s">
        <v>166</v>
      </c>
      <c r="D12" s="50" t="s">
        <v>26</v>
      </c>
      <c r="E12" s="51" t="s">
        <v>167</v>
      </c>
      <c r="F12" s="52">
        <f>4645359.75+21805.01</f>
        <v>4667164.76</v>
      </c>
      <c r="G12" s="52">
        <v>10079</v>
      </c>
      <c r="H12" s="52">
        <f t="shared" si="0"/>
        <v>4677243.76</v>
      </c>
      <c r="I12" s="53">
        <f>153+1+1</f>
        <v>155</v>
      </c>
      <c r="J12" s="52">
        <f>3857.69+23.32</f>
        <v>3881.01</v>
      </c>
      <c r="K12" s="97"/>
      <c r="L12" s="97"/>
      <c r="M12" s="97"/>
      <c r="N12" s="97"/>
    </row>
    <row r="13" spans="1:14" s="15" customFormat="1" ht="66.75" customHeight="1">
      <c r="A13" s="16">
        <f t="shared" si="1"/>
        <v>8</v>
      </c>
      <c r="B13" s="48">
        <v>40862</v>
      </c>
      <c r="C13" s="49" t="s">
        <v>212</v>
      </c>
      <c r="D13" s="50" t="s">
        <v>26</v>
      </c>
      <c r="E13" s="51" t="s">
        <v>13</v>
      </c>
      <c r="F13" s="52">
        <v>33660.54</v>
      </c>
      <c r="G13" s="52">
        <v>0</v>
      </c>
      <c r="H13" s="52">
        <f t="shared" si="0"/>
        <v>33660.54</v>
      </c>
      <c r="I13" s="53">
        <v>4</v>
      </c>
      <c r="J13" s="52">
        <v>48.04</v>
      </c>
      <c r="K13" s="97"/>
      <c r="L13" s="97"/>
      <c r="M13" s="97"/>
      <c r="N13" s="97"/>
    </row>
    <row r="14" spans="1:14" s="15" customFormat="1" ht="49.5" customHeight="1">
      <c r="A14" s="16">
        <f t="shared" si="1"/>
        <v>9</v>
      </c>
      <c r="B14" s="32">
        <v>40568</v>
      </c>
      <c r="C14" s="33" t="s">
        <v>19</v>
      </c>
      <c r="D14" s="34" t="s">
        <v>20</v>
      </c>
      <c r="E14" s="38" t="s">
        <v>13</v>
      </c>
      <c r="F14" s="35">
        <v>0</v>
      </c>
      <c r="G14" s="35">
        <v>2405814</v>
      </c>
      <c r="H14" s="35">
        <f>F14+G14</f>
        <v>2405814</v>
      </c>
      <c r="I14" s="36">
        <v>46</v>
      </c>
      <c r="J14" s="35">
        <v>0</v>
      </c>
      <c r="K14" s="97"/>
      <c r="L14" s="97"/>
      <c r="M14" s="97"/>
      <c r="N14" s="97"/>
    </row>
    <row r="15" spans="1:14" s="15" customFormat="1" ht="49.5" customHeight="1">
      <c r="A15" s="16">
        <f t="shared" si="1"/>
        <v>10</v>
      </c>
      <c r="B15" s="32">
        <v>40631</v>
      </c>
      <c r="C15" s="33" t="s">
        <v>34</v>
      </c>
      <c r="D15" s="34" t="s">
        <v>20</v>
      </c>
      <c r="E15" s="38" t="s">
        <v>13</v>
      </c>
      <c r="F15" s="35">
        <v>0</v>
      </c>
      <c r="G15" s="35">
        <v>827711</v>
      </c>
      <c r="H15" s="35">
        <f aca="true" t="shared" si="2" ref="H15:H28">F15+G15</f>
        <v>827711</v>
      </c>
      <c r="I15" s="36">
        <v>9</v>
      </c>
      <c r="J15" s="35">
        <v>1.59</v>
      </c>
      <c r="K15" s="97"/>
      <c r="L15" s="97"/>
      <c r="M15" s="97"/>
      <c r="N15" s="97"/>
    </row>
    <row r="16" spans="1:14" s="15" customFormat="1" ht="66.75" customHeight="1">
      <c r="A16" s="16">
        <f t="shared" si="1"/>
        <v>11</v>
      </c>
      <c r="B16" s="32" t="s">
        <v>54</v>
      </c>
      <c r="C16" s="33" t="s">
        <v>62</v>
      </c>
      <c r="D16" s="34" t="s">
        <v>20</v>
      </c>
      <c r="E16" s="38" t="s">
        <v>63</v>
      </c>
      <c r="F16" s="35">
        <f>55008649</f>
        <v>55008649</v>
      </c>
      <c r="G16" s="35">
        <f>32726+32726</f>
        <v>65452</v>
      </c>
      <c r="H16" s="35">
        <f t="shared" si="2"/>
        <v>55074101</v>
      </c>
      <c r="I16" s="36">
        <f>1355+1</f>
        <v>1356</v>
      </c>
      <c r="J16" s="35">
        <v>38563</v>
      </c>
      <c r="K16" s="97"/>
      <c r="L16" s="97"/>
      <c r="M16" s="97"/>
      <c r="N16" s="97"/>
    </row>
    <row r="17" spans="1:14" s="15" customFormat="1" ht="49.5" customHeight="1">
      <c r="A17" s="16">
        <f t="shared" si="1"/>
        <v>12</v>
      </c>
      <c r="B17" s="32">
        <v>40756</v>
      </c>
      <c r="C17" s="33" t="s">
        <v>61</v>
      </c>
      <c r="D17" s="34" t="s">
        <v>20</v>
      </c>
      <c r="E17" s="38" t="s">
        <v>13</v>
      </c>
      <c r="F17" s="35">
        <v>2172759</v>
      </c>
      <c r="G17" s="35">
        <v>92441</v>
      </c>
      <c r="H17" s="35">
        <f t="shared" si="2"/>
        <v>2265200</v>
      </c>
      <c r="I17" s="36">
        <v>99</v>
      </c>
      <c r="J17" s="35">
        <v>1751.82</v>
      </c>
      <c r="K17" s="97"/>
      <c r="L17" s="97"/>
      <c r="M17" s="97"/>
      <c r="N17" s="97"/>
    </row>
    <row r="18" spans="1:14" s="15" customFormat="1" ht="49.5" customHeight="1">
      <c r="A18" s="16">
        <f t="shared" si="1"/>
        <v>13</v>
      </c>
      <c r="B18" s="32">
        <v>40765</v>
      </c>
      <c r="C18" s="33" t="s">
        <v>74</v>
      </c>
      <c r="D18" s="34" t="s">
        <v>20</v>
      </c>
      <c r="E18" s="38" t="s">
        <v>75</v>
      </c>
      <c r="F18" s="35">
        <v>37618381</v>
      </c>
      <c r="G18" s="35">
        <v>216700</v>
      </c>
      <c r="H18" s="35">
        <f t="shared" si="2"/>
        <v>37835081</v>
      </c>
      <c r="I18" s="36">
        <v>1079</v>
      </c>
      <c r="J18" s="35">
        <v>23973</v>
      </c>
      <c r="K18" s="97"/>
      <c r="L18" s="97"/>
      <c r="M18" s="97"/>
      <c r="N18" s="97"/>
    </row>
    <row r="19" spans="1:14" s="15" customFormat="1" ht="82.5" customHeight="1">
      <c r="A19" s="16">
        <f t="shared" si="1"/>
        <v>14</v>
      </c>
      <c r="B19" s="32">
        <v>40799</v>
      </c>
      <c r="C19" s="33" t="s">
        <v>101</v>
      </c>
      <c r="D19" s="34" t="s">
        <v>20</v>
      </c>
      <c r="E19" s="38" t="s">
        <v>102</v>
      </c>
      <c r="F19" s="35">
        <f>97042159+9813115+1577905+1360652</f>
        <v>109793831</v>
      </c>
      <c r="G19" s="35">
        <f>2853316+6612+13021+300931+50117</f>
        <v>3223997</v>
      </c>
      <c r="H19" s="35">
        <f t="shared" si="2"/>
        <v>113017828</v>
      </c>
      <c r="I19" s="36">
        <f>2909+124+44+118+1+3+1</f>
        <v>3200</v>
      </c>
      <c r="J19" s="35">
        <f>59963+4093+650+1415</f>
        <v>66121</v>
      </c>
      <c r="K19" s="97"/>
      <c r="L19" s="97"/>
      <c r="M19" s="97"/>
      <c r="N19" s="97"/>
    </row>
    <row r="20" spans="1:14" s="15" customFormat="1" ht="54" customHeight="1">
      <c r="A20" s="16">
        <f t="shared" si="1"/>
        <v>15</v>
      </c>
      <c r="B20" s="32">
        <v>40799</v>
      </c>
      <c r="C20" s="33" t="s">
        <v>108</v>
      </c>
      <c r="D20" s="34" t="s">
        <v>20</v>
      </c>
      <c r="E20" s="38" t="s">
        <v>109</v>
      </c>
      <c r="F20" s="35">
        <v>1785507</v>
      </c>
      <c r="G20" s="35">
        <f>1092937+37429</f>
        <v>1130366</v>
      </c>
      <c r="H20" s="35">
        <f t="shared" si="2"/>
        <v>2915873</v>
      </c>
      <c r="I20" s="36">
        <f>30+24+2</f>
        <v>56</v>
      </c>
      <c r="J20" s="35">
        <f>359.79+513</f>
        <v>872.79</v>
      </c>
      <c r="K20" s="97"/>
      <c r="L20" s="97"/>
      <c r="M20" s="97"/>
      <c r="N20" s="97"/>
    </row>
    <row r="21" spans="1:14" s="15" customFormat="1" ht="75" customHeight="1">
      <c r="A21" s="16">
        <f t="shared" si="1"/>
        <v>16</v>
      </c>
      <c r="B21" s="32">
        <v>40840</v>
      </c>
      <c r="C21" s="33" t="s">
        <v>172</v>
      </c>
      <c r="D21" s="34" t="s">
        <v>20</v>
      </c>
      <c r="E21" s="38" t="s">
        <v>173</v>
      </c>
      <c r="F21" s="35">
        <v>526165</v>
      </c>
      <c r="G21" s="35">
        <v>1327726</v>
      </c>
      <c r="H21" s="35">
        <f t="shared" si="2"/>
        <v>1853891</v>
      </c>
      <c r="I21" s="36">
        <v>96</v>
      </c>
      <c r="J21" s="35">
        <v>371</v>
      </c>
      <c r="K21" s="97"/>
      <c r="L21" s="97"/>
      <c r="M21" s="97"/>
      <c r="N21" s="97"/>
    </row>
    <row r="22" spans="1:14" s="15" customFormat="1" ht="35.25" customHeight="1">
      <c r="A22" s="16">
        <f t="shared" si="1"/>
        <v>17</v>
      </c>
      <c r="B22" s="32">
        <v>40855</v>
      </c>
      <c r="C22" s="33" t="s">
        <v>199</v>
      </c>
      <c r="D22" s="34" t="s">
        <v>20</v>
      </c>
      <c r="E22" s="38" t="s">
        <v>200</v>
      </c>
      <c r="F22" s="35">
        <v>0</v>
      </c>
      <c r="G22" s="35">
        <f>25614+15000</f>
        <v>40614</v>
      </c>
      <c r="H22" s="35">
        <f t="shared" si="2"/>
        <v>40614</v>
      </c>
      <c r="I22" s="36">
        <v>2</v>
      </c>
      <c r="J22" s="35">
        <v>0</v>
      </c>
      <c r="K22" s="97"/>
      <c r="L22" s="97"/>
      <c r="M22" s="97"/>
      <c r="N22" s="97"/>
    </row>
    <row r="23" spans="1:14" s="15" customFormat="1" ht="54" customHeight="1">
      <c r="A23" s="16">
        <f t="shared" si="1"/>
        <v>18</v>
      </c>
      <c r="B23" s="32">
        <v>40855</v>
      </c>
      <c r="C23" s="33" t="s">
        <v>205</v>
      </c>
      <c r="D23" s="34" t="s">
        <v>20</v>
      </c>
      <c r="E23" s="38" t="s">
        <v>206</v>
      </c>
      <c r="F23" s="35">
        <f>2915661</f>
        <v>2915661</v>
      </c>
      <c r="G23" s="35">
        <f>13170+293731</f>
        <v>306901</v>
      </c>
      <c r="H23" s="35">
        <f t="shared" si="2"/>
        <v>3222562</v>
      </c>
      <c r="I23" s="36">
        <f>80+1+4</f>
        <v>85</v>
      </c>
      <c r="J23" s="35">
        <f>2146</f>
        <v>2146</v>
      </c>
      <c r="K23" s="97"/>
      <c r="L23" s="97"/>
      <c r="M23" s="97"/>
      <c r="N23" s="97"/>
    </row>
    <row r="24" spans="1:14" s="15" customFormat="1" ht="54" customHeight="1">
      <c r="A24" s="16">
        <f t="shared" si="1"/>
        <v>19</v>
      </c>
      <c r="B24" s="32">
        <v>40869</v>
      </c>
      <c r="C24" s="33" t="s">
        <v>224</v>
      </c>
      <c r="D24" s="34" t="s">
        <v>20</v>
      </c>
      <c r="E24" s="38" t="s">
        <v>200</v>
      </c>
      <c r="F24" s="35">
        <v>0</v>
      </c>
      <c r="G24" s="35">
        <f>92400+481433+9142</f>
        <v>582975</v>
      </c>
      <c r="H24" s="35">
        <f t="shared" si="2"/>
        <v>582975</v>
      </c>
      <c r="I24" s="36">
        <f>1+20</f>
        <v>21</v>
      </c>
      <c r="J24" s="35">
        <v>0</v>
      </c>
      <c r="K24" s="97"/>
      <c r="L24" s="97"/>
      <c r="M24" s="97"/>
      <c r="N24" s="97"/>
    </row>
    <row r="25" spans="1:14" s="15" customFormat="1" ht="54" customHeight="1">
      <c r="A25" s="16">
        <f t="shared" si="1"/>
        <v>20</v>
      </c>
      <c r="B25" s="32">
        <v>40870</v>
      </c>
      <c r="C25" s="33" t="s">
        <v>225</v>
      </c>
      <c r="D25" s="34" t="s">
        <v>20</v>
      </c>
      <c r="E25" s="38" t="s">
        <v>56</v>
      </c>
      <c r="F25" s="35">
        <v>0</v>
      </c>
      <c r="G25" s="35">
        <v>81675</v>
      </c>
      <c r="H25" s="35">
        <f t="shared" si="2"/>
        <v>81675</v>
      </c>
      <c r="I25" s="36">
        <v>2</v>
      </c>
      <c r="J25" s="35">
        <v>0</v>
      </c>
      <c r="K25" s="97"/>
      <c r="L25" s="97"/>
      <c r="M25" s="97"/>
      <c r="N25" s="97"/>
    </row>
    <row r="26" spans="1:14" s="15" customFormat="1" ht="54" customHeight="1">
      <c r="A26" s="16">
        <f t="shared" si="1"/>
        <v>21</v>
      </c>
      <c r="B26" s="32">
        <v>40869</v>
      </c>
      <c r="C26" s="33" t="s">
        <v>227</v>
      </c>
      <c r="D26" s="34" t="s">
        <v>20</v>
      </c>
      <c r="E26" s="38" t="s">
        <v>56</v>
      </c>
      <c r="F26" s="35">
        <v>0</v>
      </c>
      <c r="G26" s="35">
        <v>21208</v>
      </c>
      <c r="H26" s="35">
        <f t="shared" si="2"/>
        <v>21208</v>
      </c>
      <c r="I26" s="36">
        <v>1</v>
      </c>
      <c r="J26" s="35">
        <v>0</v>
      </c>
      <c r="K26" s="97"/>
      <c r="L26" s="97"/>
      <c r="M26" s="97"/>
      <c r="N26" s="97"/>
    </row>
    <row r="27" spans="1:14" s="15" customFormat="1" ht="54" customHeight="1">
      <c r="A27" s="16">
        <f t="shared" si="1"/>
        <v>22</v>
      </c>
      <c r="B27" s="32">
        <v>40899</v>
      </c>
      <c r="C27" s="33" t="s">
        <v>235</v>
      </c>
      <c r="D27" s="34" t="s">
        <v>20</v>
      </c>
      <c r="E27" s="38" t="s">
        <v>56</v>
      </c>
      <c r="F27" s="35">
        <v>0</v>
      </c>
      <c r="G27" s="35">
        <v>56250</v>
      </c>
      <c r="H27" s="35">
        <f t="shared" si="2"/>
        <v>56250</v>
      </c>
      <c r="I27" s="36">
        <v>1</v>
      </c>
      <c r="J27" s="35">
        <v>0</v>
      </c>
      <c r="K27" s="97"/>
      <c r="L27" s="97"/>
      <c r="M27" s="97"/>
      <c r="N27" s="97"/>
    </row>
    <row r="28" spans="1:14" s="15" customFormat="1" ht="54" customHeight="1">
      <c r="A28" s="16">
        <f t="shared" si="1"/>
        <v>23</v>
      </c>
      <c r="B28" s="32">
        <v>40907</v>
      </c>
      <c r="C28" s="33" t="s">
        <v>238</v>
      </c>
      <c r="D28" s="34" t="s">
        <v>20</v>
      </c>
      <c r="E28" s="38" t="s">
        <v>56</v>
      </c>
      <c r="F28" s="35">
        <v>0</v>
      </c>
      <c r="G28" s="35">
        <f>206800+237602</f>
        <v>444402</v>
      </c>
      <c r="H28" s="35">
        <f t="shared" si="2"/>
        <v>444402</v>
      </c>
      <c r="I28" s="36">
        <f>4+4</f>
        <v>8</v>
      </c>
      <c r="J28" s="35">
        <v>0</v>
      </c>
      <c r="K28" s="97"/>
      <c r="L28" s="97"/>
      <c r="M28" s="97"/>
      <c r="N28" s="97"/>
    </row>
    <row r="29" spans="1:14" s="15" customFormat="1" ht="49.5" customHeight="1">
      <c r="A29" s="16">
        <f t="shared" si="1"/>
        <v>24</v>
      </c>
      <c r="B29" s="54">
        <v>40583</v>
      </c>
      <c r="C29" s="55" t="s">
        <v>27</v>
      </c>
      <c r="D29" s="56" t="s">
        <v>28</v>
      </c>
      <c r="E29" s="57" t="s">
        <v>29</v>
      </c>
      <c r="F29" s="58">
        <v>37162.61</v>
      </c>
      <c r="G29" s="58">
        <v>30000</v>
      </c>
      <c r="H29" s="58">
        <f>F29+G29</f>
        <v>67162.61</v>
      </c>
      <c r="I29" s="59">
        <v>2</v>
      </c>
      <c r="J29" s="58">
        <v>0.56</v>
      </c>
      <c r="K29" s="97"/>
      <c r="L29" s="97"/>
      <c r="M29" s="97"/>
      <c r="N29" s="97"/>
    </row>
    <row r="30" spans="1:14" s="15" customFormat="1" ht="49.5" customHeight="1">
      <c r="A30" s="16">
        <f t="shared" si="1"/>
        <v>25</v>
      </c>
      <c r="B30" s="54">
        <v>40590</v>
      </c>
      <c r="C30" s="55" t="s">
        <v>30</v>
      </c>
      <c r="D30" s="56" t="s">
        <v>28</v>
      </c>
      <c r="E30" s="57" t="s">
        <v>18</v>
      </c>
      <c r="F30" s="58">
        <v>65132.49</v>
      </c>
      <c r="G30" s="58">
        <v>0</v>
      </c>
      <c r="H30" s="58">
        <f aca="true" t="shared" si="3" ref="H30:H58">F30+G30</f>
        <v>65132.49</v>
      </c>
      <c r="I30" s="59">
        <v>3</v>
      </c>
      <c r="J30" s="58">
        <v>8.51</v>
      </c>
      <c r="K30" s="97"/>
      <c r="L30" s="97"/>
      <c r="M30" s="97"/>
      <c r="N30" s="97"/>
    </row>
    <row r="31" spans="1:14" s="15" customFormat="1" ht="49.5" customHeight="1">
      <c r="A31" s="16">
        <f t="shared" si="1"/>
        <v>26</v>
      </c>
      <c r="B31" s="54">
        <v>40604</v>
      </c>
      <c r="C31" s="55" t="s">
        <v>31</v>
      </c>
      <c r="D31" s="56" t="s">
        <v>28</v>
      </c>
      <c r="E31" s="57" t="s">
        <v>32</v>
      </c>
      <c r="F31" s="58">
        <f>5145172.55+618994.7</f>
        <v>5764167.25</v>
      </c>
      <c r="G31" s="58">
        <f>477566+36600</f>
        <v>514166</v>
      </c>
      <c r="H31" s="58">
        <f t="shared" si="3"/>
        <v>6278333.25</v>
      </c>
      <c r="I31" s="59">
        <f>28+11</f>
        <v>39</v>
      </c>
      <c r="J31" s="58">
        <f>148.59+39.62</f>
        <v>188.21</v>
      </c>
      <c r="K31" s="97"/>
      <c r="L31" s="97"/>
      <c r="M31" s="97"/>
      <c r="N31" s="97"/>
    </row>
    <row r="32" spans="1:14" s="15" customFormat="1" ht="49.5" customHeight="1">
      <c r="A32" s="16">
        <f t="shared" si="1"/>
        <v>27</v>
      </c>
      <c r="B32" s="54">
        <v>40725</v>
      </c>
      <c r="C32" s="55" t="s">
        <v>52</v>
      </c>
      <c r="D32" s="56" t="s">
        <v>28</v>
      </c>
      <c r="E32" s="57" t="s">
        <v>53</v>
      </c>
      <c r="F32" s="58">
        <v>358808.62</v>
      </c>
      <c r="G32" s="58">
        <v>110700</v>
      </c>
      <c r="H32" s="58">
        <f t="shared" si="3"/>
        <v>469508.62</v>
      </c>
      <c r="I32" s="59">
        <v>1</v>
      </c>
      <c r="J32" s="58">
        <v>29.35</v>
      </c>
      <c r="K32" s="97"/>
      <c r="L32" s="97"/>
      <c r="M32" s="97"/>
      <c r="N32" s="97"/>
    </row>
    <row r="33" spans="1:14" s="15" customFormat="1" ht="49.5" customHeight="1">
      <c r="A33" s="16">
        <f t="shared" si="1"/>
        <v>28</v>
      </c>
      <c r="B33" s="54" t="s">
        <v>54</v>
      </c>
      <c r="C33" s="55" t="s">
        <v>55</v>
      </c>
      <c r="D33" s="56" t="s">
        <v>28</v>
      </c>
      <c r="E33" s="57" t="s">
        <v>56</v>
      </c>
      <c r="F33" s="58">
        <v>223311.14</v>
      </c>
      <c r="G33" s="58">
        <v>0</v>
      </c>
      <c r="H33" s="58">
        <f t="shared" si="3"/>
        <v>223311.14</v>
      </c>
      <c r="I33" s="59">
        <v>2</v>
      </c>
      <c r="J33" s="58">
        <v>11.01</v>
      </c>
      <c r="K33" s="97"/>
      <c r="L33" s="97"/>
      <c r="M33" s="97"/>
      <c r="N33" s="97"/>
    </row>
    <row r="34" spans="1:14" s="15" customFormat="1" ht="49.5" customHeight="1">
      <c r="A34" s="16">
        <f t="shared" si="1"/>
        <v>29</v>
      </c>
      <c r="B34" s="54">
        <v>40765</v>
      </c>
      <c r="C34" s="55" t="s">
        <v>76</v>
      </c>
      <c r="D34" s="56" t="s">
        <v>28</v>
      </c>
      <c r="E34" s="57" t="s">
        <v>77</v>
      </c>
      <c r="F34" s="58">
        <f>117902.32+178981.45</f>
        <v>296883.77</v>
      </c>
      <c r="G34" s="58">
        <v>0</v>
      </c>
      <c r="H34" s="58">
        <f t="shared" si="3"/>
        <v>296883.77</v>
      </c>
      <c r="I34" s="59">
        <f>3+6</f>
        <v>9</v>
      </c>
      <c r="J34" s="58">
        <f>29.76+30.18</f>
        <v>59.94</v>
      </c>
      <c r="K34" s="97"/>
      <c r="L34" s="97"/>
      <c r="M34" s="97"/>
      <c r="N34" s="97"/>
    </row>
    <row r="35" spans="1:14" s="15" customFormat="1" ht="49.5" customHeight="1">
      <c r="A35" s="16">
        <f t="shared" si="1"/>
        <v>30</v>
      </c>
      <c r="B35" s="54">
        <v>40765</v>
      </c>
      <c r="C35" s="55" t="s">
        <v>78</v>
      </c>
      <c r="D35" s="56" t="s">
        <v>28</v>
      </c>
      <c r="E35" s="57" t="s">
        <v>13</v>
      </c>
      <c r="F35" s="58">
        <v>31384.29</v>
      </c>
      <c r="G35" s="58">
        <v>0</v>
      </c>
      <c r="H35" s="58">
        <f t="shared" si="3"/>
        <v>31384.29</v>
      </c>
      <c r="I35" s="59">
        <v>11</v>
      </c>
      <c r="J35" s="58">
        <v>68.17</v>
      </c>
      <c r="K35" s="97"/>
      <c r="L35" s="97"/>
      <c r="M35" s="97"/>
      <c r="N35" s="97"/>
    </row>
    <row r="36" spans="1:14" s="15" customFormat="1" ht="49.5" customHeight="1">
      <c r="A36" s="16">
        <f t="shared" si="1"/>
        <v>31</v>
      </c>
      <c r="B36" s="54">
        <v>40788</v>
      </c>
      <c r="C36" s="55" t="s">
        <v>94</v>
      </c>
      <c r="D36" s="56" t="s">
        <v>28</v>
      </c>
      <c r="E36" s="57" t="s">
        <v>18</v>
      </c>
      <c r="F36" s="58">
        <v>275847.62</v>
      </c>
      <c r="G36" s="58">
        <v>0</v>
      </c>
      <c r="H36" s="58">
        <f t="shared" si="3"/>
        <v>275847.62</v>
      </c>
      <c r="I36" s="59">
        <v>55</v>
      </c>
      <c r="J36" s="58">
        <v>326.13</v>
      </c>
      <c r="K36" s="97"/>
      <c r="L36" s="97"/>
      <c r="M36" s="97"/>
      <c r="N36" s="97"/>
    </row>
    <row r="37" spans="1:14" s="15" customFormat="1" ht="49.5" customHeight="1">
      <c r="A37" s="16">
        <f t="shared" si="1"/>
        <v>32</v>
      </c>
      <c r="B37" s="54">
        <v>40799</v>
      </c>
      <c r="C37" s="55" t="s">
        <v>100</v>
      </c>
      <c r="D37" s="56" t="s">
        <v>28</v>
      </c>
      <c r="E37" s="57" t="s">
        <v>103</v>
      </c>
      <c r="F37" s="58">
        <f>110751.05+186038+38282.14</f>
        <v>335071.19</v>
      </c>
      <c r="G37" s="58">
        <f>44000+34300</f>
        <v>78300</v>
      </c>
      <c r="H37" s="58">
        <f t="shared" si="3"/>
        <v>413371.19</v>
      </c>
      <c r="I37" s="59">
        <f>1+1+1</f>
        <v>3</v>
      </c>
      <c r="J37" s="58">
        <f>20.53+20.31+8.05</f>
        <v>48.89</v>
      </c>
      <c r="K37" s="97"/>
      <c r="L37" s="97"/>
      <c r="M37" s="97"/>
      <c r="N37" s="97"/>
    </row>
    <row r="38" spans="1:14" s="15" customFormat="1" ht="49.5" customHeight="1">
      <c r="A38" s="16">
        <f t="shared" si="1"/>
        <v>33</v>
      </c>
      <c r="B38" s="54">
        <v>40805</v>
      </c>
      <c r="C38" s="55" t="s">
        <v>116</v>
      </c>
      <c r="D38" s="56" t="s">
        <v>28</v>
      </c>
      <c r="E38" s="57" t="s">
        <v>117</v>
      </c>
      <c r="F38" s="58">
        <f>645273.51+20933.36</f>
        <v>666206.87</v>
      </c>
      <c r="G38" s="58">
        <v>7700</v>
      </c>
      <c r="H38" s="58">
        <f t="shared" si="3"/>
        <v>673906.87</v>
      </c>
      <c r="I38" s="59">
        <f>14+1</f>
        <v>15</v>
      </c>
      <c r="J38" s="58">
        <f>121.72+3.22</f>
        <v>124.94</v>
      </c>
      <c r="K38" s="97"/>
      <c r="L38" s="97"/>
      <c r="M38" s="97"/>
      <c r="N38" s="97"/>
    </row>
    <row r="39" spans="1:14" s="15" customFormat="1" ht="49.5" customHeight="1">
      <c r="A39" s="16">
        <f t="shared" si="1"/>
        <v>34</v>
      </c>
      <c r="B39" s="54">
        <v>40808</v>
      </c>
      <c r="C39" s="55" t="s">
        <v>123</v>
      </c>
      <c r="D39" s="56" t="s">
        <v>28</v>
      </c>
      <c r="E39" s="57" t="s">
        <v>124</v>
      </c>
      <c r="F39" s="58">
        <f>440057+145185.37+0</f>
        <v>585242.37</v>
      </c>
      <c r="G39" s="58">
        <f>12000+389900+59800</f>
        <v>461700</v>
      </c>
      <c r="H39" s="58">
        <f t="shared" si="3"/>
        <v>1046942.37</v>
      </c>
      <c r="I39" s="59">
        <f>12+27+2</f>
        <v>41</v>
      </c>
      <c r="J39" s="58">
        <f>41.66+138.24</f>
        <v>179.9</v>
      </c>
      <c r="K39" s="97"/>
      <c r="L39" s="97"/>
      <c r="M39" s="97"/>
      <c r="N39" s="97"/>
    </row>
    <row r="40" spans="1:14" s="15" customFormat="1" ht="49.5" customHeight="1">
      <c r="A40" s="16">
        <f t="shared" si="1"/>
        <v>35</v>
      </c>
      <c r="B40" s="54">
        <v>40813</v>
      </c>
      <c r="C40" s="55" t="s">
        <v>127</v>
      </c>
      <c r="D40" s="56" t="s">
        <v>28</v>
      </c>
      <c r="E40" s="57" t="s">
        <v>128</v>
      </c>
      <c r="F40" s="58">
        <f>5357975.61+6566.08+311694.87</f>
        <v>5676236.5600000005</v>
      </c>
      <c r="G40" s="58">
        <v>0</v>
      </c>
      <c r="H40" s="58">
        <f t="shared" si="3"/>
        <v>5676236.5600000005</v>
      </c>
      <c r="I40" s="59">
        <f>216+1+36</f>
        <v>253</v>
      </c>
      <c r="J40" s="58">
        <f>1297.79+3.08+454.04</f>
        <v>1754.9099999999999</v>
      </c>
      <c r="K40" s="97"/>
      <c r="L40" s="97"/>
      <c r="M40" s="97"/>
      <c r="N40" s="97"/>
    </row>
    <row r="41" spans="1:14" s="15" customFormat="1" ht="49.5" customHeight="1">
      <c r="A41" s="16">
        <f t="shared" si="1"/>
        <v>36</v>
      </c>
      <c r="B41" s="54">
        <v>40813</v>
      </c>
      <c r="C41" s="55" t="s">
        <v>129</v>
      </c>
      <c r="D41" s="56" t="s">
        <v>28</v>
      </c>
      <c r="E41" s="57" t="s">
        <v>124</v>
      </c>
      <c r="F41" s="58">
        <f>353473.99+10061.31+120633.09+128745.71</f>
        <v>612914.1</v>
      </c>
      <c r="G41" s="58">
        <f>85664+37802.48</f>
        <v>123466.48000000001</v>
      </c>
      <c r="H41" s="58">
        <f t="shared" si="3"/>
        <v>736380.58</v>
      </c>
      <c r="I41" s="59">
        <f>15+2+6+15</f>
        <v>38</v>
      </c>
      <c r="J41" s="58">
        <f>121.03+3.83+27.85+113.8</f>
        <v>266.51</v>
      </c>
      <c r="K41" s="97"/>
      <c r="L41" s="97"/>
      <c r="M41" s="97"/>
      <c r="N41" s="97"/>
    </row>
    <row r="42" spans="1:14" s="15" customFormat="1" ht="49.5" customHeight="1">
      <c r="A42" s="16">
        <f t="shared" si="1"/>
        <v>37</v>
      </c>
      <c r="B42" s="54">
        <v>40816</v>
      </c>
      <c r="C42" s="55" t="s">
        <v>132</v>
      </c>
      <c r="D42" s="56" t="s">
        <v>28</v>
      </c>
      <c r="E42" s="57" t="s">
        <v>133</v>
      </c>
      <c r="F42" s="58">
        <v>81836.8</v>
      </c>
      <c r="G42" s="58">
        <v>302269.03</v>
      </c>
      <c r="H42" s="58">
        <f t="shared" si="3"/>
        <v>384105.83</v>
      </c>
      <c r="I42" s="59">
        <v>5</v>
      </c>
      <c r="J42" s="58">
        <v>74.23</v>
      </c>
      <c r="K42" s="97"/>
      <c r="L42" s="97"/>
      <c r="M42" s="97"/>
      <c r="N42" s="97"/>
    </row>
    <row r="43" spans="1:14" s="15" customFormat="1" ht="49.5" customHeight="1">
      <c r="A43" s="16">
        <f t="shared" si="1"/>
        <v>38</v>
      </c>
      <c r="B43" s="54">
        <v>40816</v>
      </c>
      <c r="C43" s="55" t="s">
        <v>131</v>
      </c>
      <c r="D43" s="56" t="s">
        <v>28</v>
      </c>
      <c r="E43" s="57" t="s">
        <v>151</v>
      </c>
      <c r="F43" s="58">
        <v>1784071.54</v>
      </c>
      <c r="G43" s="58">
        <v>288000</v>
      </c>
      <c r="H43" s="58">
        <f t="shared" si="3"/>
        <v>2072071.54</v>
      </c>
      <c r="I43" s="59">
        <v>268</v>
      </c>
      <c r="J43" s="58">
        <v>1580.46</v>
      </c>
      <c r="K43" s="97"/>
      <c r="L43" s="97"/>
      <c r="M43" s="97"/>
      <c r="N43" s="97"/>
    </row>
    <row r="44" spans="1:14" s="15" customFormat="1" ht="49.5" customHeight="1">
      <c r="A44" s="16">
        <f t="shared" si="1"/>
        <v>39</v>
      </c>
      <c r="B44" s="54">
        <v>40823</v>
      </c>
      <c r="C44" s="55" t="s">
        <v>146</v>
      </c>
      <c r="D44" s="56" t="s">
        <v>28</v>
      </c>
      <c r="E44" s="57" t="s">
        <v>152</v>
      </c>
      <c r="F44" s="58">
        <v>121175.23000000001</v>
      </c>
      <c r="G44" s="58">
        <v>535900</v>
      </c>
      <c r="H44" s="58">
        <f t="shared" si="3"/>
        <v>657075.23</v>
      </c>
      <c r="I44" s="59">
        <v>76</v>
      </c>
      <c r="J44" s="58">
        <v>97.93</v>
      </c>
      <c r="K44" s="97"/>
      <c r="L44" s="97"/>
      <c r="M44" s="97"/>
      <c r="N44" s="97"/>
    </row>
    <row r="45" spans="1:14" s="15" customFormat="1" ht="49.5" customHeight="1">
      <c r="A45" s="16">
        <f t="shared" si="1"/>
        <v>40</v>
      </c>
      <c r="B45" s="54">
        <v>40823</v>
      </c>
      <c r="C45" s="55" t="s">
        <v>147</v>
      </c>
      <c r="D45" s="56" t="s">
        <v>28</v>
      </c>
      <c r="E45" s="57" t="s">
        <v>153</v>
      </c>
      <c r="F45" s="58">
        <v>5762.19</v>
      </c>
      <c r="G45" s="58">
        <v>0</v>
      </c>
      <c r="H45" s="58">
        <f t="shared" si="3"/>
        <v>5762.19</v>
      </c>
      <c r="I45" s="59">
        <v>1</v>
      </c>
      <c r="J45" s="58">
        <v>5.66</v>
      </c>
      <c r="K45" s="97"/>
      <c r="L45" s="97"/>
      <c r="M45" s="97"/>
      <c r="N45" s="97"/>
    </row>
    <row r="46" spans="1:14" s="15" customFormat="1" ht="49.5" customHeight="1">
      <c r="A46" s="16">
        <f t="shared" si="1"/>
        <v>41</v>
      </c>
      <c r="B46" s="54">
        <v>40833</v>
      </c>
      <c r="C46" s="55" t="s">
        <v>161</v>
      </c>
      <c r="D46" s="56" t="s">
        <v>28</v>
      </c>
      <c r="E46" s="57" t="s">
        <v>124</v>
      </c>
      <c r="F46" s="58">
        <f>212992.5+8573.13+2358004.07</f>
        <v>2579569.6999999997</v>
      </c>
      <c r="G46" s="58">
        <v>0</v>
      </c>
      <c r="H46" s="58">
        <f t="shared" si="3"/>
        <v>2579569.6999999997</v>
      </c>
      <c r="I46" s="59">
        <f>16+3+126</f>
        <v>145</v>
      </c>
      <c r="J46" s="58">
        <f>168.58+17.2+873.9</f>
        <v>1059.68</v>
      </c>
      <c r="K46" s="97"/>
      <c r="L46" s="97"/>
      <c r="M46" s="97"/>
      <c r="N46" s="97"/>
    </row>
    <row r="47" spans="1:14" s="15" customFormat="1" ht="49.5" customHeight="1">
      <c r="A47" s="16">
        <f t="shared" si="1"/>
        <v>42</v>
      </c>
      <c r="B47" s="54">
        <v>40833</v>
      </c>
      <c r="C47" s="55" t="s">
        <v>162</v>
      </c>
      <c r="D47" s="56" t="s">
        <v>28</v>
      </c>
      <c r="E47" s="57" t="s">
        <v>124</v>
      </c>
      <c r="F47" s="58">
        <f>95637.01+45338.08+4663.39+16402.07</f>
        <v>162040.55000000002</v>
      </c>
      <c r="G47" s="58">
        <f>49500</f>
        <v>49500</v>
      </c>
      <c r="H47" s="58">
        <f t="shared" si="3"/>
        <v>211540.55000000002</v>
      </c>
      <c r="I47" s="59">
        <f>11+2+2+2</f>
        <v>17</v>
      </c>
      <c r="J47" s="58">
        <f>81.81+5.39+3.29+13.37</f>
        <v>103.86000000000001</v>
      </c>
      <c r="K47" s="97"/>
      <c r="L47" s="97"/>
      <c r="M47" s="97"/>
      <c r="N47" s="97"/>
    </row>
    <row r="48" spans="1:14" s="15" customFormat="1" ht="49.5" customHeight="1">
      <c r="A48" s="16">
        <f t="shared" si="1"/>
        <v>43</v>
      </c>
      <c r="B48" s="54">
        <v>40840</v>
      </c>
      <c r="C48" s="55" t="s">
        <v>174</v>
      </c>
      <c r="D48" s="56" t="s">
        <v>28</v>
      </c>
      <c r="E48" s="57" t="s">
        <v>175</v>
      </c>
      <c r="F48" s="58">
        <f>30995.41+1212316.27+5000+405327+50864.2</f>
        <v>1704502.88</v>
      </c>
      <c r="G48" s="58">
        <v>189050</v>
      </c>
      <c r="H48" s="58">
        <f t="shared" si="3"/>
        <v>1893552.88</v>
      </c>
      <c r="I48" s="59">
        <v>109</v>
      </c>
      <c r="J48" s="58">
        <v>917.26</v>
      </c>
      <c r="K48" s="97"/>
      <c r="L48" s="97"/>
      <c r="M48" s="97"/>
      <c r="N48" s="97"/>
    </row>
    <row r="49" spans="1:14" s="15" customFormat="1" ht="49.5" customHeight="1">
      <c r="A49" s="16">
        <f t="shared" si="1"/>
        <v>44</v>
      </c>
      <c r="B49" s="54">
        <v>40843</v>
      </c>
      <c r="C49" s="55" t="s">
        <v>178</v>
      </c>
      <c r="D49" s="56" t="s">
        <v>28</v>
      </c>
      <c r="E49" s="57" t="s">
        <v>179</v>
      </c>
      <c r="F49" s="58">
        <v>1311082.03</v>
      </c>
      <c r="G49" s="58">
        <v>104800</v>
      </c>
      <c r="H49" s="58">
        <f t="shared" si="3"/>
        <v>1415882.03</v>
      </c>
      <c r="I49" s="59">
        <v>19</v>
      </c>
      <c r="J49" s="58">
        <v>152.25</v>
      </c>
      <c r="K49" s="97"/>
      <c r="L49" s="97"/>
      <c r="M49" s="97"/>
      <c r="N49" s="97"/>
    </row>
    <row r="50" spans="1:14" s="15" customFormat="1" ht="49.5" customHeight="1">
      <c r="A50" s="16">
        <f t="shared" si="1"/>
        <v>45</v>
      </c>
      <c r="B50" s="54">
        <v>40844</v>
      </c>
      <c r="C50" s="55" t="s">
        <v>180</v>
      </c>
      <c r="D50" s="56" t="s">
        <v>28</v>
      </c>
      <c r="E50" s="57" t="s">
        <v>181</v>
      </c>
      <c r="F50" s="58">
        <f>1530961.27+50942.38</f>
        <v>1581903.65</v>
      </c>
      <c r="G50" s="58">
        <v>229710</v>
      </c>
      <c r="H50" s="58">
        <f t="shared" si="3"/>
        <v>1811613.65</v>
      </c>
      <c r="I50" s="59">
        <f>59+1</f>
        <v>60</v>
      </c>
      <c r="J50" s="58">
        <f>477.78+54.08</f>
        <v>531.86</v>
      </c>
      <c r="K50" s="97"/>
      <c r="L50" s="97"/>
      <c r="M50" s="97"/>
      <c r="N50" s="97"/>
    </row>
    <row r="51" spans="1:14" s="15" customFormat="1" ht="49.5" customHeight="1">
      <c r="A51" s="16">
        <f t="shared" si="1"/>
        <v>46</v>
      </c>
      <c r="B51" s="54">
        <v>40844</v>
      </c>
      <c r="C51" s="55" t="s">
        <v>182</v>
      </c>
      <c r="D51" s="56" t="s">
        <v>28</v>
      </c>
      <c r="E51" s="57" t="s">
        <v>181</v>
      </c>
      <c r="F51" s="58">
        <v>1190904.24</v>
      </c>
      <c r="G51" s="58">
        <v>10000</v>
      </c>
      <c r="H51" s="58">
        <f t="shared" si="3"/>
        <v>1200904.24</v>
      </c>
      <c r="I51" s="59">
        <v>29</v>
      </c>
      <c r="J51" s="58">
        <v>375.57</v>
      </c>
      <c r="K51" s="97"/>
      <c r="L51" s="97"/>
      <c r="M51" s="97"/>
      <c r="N51" s="97"/>
    </row>
    <row r="52" spans="1:14" s="15" customFormat="1" ht="49.5" customHeight="1">
      <c r="A52" s="16">
        <f t="shared" si="1"/>
        <v>47</v>
      </c>
      <c r="B52" s="54">
        <v>40844</v>
      </c>
      <c r="C52" s="55" t="s">
        <v>183</v>
      </c>
      <c r="D52" s="56" t="s">
        <v>28</v>
      </c>
      <c r="E52" s="57" t="s">
        <v>184</v>
      </c>
      <c r="F52" s="58">
        <v>590309.8600000001</v>
      </c>
      <c r="G52" s="58">
        <v>0</v>
      </c>
      <c r="H52" s="58">
        <f t="shared" si="3"/>
        <v>590309.8600000001</v>
      </c>
      <c r="I52" s="59">
        <v>28</v>
      </c>
      <c r="J52" s="58">
        <v>291.84</v>
      </c>
      <c r="K52" s="97"/>
      <c r="L52" s="97"/>
      <c r="M52" s="97"/>
      <c r="N52" s="97"/>
    </row>
    <row r="53" spans="1:14" s="15" customFormat="1" ht="49.5" customHeight="1">
      <c r="A53" s="16">
        <f t="shared" si="1"/>
        <v>48</v>
      </c>
      <c r="B53" s="54">
        <v>40844</v>
      </c>
      <c r="C53" s="55" t="s">
        <v>185</v>
      </c>
      <c r="D53" s="56" t="s">
        <v>28</v>
      </c>
      <c r="E53" s="57" t="s">
        <v>186</v>
      </c>
      <c r="F53" s="58">
        <f>5625646.58+8136.73</f>
        <v>5633783.3100000005</v>
      </c>
      <c r="G53" s="58">
        <f>908005.09-0.09</f>
        <v>908005</v>
      </c>
      <c r="H53" s="58">
        <f t="shared" si="3"/>
        <v>6541788.3100000005</v>
      </c>
      <c r="I53" s="59">
        <f>295+1</f>
        <v>296</v>
      </c>
      <c r="J53" s="58">
        <f>1886.24+1.41</f>
        <v>1887.65</v>
      </c>
      <c r="K53" s="97"/>
      <c r="L53" s="97"/>
      <c r="M53" s="97"/>
      <c r="N53" s="97"/>
    </row>
    <row r="54" spans="1:14" s="15" customFormat="1" ht="49.5" customHeight="1">
      <c r="A54" s="16">
        <f t="shared" si="1"/>
        <v>49</v>
      </c>
      <c r="B54" s="54">
        <v>40855</v>
      </c>
      <c r="C54" s="55" t="s">
        <v>203</v>
      </c>
      <c r="D54" s="56" t="s">
        <v>28</v>
      </c>
      <c r="E54" s="57" t="s">
        <v>204</v>
      </c>
      <c r="F54" s="58">
        <f>7529.38+24151.06</f>
        <v>31680.440000000002</v>
      </c>
      <c r="G54" s="58">
        <v>0</v>
      </c>
      <c r="H54" s="58">
        <f t="shared" si="3"/>
        <v>31680.440000000002</v>
      </c>
      <c r="I54" s="59">
        <f>2</f>
        <v>2</v>
      </c>
      <c r="J54" s="58">
        <f>0.78+2.42</f>
        <v>3.2</v>
      </c>
      <c r="K54" s="97"/>
      <c r="L54" s="97"/>
      <c r="M54" s="97"/>
      <c r="N54" s="97"/>
    </row>
    <row r="55" spans="1:14" s="15" customFormat="1" ht="49.5" customHeight="1">
      <c r="A55" s="16">
        <f t="shared" si="1"/>
        <v>50</v>
      </c>
      <c r="B55" s="54">
        <v>40862</v>
      </c>
      <c r="C55" s="55" t="s">
        <v>213</v>
      </c>
      <c r="D55" s="56" t="s">
        <v>28</v>
      </c>
      <c r="E55" s="57" t="s">
        <v>152</v>
      </c>
      <c r="F55" s="58">
        <v>3023076.59</v>
      </c>
      <c r="G55" s="58">
        <v>105340</v>
      </c>
      <c r="H55" s="58">
        <f t="shared" si="3"/>
        <v>3128416.59</v>
      </c>
      <c r="I55" s="59">
        <v>241</v>
      </c>
      <c r="J55" s="58">
        <v>375.05</v>
      </c>
      <c r="K55" s="97"/>
      <c r="L55" s="97"/>
      <c r="M55" s="97"/>
      <c r="N55" s="97"/>
    </row>
    <row r="56" spans="1:14" s="15" customFormat="1" ht="49.5" customHeight="1">
      <c r="A56" s="16">
        <f t="shared" si="1"/>
        <v>51</v>
      </c>
      <c r="B56" s="54">
        <v>40863</v>
      </c>
      <c r="C56" s="55" t="s">
        <v>216</v>
      </c>
      <c r="D56" s="56" t="s">
        <v>28</v>
      </c>
      <c r="E56" s="57" t="s">
        <v>217</v>
      </c>
      <c r="F56" s="58">
        <f>348939.64+656154.65</f>
        <v>1005094.29</v>
      </c>
      <c r="G56" s="58">
        <f>26340+690680</f>
        <v>717020</v>
      </c>
      <c r="H56" s="58">
        <f t="shared" si="3"/>
        <v>1722114.29</v>
      </c>
      <c r="I56" s="59">
        <f>99+97</f>
        <v>196</v>
      </c>
      <c r="J56" s="58">
        <f>414.68+129.53</f>
        <v>544.21</v>
      </c>
      <c r="K56" s="97"/>
      <c r="L56" s="97"/>
      <c r="M56" s="97"/>
      <c r="N56" s="97"/>
    </row>
    <row r="57" spans="1:14" s="15" customFormat="1" ht="49.5" customHeight="1">
      <c r="A57" s="16">
        <f t="shared" si="1"/>
        <v>52</v>
      </c>
      <c r="B57" s="54">
        <v>40885</v>
      </c>
      <c r="C57" s="55" t="s">
        <v>230</v>
      </c>
      <c r="D57" s="56" t="s">
        <v>28</v>
      </c>
      <c r="E57" s="57" t="s">
        <v>29</v>
      </c>
      <c r="F57" s="58">
        <v>0</v>
      </c>
      <c r="G57" s="58">
        <v>108000</v>
      </c>
      <c r="H57" s="58">
        <f t="shared" si="3"/>
        <v>108000</v>
      </c>
      <c r="I57" s="59">
        <v>1</v>
      </c>
      <c r="J57" s="58">
        <v>0</v>
      </c>
      <c r="K57" s="97"/>
      <c r="L57" s="97"/>
      <c r="M57" s="97"/>
      <c r="N57" s="97"/>
    </row>
    <row r="58" spans="1:14" s="15" customFormat="1" ht="49.5" customHeight="1">
      <c r="A58" s="16">
        <f t="shared" si="1"/>
        <v>53</v>
      </c>
      <c r="B58" s="54">
        <v>40907</v>
      </c>
      <c r="C58" s="55" t="s">
        <v>239</v>
      </c>
      <c r="D58" s="56" t="s">
        <v>28</v>
      </c>
      <c r="E58" s="57" t="s">
        <v>56</v>
      </c>
      <c r="F58" s="58">
        <v>9075000</v>
      </c>
      <c r="G58" s="58">
        <v>0</v>
      </c>
      <c r="H58" s="58">
        <f t="shared" si="3"/>
        <v>9075000</v>
      </c>
      <c r="I58" s="59">
        <v>1</v>
      </c>
      <c r="J58" s="58">
        <v>41.5</v>
      </c>
      <c r="K58" s="97"/>
      <c r="L58" s="97"/>
      <c r="M58" s="97"/>
      <c r="N58" s="97"/>
    </row>
    <row r="59" spans="1:14" s="15" customFormat="1" ht="49.5" customHeight="1">
      <c r="A59" s="16">
        <f t="shared" si="1"/>
        <v>54</v>
      </c>
      <c r="B59" s="17">
        <v>40550</v>
      </c>
      <c r="C59" s="20" t="s">
        <v>15</v>
      </c>
      <c r="D59" s="21" t="s">
        <v>12</v>
      </c>
      <c r="E59" s="39" t="s">
        <v>13</v>
      </c>
      <c r="F59" s="19">
        <v>57796</v>
      </c>
      <c r="G59" s="19">
        <f>50803+56858</f>
        <v>107661</v>
      </c>
      <c r="H59" s="19">
        <f>F59+G59</f>
        <v>165457</v>
      </c>
      <c r="I59" s="18">
        <v>21</v>
      </c>
      <c r="J59" s="19">
        <v>535</v>
      </c>
      <c r="K59" s="97"/>
      <c r="L59" s="97"/>
      <c r="M59" s="97"/>
      <c r="N59" s="97"/>
    </row>
    <row r="60" spans="1:14" s="15" customFormat="1" ht="49.5" customHeight="1">
      <c r="A60" s="16">
        <f t="shared" si="1"/>
        <v>55</v>
      </c>
      <c r="B60" s="17">
        <v>40688</v>
      </c>
      <c r="C60" s="20" t="s">
        <v>41</v>
      </c>
      <c r="D60" s="21" t="s">
        <v>12</v>
      </c>
      <c r="E60" s="39" t="s">
        <v>13</v>
      </c>
      <c r="F60" s="19">
        <v>0</v>
      </c>
      <c r="G60" s="19">
        <v>214603</v>
      </c>
      <c r="H60" s="19">
        <f aca="true" t="shared" si="4" ref="H60:H67">F60+G60</f>
        <v>214603</v>
      </c>
      <c r="I60" s="18">
        <v>3</v>
      </c>
      <c r="J60" s="19">
        <v>16.24</v>
      </c>
      <c r="K60" s="97"/>
      <c r="L60" s="97"/>
      <c r="M60" s="97"/>
      <c r="N60" s="97"/>
    </row>
    <row r="61" spans="1:14" s="15" customFormat="1" ht="49.5" customHeight="1">
      <c r="A61" s="16">
        <f t="shared" si="1"/>
        <v>56</v>
      </c>
      <c r="B61" s="17">
        <v>40725</v>
      </c>
      <c r="C61" s="20" t="s">
        <v>46</v>
      </c>
      <c r="D61" s="21" t="s">
        <v>12</v>
      </c>
      <c r="E61" s="39" t="s">
        <v>47</v>
      </c>
      <c r="F61" s="19">
        <f>54368+3535981+721164-57290-102471</f>
        <v>4151752</v>
      </c>
      <c r="G61" s="19">
        <f>93382-93382</f>
        <v>0</v>
      </c>
      <c r="H61" s="19">
        <f t="shared" si="4"/>
        <v>4151752</v>
      </c>
      <c r="I61" s="18">
        <f>1+3+230+19-1-1-1</f>
        <v>250</v>
      </c>
      <c r="J61" s="19">
        <f>53+4040+688-58-88</f>
        <v>4635</v>
      </c>
      <c r="K61" s="97"/>
      <c r="L61" s="97"/>
      <c r="M61" s="97"/>
      <c r="N61" s="97"/>
    </row>
    <row r="62" spans="1:14" s="15" customFormat="1" ht="49.5" customHeight="1">
      <c r="A62" s="16">
        <f t="shared" si="1"/>
        <v>57</v>
      </c>
      <c r="B62" s="17">
        <v>40744</v>
      </c>
      <c r="C62" s="20" t="s">
        <v>58</v>
      </c>
      <c r="D62" s="21" t="s">
        <v>12</v>
      </c>
      <c r="E62" s="39" t="s">
        <v>13</v>
      </c>
      <c r="F62" s="19">
        <v>0</v>
      </c>
      <c r="G62" s="19">
        <v>32400</v>
      </c>
      <c r="H62" s="19">
        <f t="shared" si="4"/>
        <v>32400</v>
      </c>
      <c r="I62" s="18">
        <v>1</v>
      </c>
      <c r="J62" s="19">
        <v>0</v>
      </c>
      <c r="K62" s="97"/>
      <c r="L62" s="97"/>
      <c r="M62" s="97"/>
      <c r="N62" s="97"/>
    </row>
    <row r="63" spans="1:14" s="15" customFormat="1" ht="75" customHeight="1">
      <c r="A63" s="16">
        <f t="shared" si="1"/>
        <v>58</v>
      </c>
      <c r="B63" s="17">
        <v>40778</v>
      </c>
      <c r="C63" s="20" t="s">
        <v>87</v>
      </c>
      <c r="D63" s="21" t="s">
        <v>12</v>
      </c>
      <c r="E63" s="39" t="s">
        <v>88</v>
      </c>
      <c r="F63" s="19">
        <f>344312+269515+10764371</f>
        <v>11378198</v>
      </c>
      <c r="G63" s="19">
        <f>175464+21800</f>
        <v>197264</v>
      </c>
      <c r="H63" s="19">
        <f t="shared" si="4"/>
        <v>11575462</v>
      </c>
      <c r="I63" s="18">
        <f>11+3+48</f>
        <v>62</v>
      </c>
      <c r="J63" s="19">
        <f>380+254+1958</f>
        <v>2592</v>
      </c>
      <c r="K63" s="97"/>
      <c r="L63" s="97"/>
      <c r="M63" s="97"/>
      <c r="N63" s="97"/>
    </row>
    <row r="64" spans="1:14" s="15" customFormat="1" ht="48.75" customHeight="1">
      <c r="A64" s="16">
        <f t="shared" si="1"/>
        <v>59</v>
      </c>
      <c r="B64" s="17">
        <v>40791</v>
      </c>
      <c r="C64" s="20" t="s">
        <v>98</v>
      </c>
      <c r="D64" s="21" t="s">
        <v>12</v>
      </c>
      <c r="E64" s="39" t="s">
        <v>56</v>
      </c>
      <c r="F64" s="19">
        <v>737661</v>
      </c>
      <c r="G64" s="19">
        <v>13510</v>
      </c>
      <c r="H64" s="19">
        <f t="shared" si="4"/>
        <v>751171</v>
      </c>
      <c r="I64" s="18">
        <v>11</v>
      </c>
      <c r="J64" s="19">
        <v>94</v>
      </c>
      <c r="K64" s="97"/>
      <c r="L64" s="97"/>
      <c r="M64" s="97"/>
      <c r="N64" s="97"/>
    </row>
    <row r="65" spans="1:14" s="15" customFormat="1" ht="48.75" customHeight="1">
      <c r="A65" s="16">
        <f t="shared" si="1"/>
        <v>60</v>
      </c>
      <c r="B65" s="17">
        <v>40799</v>
      </c>
      <c r="C65" s="20" t="s">
        <v>110</v>
      </c>
      <c r="D65" s="21" t="s">
        <v>12</v>
      </c>
      <c r="E65" s="39" t="s">
        <v>111</v>
      </c>
      <c r="F65" s="19">
        <f>60305013-3496</f>
        <v>60301517</v>
      </c>
      <c r="G65" s="19">
        <v>359441</v>
      </c>
      <c r="H65" s="19">
        <f t="shared" si="4"/>
        <v>60660958</v>
      </c>
      <c r="I65" s="18">
        <v>1107</v>
      </c>
      <c r="J65" s="19">
        <f>63367-6</f>
        <v>63361</v>
      </c>
      <c r="K65" s="97"/>
      <c r="L65" s="97"/>
      <c r="M65" s="97"/>
      <c r="N65" s="97"/>
    </row>
    <row r="66" spans="1:14" s="15" customFormat="1" ht="48.75" customHeight="1">
      <c r="A66" s="16">
        <f t="shared" si="1"/>
        <v>61</v>
      </c>
      <c r="B66" s="17">
        <v>40816</v>
      </c>
      <c r="C66" s="20" t="s">
        <v>134</v>
      </c>
      <c r="D66" s="21" t="s">
        <v>12</v>
      </c>
      <c r="E66" s="39" t="s">
        <v>135</v>
      </c>
      <c r="F66" s="19">
        <v>18027840</v>
      </c>
      <c r="G66" s="19">
        <v>269318</v>
      </c>
      <c r="H66" s="19">
        <f t="shared" si="4"/>
        <v>18297158</v>
      </c>
      <c r="I66" s="18">
        <v>427</v>
      </c>
      <c r="J66" s="19">
        <v>19930</v>
      </c>
      <c r="K66" s="97"/>
      <c r="L66" s="97"/>
      <c r="M66" s="97"/>
      <c r="N66" s="97"/>
    </row>
    <row r="67" spans="1:14" s="15" customFormat="1" ht="48.75" customHeight="1">
      <c r="A67" s="16">
        <f t="shared" si="1"/>
        <v>62</v>
      </c>
      <c r="B67" s="17">
        <v>40835</v>
      </c>
      <c r="C67" s="20" t="s">
        <v>163</v>
      </c>
      <c r="D67" s="21" t="s">
        <v>12</v>
      </c>
      <c r="E67" s="39" t="s">
        <v>164</v>
      </c>
      <c r="F67" s="19">
        <f>283476-20127-4792+138764-7257</f>
        <v>390064</v>
      </c>
      <c r="G67" s="19">
        <f>2258580-40782</f>
        <v>2217798</v>
      </c>
      <c r="H67" s="19">
        <f t="shared" si="4"/>
        <v>2607862</v>
      </c>
      <c r="I67" s="18">
        <f>40-5+75-10+3-1</f>
        <v>102</v>
      </c>
      <c r="J67" s="19">
        <f>308-31-5+161-12</f>
        <v>421</v>
      </c>
      <c r="K67" s="97"/>
      <c r="L67" s="97"/>
      <c r="M67" s="97"/>
      <c r="N67" s="97"/>
    </row>
    <row r="68" spans="1:14" s="15" customFormat="1" ht="49.5" customHeight="1">
      <c r="A68" s="16">
        <f t="shared" si="1"/>
        <v>63</v>
      </c>
      <c r="B68" s="78">
        <v>40756</v>
      </c>
      <c r="C68" s="79" t="s">
        <v>69</v>
      </c>
      <c r="D68" s="80" t="s">
        <v>70</v>
      </c>
      <c r="E68" s="81" t="s">
        <v>13</v>
      </c>
      <c r="F68" s="82">
        <v>0</v>
      </c>
      <c r="G68" s="82">
        <v>37940</v>
      </c>
      <c r="H68" s="82">
        <f aca="true" t="shared" si="5" ref="H68:H74">F68+G68</f>
        <v>37940</v>
      </c>
      <c r="I68" s="83">
        <v>1</v>
      </c>
      <c r="J68" s="82">
        <v>0</v>
      </c>
      <c r="K68" s="97"/>
      <c r="L68" s="97"/>
      <c r="M68" s="97"/>
      <c r="N68" s="97"/>
    </row>
    <row r="69" spans="1:14" s="15" customFormat="1" ht="49.5" customHeight="1">
      <c r="A69" s="16">
        <f t="shared" si="1"/>
        <v>64</v>
      </c>
      <c r="B69" s="78">
        <v>40787</v>
      </c>
      <c r="C69" s="79" t="s">
        <v>93</v>
      </c>
      <c r="D69" s="80" t="s">
        <v>70</v>
      </c>
      <c r="E69" s="81" t="s">
        <v>91</v>
      </c>
      <c r="F69" s="82">
        <v>39413321</v>
      </c>
      <c r="G69" s="82">
        <v>155411</v>
      </c>
      <c r="H69" s="82">
        <f t="shared" si="5"/>
        <v>39568732</v>
      </c>
      <c r="I69" s="83">
        <v>727</v>
      </c>
      <c r="J69" s="82">
        <v>4553.84</v>
      </c>
      <c r="K69" s="97"/>
      <c r="L69" s="97"/>
      <c r="M69" s="97"/>
      <c r="N69" s="97"/>
    </row>
    <row r="70" spans="1:14" s="15" customFormat="1" ht="49.5" customHeight="1">
      <c r="A70" s="16">
        <f t="shared" si="1"/>
        <v>65</v>
      </c>
      <c r="B70" s="78">
        <v>40816</v>
      </c>
      <c r="C70" s="79" t="s">
        <v>136</v>
      </c>
      <c r="D70" s="80" t="s">
        <v>70</v>
      </c>
      <c r="E70" s="81" t="s">
        <v>137</v>
      </c>
      <c r="F70" s="82">
        <v>1906331</v>
      </c>
      <c r="G70" s="82">
        <v>5157193</v>
      </c>
      <c r="H70" s="82">
        <f t="shared" si="5"/>
        <v>7063524</v>
      </c>
      <c r="I70" s="83">
        <v>221</v>
      </c>
      <c r="J70" s="82">
        <v>1293.21</v>
      </c>
      <c r="K70" s="97"/>
      <c r="L70" s="97"/>
      <c r="M70" s="97"/>
      <c r="N70" s="97"/>
    </row>
    <row r="71" spans="1:14" s="15" customFormat="1" ht="49.5" customHeight="1">
      <c r="A71" s="16">
        <f t="shared" si="1"/>
        <v>66</v>
      </c>
      <c r="B71" s="60">
        <v>40662</v>
      </c>
      <c r="C71" s="61" t="s">
        <v>36</v>
      </c>
      <c r="D71" s="62" t="s">
        <v>37</v>
      </c>
      <c r="E71" s="63" t="s">
        <v>13</v>
      </c>
      <c r="F71" s="64">
        <f>5923972.37+2782.8</f>
        <v>5926755.17</v>
      </c>
      <c r="G71" s="64">
        <f>3919250+309.2</f>
        <v>3919559.2</v>
      </c>
      <c r="H71" s="64">
        <f t="shared" si="5"/>
        <v>9846314.370000001</v>
      </c>
      <c r="I71" s="65">
        <v>412</v>
      </c>
      <c r="J71" s="64">
        <v>1907.82</v>
      </c>
      <c r="K71" s="97"/>
      <c r="L71" s="97"/>
      <c r="M71" s="97"/>
      <c r="N71" s="97"/>
    </row>
    <row r="72" spans="1:14" s="15" customFormat="1" ht="49.5" customHeight="1">
      <c r="A72" s="16">
        <f t="shared" si="1"/>
        <v>67</v>
      </c>
      <c r="B72" s="60">
        <v>40828</v>
      </c>
      <c r="C72" s="61" t="s">
        <v>159</v>
      </c>
      <c r="D72" s="62" t="s">
        <v>37</v>
      </c>
      <c r="E72" s="63" t="s">
        <v>56</v>
      </c>
      <c r="F72" s="64">
        <v>5694.57</v>
      </c>
      <c r="G72" s="64">
        <v>0</v>
      </c>
      <c r="H72" s="64">
        <f t="shared" si="5"/>
        <v>5694.57</v>
      </c>
      <c r="I72" s="65">
        <v>1</v>
      </c>
      <c r="J72" s="64">
        <v>0.53</v>
      </c>
      <c r="K72" s="97"/>
      <c r="L72" s="97"/>
      <c r="M72" s="97"/>
      <c r="N72" s="97"/>
    </row>
    <row r="73" spans="1:14" s="15" customFormat="1" ht="49.5" customHeight="1">
      <c r="A73" s="16">
        <f t="shared" si="1"/>
        <v>68</v>
      </c>
      <c r="B73" s="60">
        <v>40841</v>
      </c>
      <c r="C73" s="61" t="s">
        <v>177</v>
      </c>
      <c r="D73" s="62" t="s">
        <v>37</v>
      </c>
      <c r="E73" s="63" t="s">
        <v>133</v>
      </c>
      <c r="F73" s="64">
        <f>44787.56+1287664.05</f>
        <v>1332451.61</v>
      </c>
      <c r="G73" s="64">
        <v>292169.31</v>
      </c>
      <c r="H73" s="64">
        <f t="shared" si="5"/>
        <v>1624620.9200000002</v>
      </c>
      <c r="I73" s="65">
        <f>15+12</f>
        <v>27</v>
      </c>
      <c r="J73" s="64">
        <f>25.87+78.71</f>
        <v>104.58</v>
      </c>
      <c r="K73" s="97"/>
      <c r="L73" s="97"/>
      <c r="M73" s="97"/>
      <c r="N73" s="97"/>
    </row>
    <row r="74" spans="1:14" s="15" customFormat="1" ht="49.5" customHeight="1">
      <c r="A74" s="16">
        <f t="shared" si="1"/>
        <v>69</v>
      </c>
      <c r="B74" s="42">
        <v>40571</v>
      </c>
      <c r="C74" s="43" t="s">
        <v>23</v>
      </c>
      <c r="D74" s="44" t="s">
        <v>24</v>
      </c>
      <c r="E74" s="45" t="s">
        <v>13</v>
      </c>
      <c r="F74" s="46">
        <v>3385194</v>
      </c>
      <c r="G74" s="46">
        <v>13783614.45</v>
      </c>
      <c r="H74" s="46">
        <f t="shared" si="5"/>
        <v>17168808.45</v>
      </c>
      <c r="I74" s="47">
        <v>333</v>
      </c>
      <c r="J74" s="46">
        <v>1401.86</v>
      </c>
      <c r="K74" s="97"/>
      <c r="L74" s="97"/>
      <c r="M74" s="97"/>
      <c r="N74" s="97"/>
    </row>
    <row r="75" spans="1:14" s="15" customFormat="1" ht="49.5" customHeight="1">
      <c r="A75" s="16">
        <f t="shared" si="1"/>
        <v>70</v>
      </c>
      <c r="B75" s="42">
        <v>40681</v>
      </c>
      <c r="C75" s="43" t="s">
        <v>38</v>
      </c>
      <c r="D75" s="44" t="s">
        <v>24</v>
      </c>
      <c r="E75" s="45" t="s">
        <v>150</v>
      </c>
      <c r="F75" s="46">
        <v>0</v>
      </c>
      <c r="G75" s="46">
        <v>28416</v>
      </c>
      <c r="H75" s="46">
        <f aca="true" t="shared" si="6" ref="H75:H86">F75+G75</f>
        <v>28416</v>
      </c>
      <c r="I75" s="47">
        <v>1</v>
      </c>
      <c r="J75" s="46">
        <v>0</v>
      </c>
      <c r="K75" s="97"/>
      <c r="L75" s="97"/>
      <c r="M75" s="97"/>
      <c r="N75" s="97"/>
    </row>
    <row r="76" spans="1:14" s="15" customFormat="1" ht="49.5" customHeight="1">
      <c r="A76" s="16">
        <f t="shared" si="1"/>
        <v>71</v>
      </c>
      <c r="B76" s="42">
        <v>40696</v>
      </c>
      <c r="C76" s="43" t="s">
        <v>44</v>
      </c>
      <c r="D76" s="44" t="s">
        <v>24</v>
      </c>
      <c r="E76" s="45" t="s">
        <v>13</v>
      </c>
      <c r="F76" s="46">
        <v>0</v>
      </c>
      <c r="G76" s="46">
        <v>944341.62</v>
      </c>
      <c r="H76" s="46">
        <f t="shared" si="6"/>
        <v>944341.62</v>
      </c>
      <c r="I76" s="47">
        <v>14</v>
      </c>
      <c r="J76" s="46">
        <v>0</v>
      </c>
      <c r="K76" s="97"/>
      <c r="L76" s="97"/>
      <c r="M76" s="97"/>
      <c r="N76" s="97"/>
    </row>
    <row r="77" spans="1:14" s="15" customFormat="1" ht="49.5" customHeight="1">
      <c r="A77" s="16">
        <f t="shared" si="1"/>
        <v>72</v>
      </c>
      <c r="B77" s="42">
        <v>40725</v>
      </c>
      <c r="C77" s="43" t="s">
        <v>48</v>
      </c>
      <c r="D77" s="44" t="s">
        <v>24</v>
      </c>
      <c r="E77" s="45" t="s">
        <v>13</v>
      </c>
      <c r="F77" s="46">
        <v>0</v>
      </c>
      <c r="G77" s="46">
        <v>4973784</v>
      </c>
      <c r="H77" s="46">
        <f t="shared" si="6"/>
        <v>4973784</v>
      </c>
      <c r="I77" s="47">
        <v>16</v>
      </c>
      <c r="J77" s="46">
        <v>0</v>
      </c>
      <c r="K77" s="97"/>
      <c r="L77" s="97"/>
      <c r="M77" s="97"/>
      <c r="N77" s="97"/>
    </row>
    <row r="78" spans="1:14" s="15" customFormat="1" ht="49.5" customHeight="1">
      <c r="A78" s="16">
        <f t="shared" si="1"/>
        <v>73</v>
      </c>
      <c r="B78" s="42">
        <v>40744</v>
      </c>
      <c r="C78" s="43" t="s">
        <v>57</v>
      </c>
      <c r="D78" s="44" t="s">
        <v>24</v>
      </c>
      <c r="E78" s="45" t="s">
        <v>56</v>
      </c>
      <c r="F78" s="46">
        <v>185456</v>
      </c>
      <c r="G78" s="46">
        <v>0</v>
      </c>
      <c r="H78" s="46">
        <f t="shared" si="6"/>
        <v>185456</v>
      </c>
      <c r="I78" s="47">
        <v>1</v>
      </c>
      <c r="J78" s="46">
        <v>16.49</v>
      </c>
      <c r="K78" s="97"/>
      <c r="L78" s="97"/>
      <c r="M78" s="97"/>
      <c r="N78" s="97"/>
    </row>
    <row r="79" spans="1:14" s="15" customFormat="1" ht="49.5" customHeight="1">
      <c r="A79" s="16">
        <f t="shared" si="1"/>
        <v>74</v>
      </c>
      <c r="B79" s="42">
        <v>40773</v>
      </c>
      <c r="C79" s="43" t="s">
        <v>79</v>
      </c>
      <c r="D79" s="44" t="s">
        <v>24</v>
      </c>
      <c r="E79" s="45" t="s">
        <v>234</v>
      </c>
      <c r="F79" s="46">
        <v>2859887</v>
      </c>
      <c r="G79" s="46">
        <v>279188</v>
      </c>
      <c r="H79" s="46">
        <f t="shared" si="6"/>
        <v>3139075</v>
      </c>
      <c r="I79" s="47">
        <v>37</v>
      </c>
      <c r="J79" s="46">
        <v>158.83</v>
      </c>
      <c r="K79" s="97"/>
      <c r="L79" s="97"/>
      <c r="M79" s="97"/>
      <c r="N79" s="97"/>
    </row>
    <row r="80" spans="1:14" s="15" customFormat="1" ht="68.25" customHeight="1">
      <c r="A80" s="16">
        <f t="shared" si="1"/>
        <v>75</v>
      </c>
      <c r="B80" s="42">
        <v>40779</v>
      </c>
      <c r="C80" s="43" t="s">
        <v>89</v>
      </c>
      <c r="D80" s="44" t="s">
        <v>24</v>
      </c>
      <c r="E80" s="45" t="s">
        <v>90</v>
      </c>
      <c r="F80" s="46">
        <v>10094137.67</v>
      </c>
      <c r="G80" s="46">
        <v>23477947</v>
      </c>
      <c r="H80" s="46">
        <f t="shared" si="6"/>
        <v>33572084.67</v>
      </c>
      <c r="I80" s="47">
        <v>185</v>
      </c>
      <c r="J80" s="46">
        <v>1253.93</v>
      </c>
      <c r="K80" s="97"/>
      <c r="L80" s="97"/>
      <c r="M80" s="97"/>
      <c r="N80" s="97"/>
    </row>
    <row r="81" spans="1:14" s="15" customFormat="1" ht="68.25" customHeight="1">
      <c r="A81" s="16">
        <f t="shared" si="1"/>
        <v>76</v>
      </c>
      <c r="B81" s="42">
        <v>40799</v>
      </c>
      <c r="C81" s="43" t="s">
        <v>106</v>
      </c>
      <c r="D81" s="44" t="s">
        <v>24</v>
      </c>
      <c r="E81" s="45" t="s">
        <v>107</v>
      </c>
      <c r="F81" s="46">
        <f>58664269.79-43742</f>
        <v>58620527.79</v>
      </c>
      <c r="G81" s="46">
        <f>35657927.53-372771.01</f>
        <v>35285156.52</v>
      </c>
      <c r="H81" s="46">
        <f t="shared" si="6"/>
        <v>93905684.31</v>
      </c>
      <c r="I81" s="47">
        <v>1126</v>
      </c>
      <c r="J81" s="46">
        <v>3970.53</v>
      </c>
      <c r="K81" s="97"/>
      <c r="L81" s="97"/>
      <c r="M81" s="97"/>
      <c r="N81" s="97"/>
    </row>
    <row r="82" spans="1:14" s="15" customFormat="1" ht="68.25" customHeight="1">
      <c r="A82" s="16">
        <f t="shared" si="1"/>
        <v>77</v>
      </c>
      <c r="B82" s="42">
        <v>40808</v>
      </c>
      <c r="C82" s="43" t="s">
        <v>119</v>
      </c>
      <c r="D82" s="44" t="s">
        <v>24</v>
      </c>
      <c r="E82" s="45" t="s">
        <v>120</v>
      </c>
      <c r="F82" s="46">
        <f>64561087.49+27480</f>
        <v>64588567.49</v>
      </c>
      <c r="G82" s="46">
        <v>56400044.31</v>
      </c>
      <c r="H82" s="46">
        <f t="shared" si="6"/>
        <v>120988611.80000001</v>
      </c>
      <c r="I82" s="47">
        <f>1276</f>
        <v>1276</v>
      </c>
      <c r="J82" s="46">
        <f>6486.95-1</f>
        <v>6485.95</v>
      </c>
      <c r="K82" s="97"/>
      <c r="L82" s="97"/>
      <c r="M82" s="97"/>
      <c r="N82" s="97"/>
    </row>
    <row r="83" spans="1:14" s="15" customFormat="1" ht="59.25" customHeight="1">
      <c r="A83" s="16">
        <f t="shared" si="1"/>
        <v>78</v>
      </c>
      <c r="B83" s="42">
        <v>40823</v>
      </c>
      <c r="C83" s="43" t="s">
        <v>155</v>
      </c>
      <c r="D83" s="44" t="s">
        <v>24</v>
      </c>
      <c r="E83" s="45" t="s">
        <v>233</v>
      </c>
      <c r="F83" s="46">
        <f>59234630.03+14117+1694495+4744-1002814.75+5220+3332-558.25-3131</f>
        <v>59950034.03</v>
      </c>
      <c r="G83" s="46">
        <f>11735607.42+619633</f>
        <v>12355240.42</v>
      </c>
      <c r="H83" s="46">
        <f t="shared" si="6"/>
        <v>72305274.45</v>
      </c>
      <c r="I83" s="47">
        <v>2036</v>
      </c>
      <c r="J83" s="46">
        <f>12746.64+23.23+0.49-0.92+2.78-0.76</f>
        <v>12771.46</v>
      </c>
      <c r="K83" s="97"/>
      <c r="L83" s="97"/>
      <c r="M83" s="97"/>
      <c r="N83" s="97"/>
    </row>
    <row r="84" spans="1:14" s="15" customFormat="1" ht="50.25" customHeight="1">
      <c r="A84" s="16">
        <f t="shared" si="1"/>
        <v>79</v>
      </c>
      <c r="B84" s="42">
        <v>40823</v>
      </c>
      <c r="C84" s="43" t="s">
        <v>156</v>
      </c>
      <c r="D84" s="44" t="s">
        <v>24</v>
      </c>
      <c r="E84" s="45" t="s">
        <v>157</v>
      </c>
      <c r="F84" s="46">
        <f>49772526.8-968262-4248</f>
        <v>48800016.8</v>
      </c>
      <c r="G84" s="46">
        <f>27688000.65-3616787</f>
        <v>24071213.65</v>
      </c>
      <c r="H84" s="46">
        <f t="shared" si="6"/>
        <v>72871230.44999999</v>
      </c>
      <c r="I84" s="47">
        <f>1892-22</f>
        <v>1870</v>
      </c>
      <c r="J84" s="46">
        <f>10192.72-50.3</f>
        <v>10142.42</v>
      </c>
      <c r="K84" s="97"/>
      <c r="L84" s="97"/>
      <c r="M84" s="97"/>
      <c r="N84" s="97"/>
    </row>
    <row r="85" spans="1:14" s="15" customFormat="1" ht="50.25" customHeight="1">
      <c r="A85" s="16">
        <f t="shared" si="1"/>
        <v>80</v>
      </c>
      <c r="B85" s="42">
        <v>40833</v>
      </c>
      <c r="C85" s="43" t="s">
        <v>160</v>
      </c>
      <c r="D85" s="44" t="s">
        <v>24</v>
      </c>
      <c r="E85" s="45" t="s">
        <v>53</v>
      </c>
      <c r="F85" s="46">
        <v>968262</v>
      </c>
      <c r="G85" s="46">
        <v>3616787</v>
      </c>
      <c r="H85" s="46">
        <f t="shared" si="6"/>
        <v>4585049</v>
      </c>
      <c r="I85" s="47">
        <v>22</v>
      </c>
      <c r="J85" s="46">
        <v>50.3</v>
      </c>
      <c r="K85" s="97"/>
      <c r="L85" s="97"/>
      <c r="M85" s="97"/>
      <c r="N85" s="97"/>
    </row>
    <row r="86" spans="1:14" s="15" customFormat="1" ht="50.25" customHeight="1">
      <c r="A86" s="16">
        <f t="shared" si="1"/>
        <v>81</v>
      </c>
      <c r="B86" s="42">
        <v>40844</v>
      </c>
      <c r="C86" s="43" t="s">
        <v>187</v>
      </c>
      <c r="D86" s="44" t="s">
        <v>24</v>
      </c>
      <c r="E86" s="45" t="s">
        <v>188</v>
      </c>
      <c r="F86" s="46">
        <f>21174155.28-428714.98-268142.2-3490763.09-1473582-311965-6111+240+604</f>
        <v>15195721.010000002</v>
      </c>
      <c r="G86" s="46">
        <f>12670049.2-50000-22850-5600</f>
        <v>12591599.2</v>
      </c>
      <c r="H86" s="46">
        <f t="shared" si="6"/>
        <v>27787320.21</v>
      </c>
      <c r="I86" s="47">
        <f>542-56-15-48-97-16-1-7-3</f>
        <v>299</v>
      </c>
      <c r="J86" s="46">
        <f>3334.75-269.43-66.61-180.34-499.32-47.08-35.7</f>
        <v>2236.27</v>
      </c>
      <c r="K86" s="97"/>
      <c r="L86" s="97"/>
      <c r="M86" s="97"/>
      <c r="N86" s="97"/>
    </row>
    <row r="87" spans="1:14" s="15" customFormat="1" ht="49.5" customHeight="1">
      <c r="A87" s="16">
        <f t="shared" si="1"/>
        <v>82</v>
      </c>
      <c r="B87" s="32">
        <v>40756</v>
      </c>
      <c r="C87" s="33" t="s">
        <v>66</v>
      </c>
      <c r="D87" s="34" t="s">
        <v>67</v>
      </c>
      <c r="E87" s="38" t="s">
        <v>68</v>
      </c>
      <c r="F87" s="35">
        <v>73782.89</v>
      </c>
      <c r="G87" s="35">
        <v>0</v>
      </c>
      <c r="H87" s="35">
        <f aca="true" t="shared" si="7" ref="H87:H98">F87+G87</f>
        <v>73782.89</v>
      </c>
      <c r="I87" s="36">
        <v>2</v>
      </c>
      <c r="J87" s="35">
        <v>43.24</v>
      </c>
      <c r="K87" s="97"/>
      <c r="L87" s="97"/>
      <c r="M87" s="97"/>
      <c r="N87" s="97"/>
    </row>
    <row r="88" spans="1:14" s="15" customFormat="1" ht="49.5" customHeight="1">
      <c r="A88" s="16">
        <f t="shared" si="1"/>
        <v>83</v>
      </c>
      <c r="B88" s="32">
        <v>40777</v>
      </c>
      <c r="C88" s="33" t="s">
        <v>85</v>
      </c>
      <c r="D88" s="34" t="s">
        <v>67</v>
      </c>
      <c r="E88" s="38" t="s">
        <v>86</v>
      </c>
      <c r="F88" s="35">
        <v>0</v>
      </c>
      <c r="G88" s="35">
        <v>64000</v>
      </c>
      <c r="H88" s="35">
        <f t="shared" si="7"/>
        <v>64000</v>
      </c>
      <c r="I88" s="36">
        <v>1</v>
      </c>
      <c r="J88" s="35">
        <v>0</v>
      </c>
      <c r="K88" s="97"/>
      <c r="L88" s="97"/>
      <c r="M88" s="97"/>
      <c r="N88" s="97"/>
    </row>
    <row r="89" spans="1:14" s="15" customFormat="1" ht="49.5" customHeight="1">
      <c r="A89" s="16">
        <f t="shared" si="1"/>
        <v>84</v>
      </c>
      <c r="B89" s="32">
        <v>40863</v>
      </c>
      <c r="C89" s="33" t="s">
        <v>215</v>
      </c>
      <c r="D89" s="34" t="s">
        <v>67</v>
      </c>
      <c r="E89" s="38" t="s">
        <v>133</v>
      </c>
      <c r="F89" s="35">
        <v>0</v>
      </c>
      <c r="G89" s="35">
        <v>35980</v>
      </c>
      <c r="H89" s="35">
        <f t="shared" si="7"/>
        <v>35980</v>
      </c>
      <c r="I89" s="36">
        <v>10</v>
      </c>
      <c r="J89" s="35">
        <v>0</v>
      </c>
      <c r="K89" s="97"/>
      <c r="L89" s="97"/>
      <c r="M89" s="97"/>
      <c r="N89" s="97"/>
    </row>
    <row r="90" spans="1:14" s="15" customFormat="1" ht="49.5" customHeight="1">
      <c r="A90" s="16">
        <f t="shared" si="1"/>
        <v>85</v>
      </c>
      <c r="B90" s="32">
        <v>40865</v>
      </c>
      <c r="C90" s="33" t="s">
        <v>221</v>
      </c>
      <c r="D90" s="34" t="s">
        <v>67</v>
      </c>
      <c r="E90" s="38" t="s">
        <v>56</v>
      </c>
      <c r="F90" s="35">
        <v>136609</v>
      </c>
      <c r="G90" s="35">
        <v>21220</v>
      </c>
      <c r="H90" s="35">
        <f t="shared" si="7"/>
        <v>157829</v>
      </c>
      <c r="I90" s="36">
        <v>2</v>
      </c>
      <c r="J90" s="35">
        <v>11.73</v>
      </c>
      <c r="K90" s="97"/>
      <c r="L90" s="97"/>
      <c r="M90" s="97"/>
      <c r="N90" s="97"/>
    </row>
    <row r="91" spans="1:14" s="15" customFormat="1" ht="49.5" customHeight="1">
      <c r="A91" s="16">
        <f t="shared" si="1"/>
        <v>86</v>
      </c>
      <c r="B91" s="32">
        <v>40882</v>
      </c>
      <c r="C91" s="33" t="s">
        <v>228</v>
      </c>
      <c r="D91" s="34" t="s">
        <v>67</v>
      </c>
      <c r="E91" s="38" t="s">
        <v>126</v>
      </c>
      <c r="F91" s="35">
        <v>12551.1</v>
      </c>
      <c r="G91" s="35">
        <v>676719.16</v>
      </c>
      <c r="H91" s="35">
        <f t="shared" si="7"/>
        <v>689270.26</v>
      </c>
      <c r="I91" s="36">
        <f>53</f>
        <v>53</v>
      </c>
      <c r="J91" s="35">
        <v>0.35</v>
      </c>
      <c r="K91" s="97"/>
      <c r="L91" s="97"/>
      <c r="M91" s="97"/>
      <c r="N91" s="97"/>
    </row>
    <row r="92" spans="1:14" s="15" customFormat="1" ht="49.5" customHeight="1">
      <c r="A92" s="16">
        <f t="shared" si="1"/>
        <v>87</v>
      </c>
      <c r="B92" s="27">
        <v>40568</v>
      </c>
      <c r="C92" s="28" t="s">
        <v>21</v>
      </c>
      <c r="D92" s="29" t="s">
        <v>22</v>
      </c>
      <c r="E92" s="40" t="s">
        <v>13</v>
      </c>
      <c r="F92" s="30">
        <v>0</v>
      </c>
      <c r="G92" s="30">
        <v>184629.14</v>
      </c>
      <c r="H92" s="30">
        <f t="shared" si="7"/>
        <v>184629.14</v>
      </c>
      <c r="I92" s="31">
        <v>5</v>
      </c>
      <c r="J92" s="30">
        <v>0</v>
      </c>
      <c r="K92" s="97"/>
      <c r="L92" s="97"/>
      <c r="M92" s="97"/>
      <c r="N92" s="97"/>
    </row>
    <row r="93" spans="1:14" s="15" customFormat="1" ht="49.5" customHeight="1">
      <c r="A93" s="16">
        <f t="shared" si="1"/>
        <v>88</v>
      </c>
      <c r="B93" s="27">
        <v>40610</v>
      </c>
      <c r="C93" s="28" t="s">
        <v>33</v>
      </c>
      <c r="D93" s="29" t="s">
        <v>22</v>
      </c>
      <c r="E93" s="40" t="s">
        <v>13</v>
      </c>
      <c r="F93" s="30">
        <v>0</v>
      </c>
      <c r="G93" s="30">
        <v>1106562</v>
      </c>
      <c r="H93" s="30">
        <f t="shared" si="7"/>
        <v>1106562</v>
      </c>
      <c r="I93" s="31">
        <v>32</v>
      </c>
      <c r="J93" s="30">
        <v>0</v>
      </c>
      <c r="K93" s="97"/>
      <c r="L93" s="97"/>
      <c r="M93" s="97"/>
      <c r="N93" s="97"/>
    </row>
    <row r="94" spans="1:14" s="15" customFormat="1" ht="49.5" customHeight="1">
      <c r="A94" s="16">
        <f t="shared" si="1"/>
        <v>89</v>
      </c>
      <c r="B94" s="27">
        <v>40641</v>
      </c>
      <c r="C94" s="28" t="s">
        <v>35</v>
      </c>
      <c r="D94" s="29" t="s">
        <v>22</v>
      </c>
      <c r="E94" s="40" t="s">
        <v>13</v>
      </c>
      <c r="F94" s="30">
        <v>0</v>
      </c>
      <c r="G94" s="30">
        <v>759826</v>
      </c>
      <c r="H94" s="30">
        <f t="shared" si="7"/>
        <v>759826</v>
      </c>
      <c r="I94" s="31">
        <v>39</v>
      </c>
      <c r="J94" s="30">
        <v>0</v>
      </c>
      <c r="K94" s="97"/>
      <c r="L94" s="97"/>
      <c r="M94" s="97"/>
      <c r="N94" s="97"/>
    </row>
    <row r="95" spans="1:14" s="15" customFormat="1" ht="49.5" customHeight="1">
      <c r="A95" s="16">
        <f t="shared" si="1"/>
        <v>90</v>
      </c>
      <c r="B95" s="27">
        <v>40725</v>
      </c>
      <c r="C95" s="28" t="s">
        <v>50</v>
      </c>
      <c r="D95" s="29" t="s">
        <v>22</v>
      </c>
      <c r="E95" s="40" t="s">
        <v>51</v>
      </c>
      <c r="F95" s="30">
        <v>500208</v>
      </c>
      <c r="G95" s="30">
        <v>200000</v>
      </c>
      <c r="H95" s="30">
        <f t="shared" si="7"/>
        <v>700208</v>
      </c>
      <c r="I95" s="31">
        <f>3+1</f>
        <v>4</v>
      </c>
      <c r="J95" s="30">
        <f>52.24</f>
        <v>52.24</v>
      </c>
      <c r="K95" s="97"/>
      <c r="L95" s="97"/>
      <c r="M95" s="97"/>
      <c r="N95" s="97"/>
    </row>
    <row r="96" spans="1:14" s="15" customFormat="1" ht="49.5" customHeight="1">
      <c r="A96" s="16">
        <f t="shared" si="1"/>
        <v>91</v>
      </c>
      <c r="B96" s="27">
        <v>40836</v>
      </c>
      <c r="C96" s="28" t="s">
        <v>170</v>
      </c>
      <c r="D96" s="29" t="s">
        <v>22</v>
      </c>
      <c r="E96" s="40" t="s">
        <v>171</v>
      </c>
      <c r="F96" s="30">
        <v>20342859</v>
      </c>
      <c r="G96" s="30">
        <v>442100</v>
      </c>
      <c r="H96" s="30">
        <f t="shared" si="7"/>
        <v>20784959</v>
      </c>
      <c r="I96" s="31">
        <v>2465</v>
      </c>
      <c r="J96" s="30">
        <v>10388.53</v>
      </c>
      <c r="K96" s="97"/>
      <c r="L96" s="97"/>
      <c r="M96" s="97"/>
      <c r="N96" s="97"/>
    </row>
    <row r="97" spans="1:14" s="15" customFormat="1" ht="49.5" customHeight="1">
      <c r="A97" s="16">
        <f t="shared" si="1"/>
        <v>92</v>
      </c>
      <c r="B97" s="27">
        <v>40865</v>
      </c>
      <c r="C97" s="28" t="s">
        <v>220</v>
      </c>
      <c r="D97" s="29" t="s">
        <v>22</v>
      </c>
      <c r="E97" s="40" t="s">
        <v>29</v>
      </c>
      <c r="F97" s="30">
        <v>6818</v>
      </c>
      <c r="G97" s="30">
        <v>0</v>
      </c>
      <c r="H97" s="30">
        <f t="shared" si="7"/>
        <v>6818</v>
      </c>
      <c r="I97" s="31">
        <v>2</v>
      </c>
      <c r="J97" s="30">
        <v>4.91</v>
      </c>
      <c r="K97" s="97"/>
      <c r="L97" s="97"/>
      <c r="M97" s="97"/>
      <c r="N97" s="97"/>
    </row>
    <row r="98" spans="1:14" s="15" customFormat="1" ht="49.5" customHeight="1">
      <c r="A98" s="16">
        <f t="shared" si="1"/>
        <v>93</v>
      </c>
      <c r="B98" s="91">
        <v>40777</v>
      </c>
      <c r="C98" s="92" t="s">
        <v>80</v>
      </c>
      <c r="D98" s="93" t="s">
        <v>81</v>
      </c>
      <c r="E98" s="94" t="s">
        <v>56</v>
      </c>
      <c r="F98" s="95">
        <v>64245.95</v>
      </c>
      <c r="G98" s="95">
        <v>0</v>
      </c>
      <c r="H98" s="95">
        <f t="shared" si="7"/>
        <v>64245.95</v>
      </c>
      <c r="I98" s="96">
        <v>2</v>
      </c>
      <c r="J98" s="95">
        <v>19.77</v>
      </c>
      <c r="K98" s="97"/>
      <c r="L98" s="97"/>
      <c r="M98" s="97"/>
      <c r="N98" s="97"/>
    </row>
    <row r="99" spans="1:14" s="15" customFormat="1" ht="49.5" customHeight="1">
      <c r="A99" s="16">
        <f t="shared" si="1"/>
        <v>94</v>
      </c>
      <c r="B99" s="91">
        <v>40788</v>
      </c>
      <c r="C99" s="92" t="s">
        <v>92</v>
      </c>
      <c r="D99" s="93" t="s">
        <v>81</v>
      </c>
      <c r="E99" s="94" t="s">
        <v>29</v>
      </c>
      <c r="F99" s="95">
        <v>0</v>
      </c>
      <c r="G99" s="95">
        <v>294056</v>
      </c>
      <c r="H99" s="95">
        <f aca="true" t="shared" si="8" ref="H99:H107">F99+G99</f>
        <v>294056</v>
      </c>
      <c r="I99" s="96">
        <v>16</v>
      </c>
      <c r="J99" s="95">
        <v>0</v>
      </c>
      <c r="K99" s="97"/>
      <c r="L99" s="97"/>
      <c r="M99" s="97"/>
      <c r="N99" s="97"/>
    </row>
    <row r="100" spans="1:14" s="15" customFormat="1" ht="49.5" customHeight="1">
      <c r="A100" s="16">
        <f t="shared" si="1"/>
        <v>95</v>
      </c>
      <c r="B100" s="91">
        <v>40816</v>
      </c>
      <c r="C100" s="92" t="s">
        <v>140</v>
      </c>
      <c r="D100" s="93" t="s">
        <v>81</v>
      </c>
      <c r="E100" s="94" t="s">
        <v>126</v>
      </c>
      <c r="F100" s="95">
        <v>159185.6</v>
      </c>
      <c r="G100" s="95">
        <v>0</v>
      </c>
      <c r="H100" s="95">
        <f t="shared" si="8"/>
        <v>159185.6</v>
      </c>
      <c r="I100" s="96">
        <v>5</v>
      </c>
      <c r="J100" s="95">
        <v>118.08</v>
      </c>
      <c r="K100" s="97"/>
      <c r="L100" s="97"/>
      <c r="M100" s="97"/>
      <c r="N100" s="97"/>
    </row>
    <row r="101" spans="1:14" s="15" customFormat="1" ht="49.5" customHeight="1">
      <c r="A101" s="16">
        <f t="shared" si="1"/>
        <v>96</v>
      </c>
      <c r="B101" s="91">
        <v>40816</v>
      </c>
      <c r="C101" s="92" t="s">
        <v>141</v>
      </c>
      <c r="D101" s="93" t="s">
        <v>81</v>
      </c>
      <c r="E101" s="94" t="s">
        <v>29</v>
      </c>
      <c r="F101" s="95">
        <v>95858</v>
      </c>
      <c r="G101" s="95">
        <v>3026213.81</v>
      </c>
      <c r="H101" s="95">
        <f t="shared" si="8"/>
        <v>3122071.81</v>
      </c>
      <c r="I101" s="96">
        <v>78</v>
      </c>
      <c r="J101" s="95">
        <v>33.65</v>
      </c>
      <c r="K101" s="97"/>
      <c r="L101" s="97"/>
      <c r="M101" s="97"/>
      <c r="N101" s="97"/>
    </row>
    <row r="102" spans="1:14" s="15" customFormat="1" ht="49.5" customHeight="1">
      <c r="A102" s="16">
        <f t="shared" si="1"/>
        <v>97</v>
      </c>
      <c r="B102" s="91">
        <v>40816</v>
      </c>
      <c r="C102" s="92" t="s">
        <v>142</v>
      </c>
      <c r="D102" s="93" t="s">
        <v>81</v>
      </c>
      <c r="E102" s="94" t="s">
        <v>18</v>
      </c>
      <c r="F102" s="95">
        <v>3369211.07</v>
      </c>
      <c r="G102" s="95">
        <v>0</v>
      </c>
      <c r="H102" s="95">
        <f t="shared" si="8"/>
        <v>3369211.07</v>
      </c>
      <c r="I102" s="96">
        <v>267</v>
      </c>
      <c r="J102" s="95">
        <v>4483.54</v>
      </c>
      <c r="K102" s="97"/>
      <c r="L102" s="97"/>
      <c r="M102" s="97"/>
      <c r="N102" s="97"/>
    </row>
    <row r="103" spans="1:14" s="15" customFormat="1" ht="49.5" customHeight="1">
      <c r="A103" s="16">
        <f t="shared" si="1"/>
        <v>98</v>
      </c>
      <c r="B103" s="91">
        <v>40823</v>
      </c>
      <c r="C103" s="92" t="s">
        <v>158</v>
      </c>
      <c r="D103" s="93" t="s">
        <v>81</v>
      </c>
      <c r="E103" s="94" t="s">
        <v>86</v>
      </c>
      <c r="F103" s="95">
        <v>3709</v>
      </c>
      <c r="G103" s="95">
        <v>88888</v>
      </c>
      <c r="H103" s="95">
        <f t="shared" si="8"/>
        <v>92597</v>
      </c>
      <c r="I103" s="96">
        <v>1</v>
      </c>
      <c r="J103" s="95">
        <v>0</v>
      </c>
      <c r="K103" s="97"/>
      <c r="L103" s="97"/>
      <c r="M103" s="97"/>
      <c r="N103" s="97"/>
    </row>
    <row r="104" spans="1:14" s="15" customFormat="1" ht="49.5" customHeight="1">
      <c r="A104" s="16">
        <f t="shared" si="1"/>
        <v>99</v>
      </c>
      <c r="B104" s="91">
        <v>40835</v>
      </c>
      <c r="C104" s="92" t="s">
        <v>165</v>
      </c>
      <c r="D104" s="93" t="s">
        <v>81</v>
      </c>
      <c r="E104" s="94" t="s">
        <v>29</v>
      </c>
      <c r="F104" s="95">
        <v>367929.9</v>
      </c>
      <c r="G104" s="95">
        <v>1510022</v>
      </c>
      <c r="H104" s="95">
        <f t="shared" si="8"/>
        <v>1877951.9</v>
      </c>
      <c r="I104" s="96">
        <v>51</v>
      </c>
      <c r="J104" s="95">
        <v>638.21</v>
      </c>
      <c r="K104" s="97"/>
      <c r="L104" s="97"/>
      <c r="M104" s="97"/>
      <c r="N104" s="97"/>
    </row>
    <row r="105" spans="1:14" s="15" customFormat="1" ht="49.5" customHeight="1">
      <c r="A105" s="16">
        <f t="shared" si="1"/>
        <v>100</v>
      </c>
      <c r="B105" s="91">
        <v>40836</v>
      </c>
      <c r="C105" s="92" t="s">
        <v>168</v>
      </c>
      <c r="D105" s="93" t="s">
        <v>81</v>
      </c>
      <c r="E105" s="94" t="s">
        <v>169</v>
      </c>
      <c r="F105" s="95">
        <v>10982254.21</v>
      </c>
      <c r="G105" s="95">
        <v>20532.11</v>
      </c>
      <c r="H105" s="95">
        <f t="shared" si="8"/>
        <v>11002786.32</v>
      </c>
      <c r="I105" s="96">
        <v>1060</v>
      </c>
      <c r="J105" s="95">
        <v>16592.11</v>
      </c>
      <c r="K105" s="97"/>
      <c r="L105" s="97"/>
      <c r="M105" s="97"/>
      <c r="N105" s="97"/>
    </row>
    <row r="106" spans="1:14" s="15" customFormat="1" ht="49.5" customHeight="1">
      <c r="A106" s="16">
        <f t="shared" si="1"/>
        <v>101</v>
      </c>
      <c r="B106" s="91">
        <v>40841</v>
      </c>
      <c r="C106" s="92" t="s">
        <v>176</v>
      </c>
      <c r="D106" s="93" t="s">
        <v>81</v>
      </c>
      <c r="E106" s="94" t="s">
        <v>13</v>
      </c>
      <c r="F106" s="95">
        <v>629192</v>
      </c>
      <c r="G106" s="95">
        <v>0</v>
      </c>
      <c r="H106" s="95">
        <f t="shared" si="8"/>
        <v>629192</v>
      </c>
      <c r="I106" s="96">
        <v>78</v>
      </c>
      <c r="J106" s="95">
        <v>1028.9</v>
      </c>
      <c r="K106" s="97"/>
      <c r="L106" s="97"/>
      <c r="M106" s="97"/>
      <c r="N106" s="97"/>
    </row>
    <row r="107" spans="1:14" s="15" customFormat="1" ht="49.5" customHeight="1">
      <c r="A107" s="16">
        <f t="shared" si="1"/>
        <v>102</v>
      </c>
      <c r="B107" s="91">
        <v>40843</v>
      </c>
      <c r="C107" s="92" t="s">
        <v>189</v>
      </c>
      <c r="D107" s="93" t="s">
        <v>81</v>
      </c>
      <c r="E107" s="94" t="s">
        <v>153</v>
      </c>
      <c r="F107" s="95">
        <v>661420.2</v>
      </c>
      <c r="G107" s="95">
        <v>0</v>
      </c>
      <c r="H107" s="95">
        <f t="shared" si="8"/>
        <v>661420.2</v>
      </c>
      <c r="I107" s="96">
        <v>5</v>
      </c>
      <c r="J107" s="95">
        <v>136.5</v>
      </c>
      <c r="K107" s="97"/>
      <c r="L107" s="97"/>
      <c r="M107" s="97"/>
      <c r="N107" s="97"/>
    </row>
    <row r="108" spans="1:14" s="15" customFormat="1" ht="49.5" customHeight="1">
      <c r="A108" s="16">
        <f t="shared" si="1"/>
        <v>103</v>
      </c>
      <c r="B108" s="72">
        <v>40696</v>
      </c>
      <c r="C108" s="73" t="s">
        <v>42</v>
      </c>
      <c r="D108" s="74" t="s">
        <v>43</v>
      </c>
      <c r="E108" s="75" t="s">
        <v>154</v>
      </c>
      <c r="F108" s="76">
        <v>8344</v>
      </c>
      <c r="G108" s="76">
        <v>0</v>
      </c>
      <c r="H108" s="76">
        <f aca="true" t="shared" si="9" ref="H108:H126">F108+G108</f>
        <v>8344</v>
      </c>
      <c r="I108" s="77">
        <v>1</v>
      </c>
      <c r="J108" s="76">
        <v>115.85</v>
      </c>
      <c r="K108" s="97"/>
      <c r="L108" s="97"/>
      <c r="M108" s="97"/>
      <c r="N108" s="97"/>
    </row>
    <row r="109" spans="1:14" s="15" customFormat="1" ht="49.5" customHeight="1">
      <c r="A109" s="16">
        <f t="shared" si="1"/>
        <v>104</v>
      </c>
      <c r="B109" s="72">
        <v>40777</v>
      </c>
      <c r="C109" s="73" t="s">
        <v>84</v>
      </c>
      <c r="D109" s="74" t="s">
        <v>43</v>
      </c>
      <c r="E109" s="75" t="s">
        <v>56</v>
      </c>
      <c r="F109" s="76">
        <v>8390123.94</v>
      </c>
      <c r="G109" s="76">
        <v>0</v>
      </c>
      <c r="H109" s="76">
        <f t="shared" si="9"/>
        <v>8390123.94</v>
      </c>
      <c r="I109" s="77">
        <v>39</v>
      </c>
      <c r="J109" s="76">
        <v>3842.42</v>
      </c>
      <c r="K109" s="97"/>
      <c r="L109" s="97"/>
      <c r="M109" s="97"/>
      <c r="N109" s="97"/>
    </row>
    <row r="110" spans="1:14" s="15" customFormat="1" ht="49.5" customHeight="1">
      <c r="A110" s="16">
        <f t="shared" si="1"/>
        <v>105</v>
      </c>
      <c r="B110" s="72">
        <v>40808</v>
      </c>
      <c r="C110" s="73" t="s">
        <v>118</v>
      </c>
      <c r="D110" s="74" t="s">
        <v>43</v>
      </c>
      <c r="E110" s="75" t="s">
        <v>111</v>
      </c>
      <c r="F110" s="76">
        <v>365040</v>
      </c>
      <c r="G110" s="76">
        <v>0</v>
      </c>
      <c r="H110" s="76">
        <f t="shared" si="9"/>
        <v>365040</v>
      </c>
      <c r="I110" s="77">
        <v>69</v>
      </c>
      <c r="J110" s="76">
        <v>636.53</v>
      </c>
      <c r="K110" s="97"/>
      <c r="L110" s="97"/>
      <c r="M110" s="97"/>
      <c r="N110" s="97"/>
    </row>
    <row r="111" spans="1:14" s="15" customFormat="1" ht="49.5" customHeight="1">
      <c r="A111" s="16">
        <f t="shared" si="1"/>
        <v>106</v>
      </c>
      <c r="B111" s="72">
        <v>40889</v>
      </c>
      <c r="C111" s="73" t="s">
        <v>232</v>
      </c>
      <c r="D111" s="74" t="s">
        <v>43</v>
      </c>
      <c r="E111" s="75" t="s">
        <v>18</v>
      </c>
      <c r="F111" s="76">
        <v>3966073.66</v>
      </c>
      <c r="G111" s="76">
        <v>0</v>
      </c>
      <c r="H111" s="76">
        <f t="shared" si="9"/>
        <v>3966073.66</v>
      </c>
      <c r="I111" s="77">
        <v>54</v>
      </c>
      <c r="J111" s="76">
        <v>838.94</v>
      </c>
      <c r="K111" s="97"/>
      <c r="L111" s="97"/>
      <c r="M111" s="97"/>
      <c r="N111" s="97"/>
    </row>
    <row r="112" spans="1:14" s="15" customFormat="1" ht="49.5" customHeight="1">
      <c r="A112" s="16">
        <f t="shared" si="1"/>
        <v>107</v>
      </c>
      <c r="B112" s="60">
        <v>40777</v>
      </c>
      <c r="C112" s="61" t="s">
        <v>83</v>
      </c>
      <c r="D112" s="62" t="s">
        <v>82</v>
      </c>
      <c r="E112" s="63" t="s">
        <v>56</v>
      </c>
      <c r="F112" s="64">
        <v>324178</v>
      </c>
      <c r="G112" s="64">
        <v>0</v>
      </c>
      <c r="H112" s="64">
        <f t="shared" si="9"/>
        <v>324178</v>
      </c>
      <c r="I112" s="65">
        <v>2</v>
      </c>
      <c r="J112" s="64">
        <v>23.3</v>
      </c>
      <c r="K112" s="97"/>
      <c r="L112" s="97"/>
      <c r="M112" s="97"/>
      <c r="N112" s="97"/>
    </row>
    <row r="113" spans="1:14" s="15" customFormat="1" ht="49.5" customHeight="1">
      <c r="A113" s="16">
        <f t="shared" si="1"/>
        <v>108</v>
      </c>
      <c r="B113" s="60">
        <v>40816</v>
      </c>
      <c r="C113" s="61" t="s">
        <v>138</v>
      </c>
      <c r="D113" s="62" t="s">
        <v>82</v>
      </c>
      <c r="E113" s="63" t="s">
        <v>139</v>
      </c>
      <c r="F113" s="64">
        <v>1917028.41</v>
      </c>
      <c r="G113" s="64">
        <v>243765</v>
      </c>
      <c r="H113" s="64">
        <f t="shared" si="9"/>
        <v>2160793.41</v>
      </c>
      <c r="I113" s="65">
        <v>18</v>
      </c>
      <c r="J113" s="64">
        <v>142.34</v>
      </c>
      <c r="K113" s="97"/>
      <c r="L113" s="97"/>
      <c r="M113" s="97"/>
      <c r="N113" s="97"/>
    </row>
    <row r="114" spans="1:14" s="15" customFormat="1" ht="49.5" customHeight="1">
      <c r="A114" s="16">
        <f t="shared" si="1"/>
        <v>109</v>
      </c>
      <c r="B114" s="54">
        <v>40791</v>
      </c>
      <c r="C114" s="55" t="s">
        <v>95</v>
      </c>
      <c r="D114" s="56" t="s">
        <v>96</v>
      </c>
      <c r="E114" s="57" t="s">
        <v>97</v>
      </c>
      <c r="F114" s="58">
        <v>240</v>
      </c>
      <c r="G114" s="58">
        <v>10976</v>
      </c>
      <c r="H114" s="58">
        <f t="shared" si="9"/>
        <v>11216</v>
      </c>
      <c r="I114" s="59">
        <v>1</v>
      </c>
      <c r="J114" s="58">
        <v>2.4</v>
      </c>
      <c r="K114" s="97"/>
      <c r="L114" s="97"/>
      <c r="M114" s="97"/>
      <c r="N114" s="97"/>
    </row>
    <row r="115" spans="1:14" s="15" customFormat="1" ht="49.5" customHeight="1">
      <c r="A115" s="16">
        <f t="shared" si="1"/>
        <v>110</v>
      </c>
      <c r="B115" s="54">
        <v>40795</v>
      </c>
      <c r="C115" s="55" t="s">
        <v>99</v>
      </c>
      <c r="D115" s="56" t="s">
        <v>96</v>
      </c>
      <c r="E115" s="57" t="s">
        <v>53</v>
      </c>
      <c r="F115" s="58">
        <v>9836457</v>
      </c>
      <c r="G115" s="58">
        <v>3359545</v>
      </c>
      <c r="H115" s="58">
        <f t="shared" si="9"/>
        <v>13196002</v>
      </c>
      <c r="I115" s="59">
        <v>253</v>
      </c>
      <c r="J115" s="58">
        <v>871</v>
      </c>
      <c r="K115" s="97"/>
      <c r="L115" s="97"/>
      <c r="M115" s="97"/>
      <c r="N115" s="97"/>
    </row>
    <row r="116" spans="1:14" s="15" customFormat="1" ht="49.5" customHeight="1">
      <c r="A116" s="16">
        <f t="shared" si="1"/>
        <v>111</v>
      </c>
      <c r="B116" s="54">
        <v>40813</v>
      </c>
      <c r="C116" s="55" t="s">
        <v>130</v>
      </c>
      <c r="D116" s="56" t="s">
        <v>96</v>
      </c>
      <c r="E116" s="57" t="s">
        <v>56</v>
      </c>
      <c r="F116" s="58">
        <v>82000</v>
      </c>
      <c r="G116" s="58">
        <v>2280</v>
      </c>
      <c r="H116" s="58">
        <f t="shared" si="9"/>
        <v>84280</v>
      </c>
      <c r="I116" s="59">
        <v>1</v>
      </c>
      <c r="J116" s="58">
        <v>6</v>
      </c>
      <c r="K116" s="97"/>
      <c r="L116" s="97"/>
      <c r="M116" s="97"/>
      <c r="N116" s="97"/>
    </row>
    <row r="117" spans="1:14" s="15" customFormat="1" ht="49.5" customHeight="1">
      <c r="A117" s="16">
        <f t="shared" si="1"/>
        <v>112</v>
      </c>
      <c r="B117" s="54">
        <v>40855</v>
      </c>
      <c r="C117" s="55" t="s">
        <v>201</v>
      </c>
      <c r="D117" s="56" t="s">
        <v>96</v>
      </c>
      <c r="E117" s="55" t="s">
        <v>202</v>
      </c>
      <c r="F117" s="58">
        <f>8358765+13740+3803272+22026</f>
        <v>12197803</v>
      </c>
      <c r="G117" s="58">
        <f>1017474+15000+164960</f>
        <v>1197434</v>
      </c>
      <c r="H117" s="58">
        <f t="shared" si="9"/>
        <v>13395237</v>
      </c>
      <c r="I117" s="59">
        <f>314+123+3</f>
        <v>440</v>
      </c>
      <c r="J117" s="58">
        <f>568.67+320.93+1.82</f>
        <v>891.42</v>
      </c>
      <c r="K117" s="97"/>
      <c r="L117" s="97"/>
      <c r="M117" s="97"/>
      <c r="N117" s="97"/>
    </row>
    <row r="118" spans="1:14" s="15" customFormat="1" ht="49.5" customHeight="1">
      <c r="A118" s="16">
        <f t="shared" si="1"/>
        <v>113</v>
      </c>
      <c r="B118" s="54" t="s">
        <v>207</v>
      </c>
      <c r="C118" s="55" t="s">
        <v>208</v>
      </c>
      <c r="D118" s="56" t="s">
        <v>96</v>
      </c>
      <c r="E118" s="55" t="s">
        <v>29</v>
      </c>
      <c r="F118" s="58">
        <v>50787</v>
      </c>
      <c r="G118" s="58">
        <v>198218</v>
      </c>
      <c r="H118" s="58">
        <f t="shared" si="9"/>
        <v>249005</v>
      </c>
      <c r="I118" s="59">
        <v>44</v>
      </c>
      <c r="J118" s="58">
        <v>69</v>
      </c>
      <c r="K118" s="97"/>
      <c r="L118" s="97"/>
      <c r="M118" s="97"/>
      <c r="N118" s="97"/>
    </row>
    <row r="119" spans="1:14" s="15" customFormat="1" ht="49.5" customHeight="1">
      <c r="A119" s="16">
        <f t="shared" si="1"/>
        <v>114</v>
      </c>
      <c r="B119" s="54" t="s">
        <v>207</v>
      </c>
      <c r="C119" s="55" t="s">
        <v>209</v>
      </c>
      <c r="D119" s="56" t="s">
        <v>96</v>
      </c>
      <c r="E119" s="55" t="s">
        <v>133</v>
      </c>
      <c r="F119" s="58">
        <f>6178451+65122105</f>
        <v>71300556</v>
      </c>
      <c r="G119" s="58">
        <f>1283211</f>
        <v>1283211</v>
      </c>
      <c r="H119" s="58">
        <f t="shared" si="9"/>
        <v>72583767</v>
      </c>
      <c r="I119" s="59">
        <f>146+4501</f>
        <v>4647</v>
      </c>
      <c r="J119" s="58">
        <f>1923+19441.5</f>
        <v>21364.5</v>
      </c>
      <c r="K119" s="97"/>
      <c r="L119" s="97"/>
      <c r="M119" s="97"/>
      <c r="N119" s="97"/>
    </row>
    <row r="120" spans="1:14" s="15" customFormat="1" ht="49.5" customHeight="1">
      <c r="A120" s="16">
        <f t="shared" si="1"/>
        <v>115</v>
      </c>
      <c r="B120" s="66">
        <v>40688</v>
      </c>
      <c r="C120" s="67" t="s">
        <v>39</v>
      </c>
      <c r="D120" s="68" t="s">
        <v>40</v>
      </c>
      <c r="E120" s="69" t="s">
        <v>150</v>
      </c>
      <c r="F120" s="70">
        <v>42750</v>
      </c>
      <c r="G120" s="70">
        <v>0</v>
      </c>
      <c r="H120" s="70">
        <f t="shared" si="9"/>
        <v>42750</v>
      </c>
      <c r="I120" s="71">
        <v>1</v>
      </c>
      <c r="J120" s="70">
        <v>28.5</v>
      </c>
      <c r="K120" s="97"/>
      <c r="L120" s="97"/>
      <c r="M120" s="97"/>
      <c r="N120" s="97"/>
    </row>
    <row r="121" spans="1:14" s="15" customFormat="1" ht="49.5" customHeight="1">
      <c r="A121" s="16">
        <f t="shared" si="1"/>
        <v>116</v>
      </c>
      <c r="B121" s="66">
        <v>40725</v>
      </c>
      <c r="C121" s="67" t="s">
        <v>49</v>
      </c>
      <c r="D121" s="68" t="s">
        <v>40</v>
      </c>
      <c r="E121" s="69" t="s">
        <v>150</v>
      </c>
      <c r="F121" s="70">
        <v>138328.43</v>
      </c>
      <c r="G121" s="70">
        <v>0</v>
      </c>
      <c r="H121" s="70">
        <f t="shared" si="9"/>
        <v>138328.43</v>
      </c>
      <c r="I121" s="71">
        <v>3</v>
      </c>
      <c r="J121" s="70">
        <v>169.23</v>
      </c>
      <c r="K121" s="97"/>
      <c r="L121" s="97"/>
      <c r="M121" s="97"/>
      <c r="N121" s="97"/>
    </row>
    <row r="122" spans="1:14" s="15" customFormat="1" ht="49.5" customHeight="1">
      <c r="A122" s="16">
        <f t="shared" si="1"/>
        <v>117</v>
      </c>
      <c r="B122" s="66">
        <v>40756</v>
      </c>
      <c r="C122" s="67" t="s">
        <v>59</v>
      </c>
      <c r="D122" s="68" t="s">
        <v>40</v>
      </c>
      <c r="E122" s="69" t="s">
        <v>60</v>
      </c>
      <c r="F122" s="70">
        <f>1120786.37+424095.53+73835.22</f>
        <v>1618717.12</v>
      </c>
      <c r="G122" s="70">
        <v>0</v>
      </c>
      <c r="H122" s="70">
        <f t="shared" si="9"/>
        <v>1618717.12</v>
      </c>
      <c r="I122" s="71">
        <f>3+4+1</f>
        <v>8</v>
      </c>
      <c r="J122" s="70">
        <f>430.13+397.26+73.6</f>
        <v>900.99</v>
      </c>
      <c r="K122" s="97"/>
      <c r="L122" s="97"/>
      <c r="M122" s="97"/>
      <c r="N122" s="97"/>
    </row>
    <row r="123" spans="1:14" s="15" customFormat="1" ht="49.5" customHeight="1">
      <c r="A123" s="16">
        <f t="shared" si="1"/>
        <v>118</v>
      </c>
      <c r="B123" s="66">
        <v>40857</v>
      </c>
      <c r="C123" s="67" t="s">
        <v>210</v>
      </c>
      <c r="D123" s="68" t="s">
        <v>40</v>
      </c>
      <c r="E123" s="69" t="s">
        <v>211</v>
      </c>
      <c r="F123" s="70">
        <f>4463982.55+627574.43+14200</f>
        <v>5105756.9799999995</v>
      </c>
      <c r="G123" s="70">
        <f>565682</f>
        <v>565682</v>
      </c>
      <c r="H123" s="70">
        <f t="shared" si="9"/>
        <v>5671438.9799999995</v>
      </c>
      <c r="I123" s="71">
        <f>191+2+2</f>
        <v>195</v>
      </c>
      <c r="J123" s="70">
        <f>6003.27+656.22</f>
        <v>6659.490000000001</v>
      </c>
      <c r="K123" s="97"/>
      <c r="L123" s="97"/>
      <c r="M123" s="97"/>
      <c r="N123" s="97"/>
    </row>
    <row r="124" spans="1:14" s="15" customFormat="1" ht="49.5" customHeight="1">
      <c r="A124" s="16">
        <f t="shared" si="1"/>
        <v>119</v>
      </c>
      <c r="B124" s="66">
        <v>40864</v>
      </c>
      <c r="C124" s="67" t="s">
        <v>218</v>
      </c>
      <c r="D124" s="68" t="s">
        <v>40</v>
      </c>
      <c r="E124" s="69" t="s">
        <v>219</v>
      </c>
      <c r="F124" s="70">
        <f>14757189.47+1268606.03+825439.35</f>
        <v>16851234.85</v>
      </c>
      <c r="G124" s="70">
        <f>582405.49+12800</f>
        <v>595205.49</v>
      </c>
      <c r="H124" s="70">
        <f t="shared" si="9"/>
        <v>17446440.34</v>
      </c>
      <c r="I124" s="71">
        <f>505+6+25+1+5</f>
        <v>542</v>
      </c>
      <c r="J124" s="70">
        <f>12790+60.41+344.4</f>
        <v>13194.81</v>
      </c>
      <c r="K124" s="97"/>
      <c r="L124" s="97"/>
      <c r="M124" s="97"/>
      <c r="N124" s="97"/>
    </row>
    <row r="125" spans="1:14" s="15" customFormat="1" ht="49.5" customHeight="1">
      <c r="A125" s="16">
        <f t="shared" si="1"/>
        <v>120</v>
      </c>
      <c r="B125" s="66">
        <v>40889</v>
      </c>
      <c r="C125" s="67" t="s">
        <v>231</v>
      </c>
      <c r="D125" s="68" t="s">
        <v>40</v>
      </c>
      <c r="E125" s="69" t="s">
        <v>53</v>
      </c>
      <c r="F125" s="70">
        <v>305650.75</v>
      </c>
      <c r="G125" s="70">
        <v>0</v>
      </c>
      <c r="H125" s="70">
        <f t="shared" si="9"/>
        <v>305650.75</v>
      </c>
      <c r="I125" s="71">
        <v>1</v>
      </c>
      <c r="J125" s="70">
        <v>9.67</v>
      </c>
      <c r="K125" s="97"/>
      <c r="L125" s="97"/>
      <c r="M125" s="97"/>
      <c r="N125" s="97"/>
    </row>
    <row r="126" spans="1:14" s="15" customFormat="1" ht="49.5" customHeight="1">
      <c r="A126" s="16">
        <f t="shared" si="1"/>
        <v>121</v>
      </c>
      <c r="B126" s="85">
        <v>40757</v>
      </c>
      <c r="C126" s="86" t="s">
        <v>71</v>
      </c>
      <c r="D126" s="87" t="s">
        <v>72</v>
      </c>
      <c r="E126" s="88" t="s">
        <v>47</v>
      </c>
      <c r="F126" s="89">
        <v>934012.33</v>
      </c>
      <c r="G126" s="89">
        <v>0</v>
      </c>
      <c r="H126" s="89">
        <f t="shared" si="9"/>
        <v>934012.33</v>
      </c>
      <c r="I126" s="90">
        <f>35</f>
        <v>35</v>
      </c>
      <c r="J126" s="89">
        <v>418.68</v>
      </c>
      <c r="K126" s="97"/>
      <c r="L126" s="97"/>
      <c r="M126" s="97"/>
      <c r="N126" s="97"/>
    </row>
    <row r="127" spans="1:14" s="15" customFormat="1" ht="49.5" customHeight="1">
      <c r="A127" s="16">
        <f t="shared" si="1"/>
        <v>122</v>
      </c>
      <c r="B127" s="85">
        <v>40799</v>
      </c>
      <c r="C127" s="86" t="s">
        <v>104</v>
      </c>
      <c r="D127" s="87" t="s">
        <v>72</v>
      </c>
      <c r="E127" s="88" t="s">
        <v>105</v>
      </c>
      <c r="F127" s="89">
        <f>58535359.15-77056.4</f>
        <v>58458302.75</v>
      </c>
      <c r="G127" s="89">
        <v>768860.03</v>
      </c>
      <c r="H127" s="89">
        <f aca="true" t="shared" si="10" ref="H127:H141">F127+G127</f>
        <v>59227162.78</v>
      </c>
      <c r="I127" s="90">
        <v>2153</v>
      </c>
      <c r="J127" s="89">
        <v>31374.36</v>
      </c>
      <c r="K127" s="97"/>
      <c r="L127" s="97"/>
      <c r="M127" s="97"/>
      <c r="N127" s="97"/>
    </row>
    <row r="128" spans="1:14" s="15" customFormat="1" ht="49.5" customHeight="1">
      <c r="A128" s="16">
        <f t="shared" si="1"/>
        <v>123</v>
      </c>
      <c r="B128" s="85">
        <v>40802</v>
      </c>
      <c r="C128" s="86" t="s">
        <v>114</v>
      </c>
      <c r="D128" s="87" t="s">
        <v>72</v>
      </c>
      <c r="E128" s="88" t="s">
        <v>115</v>
      </c>
      <c r="F128" s="89">
        <f>68598717+721895+4554816.31-2539.25-988746.22+3616007.74+235140.96+313799.28</f>
        <v>77049090.82</v>
      </c>
      <c r="G128" s="89">
        <f>5772147+275165.6-2627261.52+411630+35000</f>
        <v>3866681.0799999996</v>
      </c>
      <c r="H128" s="89">
        <f t="shared" si="10"/>
        <v>80915771.89999999</v>
      </c>
      <c r="I128" s="90">
        <f>1809+95+16+4</f>
        <v>1924</v>
      </c>
      <c r="J128" s="89">
        <f>30057.87+2179.82+193.3+282.57</f>
        <v>32713.559999999998</v>
      </c>
      <c r="K128" s="97"/>
      <c r="L128" s="97"/>
      <c r="M128" s="97"/>
      <c r="N128" s="97"/>
    </row>
    <row r="129" spans="1:14" s="15" customFormat="1" ht="49.5" customHeight="1">
      <c r="A129" s="16">
        <f t="shared" si="1"/>
        <v>124</v>
      </c>
      <c r="B129" s="85">
        <v>40813</v>
      </c>
      <c r="C129" s="86" t="s">
        <v>125</v>
      </c>
      <c r="D129" s="87" t="s">
        <v>72</v>
      </c>
      <c r="E129" s="88" t="s">
        <v>126</v>
      </c>
      <c r="F129" s="89">
        <v>439490.4</v>
      </c>
      <c r="G129" s="89">
        <v>10936.85</v>
      </c>
      <c r="H129" s="89">
        <f t="shared" si="10"/>
        <v>450427.25</v>
      </c>
      <c r="I129" s="90">
        <v>13</v>
      </c>
      <c r="J129" s="89">
        <v>84.72</v>
      </c>
      <c r="K129" s="97"/>
      <c r="L129" s="97"/>
      <c r="M129" s="97"/>
      <c r="N129" s="97"/>
    </row>
    <row r="130" spans="1:14" s="15" customFormat="1" ht="49.5" customHeight="1">
      <c r="A130" s="16">
        <f t="shared" si="1"/>
        <v>125</v>
      </c>
      <c r="B130" s="85">
        <v>40823</v>
      </c>
      <c r="C130" s="86" t="s">
        <v>148</v>
      </c>
      <c r="D130" s="87" t="s">
        <v>72</v>
      </c>
      <c r="E130" s="88" t="s">
        <v>149</v>
      </c>
      <c r="F130" s="89">
        <v>16329489.5</v>
      </c>
      <c r="G130" s="89">
        <v>0</v>
      </c>
      <c r="H130" s="89">
        <f t="shared" si="10"/>
        <v>16329489.5</v>
      </c>
      <c r="I130" s="90">
        <v>541</v>
      </c>
      <c r="J130" s="89">
        <v>11139</v>
      </c>
      <c r="K130" s="97"/>
      <c r="L130" s="97"/>
      <c r="M130" s="97"/>
      <c r="N130" s="97"/>
    </row>
    <row r="131" spans="1:14" s="15" customFormat="1" ht="49.5" customHeight="1">
      <c r="A131" s="16">
        <f t="shared" si="1"/>
        <v>126</v>
      </c>
      <c r="B131" s="85">
        <v>40844</v>
      </c>
      <c r="C131" s="86" t="s">
        <v>190</v>
      </c>
      <c r="D131" s="87" t="s">
        <v>72</v>
      </c>
      <c r="E131" s="88" t="s">
        <v>56</v>
      </c>
      <c r="F131" s="89">
        <v>376223.39</v>
      </c>
      <c r="G131" s="89">
        <v>2350</v>
      </c>
      <c r="H131" s="89">
        <f t="shared" si="10"/>
        <v>378573.39</v>
      </c>
      <c r="I131" s="90">
        <v>10</v>
      </c>
      <c r="J131" s="89">
        <v>62.69</v>
      </c>
      <c r="K131" s="97"/>
      <c r="L131" s="97"/>
      <c r="M131" s="97"/>
      <c r="N131" s="97"/>
    </row>
    <row r="132" spans="1:14" s="15" customFormat="1" ht="49.5" customHeight="1">
      <c r="A132" s="16">
        <f t="shared" si="1"/>
        <v>127</v>
      </c>
      <c r="B132" s="85">
        <v>40843</v>
      </c>
      <c r="C132" s="86" t="s">
        <v>191</v>
      </c>
      <c r="D132" s="87" t="s">
        <v>72</v>
      </c>
      <c r="E132" s="88" t="s">
        <v>192</v>
      </c>
      <c r="F132" s="89">
        <v>3159370.69</v>
      </c>
      <c r="G132" s="89">
        <v>0</v>
      </c>
      <c r="H132" s="89">
        <f t="shared" si="10"/>
        <v>3159370.69</v>
      </c>
      <c r="I132" s="90">
        <v>105</v>
      </c>
      <c r="J132" s="89">
        <v>3089.65</v>
      </c>
      <c r="K132" s="97"/>
      <c r="L132" s="97"/>
      <c r="M132" s="97"/>
      <c r="N132" s="97"/>
    </row>
    <row r="133" spans="1:14" s="15" customFormat="1" ht="49.5" customHeight="1">
      <c r="A133" s="16">
        <f t="shared" si="1"/>
        <v>128</v>
      </c>
      <c r="B133" s="85">
        <v>40844</v>
      </c>
      <c r="C133" s="86" t="s">
        <v>193</v>
      </c>
      <c r="D133" s="87" t="s">
        <v>72</v>
      </c>
      <c r="E133" s="88" t="s">
        <v>194</v>
      </c>
      <c r="F133" s="89">
        <v>2676523.91</v>
      </c>
      <c r="G133" s="89">
        <v>2312222</v>
      </c>
      <c r="H133" s="89">
        <f t="shared" si="10"/>
        <v>4988745.91</v>
      </c>
      <c r="I133" s="90">
        <v>281</v>
      </c>
      <c r="J133" s="89">
        <v>1690.3899999999999</v>
      </c>
      <c r="K133" s="97"/>
      <c r="L133" s="97"/>
      <c r="M133" s="97"/>
      <c r="N133" s="97"/>
    </row>
    <row r="134" spans="1:14" s="15" customFormat="1" ht="49.5" customHeight="1">
      <c r="A134" s="16">
        <f t="shared" si="1"/>
        <v>129</v>
      </c>
      <c r="B134" s="85">
        <v>40844</v>
      </c>
      <c r="C134" s="86" t="s">
        <v>195</v>
      </c>
      <c r="D134" s="87" t="s">
        <v>72</v>
      </c>
      <c r="E134" s="88" t="s">
        <v>153</v>
      </c>
      <c r="F134" s="89">
        <f>630570.57+389227.27</f>
        <v>1019797.84</v>
      </c>
      <c r="G134" s="89">
        <v>50000</v>
      </c>
      <c r="H134" s="89">
        <f t="shared" si="10"/>
        <v>1069797.8399999999</v>
      </c>
      <c r="I134" s="90">
        <f>32+2</f>
        <v>34</v>
      </c>
      <c r="J134" s="89">
        <f>365.39+333.2</f>
        <v>698.5899999999999</v>
      </c>
      <c r="K134" s="97"/>
      <c r="L134" s="97"/>
      <c r="M134" s="97"/>
      <c r="N134" s="97"/>
    </row>
    <row r="135" spans="1:14" s="15" customFormat="1" ht="49.5" customHeight="1">
      <c r="A135" s="16">
        <f t="shared" si="1"/>
        <v>130</v>
      </c>
      <c r="B135" s="85">
        <v>40862</v>
      </c>
      <c r="C135" s="86" t="s">
        <v>214</v>
      </c>
      <c r="D135" s="87" t="s">
        <v>72</v>
      </c>
      <c r="E135" s="88" t="s">
        <v>152</v>
      </c>
      <c r="F135" s="89">
        <f>1693026.47-131775.82+1070783</f>
        <v>2632033.65</v>
      </c>
      <c r="G135" s="89">
        <v>3112000</v>
      </c>
      <c r="H135" s="89">
        <f t="shared" si="10"/>
        <v>5744033.65</v>
      </c>
      <c r="I135" s="90">
        <f>87+189</f>
        <v>276</v>
      </c>
      <c r="J135" s="89">
        <f>1489.2+470</f>
        <v>1959.2</v>
      </c>
      <c r="K135" s="97"/>
      <c r="L135" s="97"/>
      <c r="M135" s="97"/>
      <c r="N135" s="97"/>
    </row>
    <row r="136" spans="1:14" s="15" customFormat="1" ht="49.5" customHeight="1">
      <c r="A136" s="16">
        <f t="shared" si="1"/>
        <v>131</v>
      </c>
      <c r="B136" s="85">
        <v>40868</v>
      </c>
      <c r="C136" s="86" t="s">
        <v>222</v>
      </c>
      <c r="D136" s="87" t="s">
        <v>72</v>
      </c>
      <c r="E136" s="88" t="s">
        <v>86</v>
      </c>
      <c r="F136" s="89">
        <v>0</v>
      </c>
      <c r="G136" s="89">
        <v>452000</v>
      </c>
      <c r="H136" s="89">
        <f t="shared" si="10"/>
        <v>452000</v>
      </c>
      <c r="I136" s="90">
        <v>1</v>
      </c>
      <c r="J136" s="89">
        <v>0</v>
      </c>
      <c r="K136" s="97"/>
      <c r="L136" s="97"/>
      <c r="M136" s="97"/>
      <c r="N136" s="97"/>
    </row>
    <row r="137" spans="1:14" s="15" customFormat="1" ht="49.5" customHeight="1">
      <c r="A137" s="16">
        <f t="shared" si="1"/>
        <v>132</v>
      </c>
      <c r="B137" s="85">
        <v>40868</v>
      </c>
      <c r="C137" s="86" t="s">
        <v>223</v>
      </c>
      <c r="D137" s="87" t="s">
        <v>72</v>
      </c>
      <c r="E137" s="88" t="s">
        <v>111</v>
      </c>
      <c r="F137" s="89">
        <v>527875.42</v>
      </c>
      <c r="G137" s="89">
        <v>0</v>
      </c>
      <c r="H137" s="89">
        <f t="shared" si="10"/>
        <v>527875.42</v>
      </c>
      <c r="I137" s="90">
        <v>17</v>
      </c>
      <c r="J137" s="89">
        <v>588.9</v>
      </c>
      <c r="K137" s="97"/>
      <c r="L137" s="97"/>
      <c r="M137" s="97"/>
      <c r="N137" s="97"/>
    </row>
    <row r="138" spans="1:14" s="15" customFormat="1" ht="49.5" customHeight="1">
      <c r="A138" s="16">
        <f t="shared" si="1"/>
        <v>133</v>
      </c>
      <c r="B138" s="85">
        <v>40877</v>
      </c>
      <c r="C138" s="86" t="s">
        <v>229</v>
      </c>
      <c r="D138" s="87" t="s">
        <v>72</v>
      </c>
      <c r="E138" s="88" t="s">
        <v>217</v>
      </c>
      <c r="F138" s="89">
        <v>1146947.87</v>
      </c>
      <c r="G138" s="89">
        <v>41540</v>
      </c>
      <c r="H138" s="89">
        <f t="shared" si="10"/>
        <v>1188487.87</v>
      </c>
      <c r="I138" s="90">
        <v>14</v>
      </c>
      <c r="J138" s="89">
        <v>183.23</v>
      </c>
      <c r="K138" s="97"/>
      <c r="L138" s="97"/>
      <c r="M138" s="97"/>
      <c r="N138" s="97"/>
    </row>
    <row r="139" spans="1:14" s="15" customFormat="1" ht="49.5" customHeight="1">
      <c r="A139" s="16">
        <f t="shared" si="1"/>
        <v>134</v>
      </c>
      <c r="B139" s="85">
        <v>40899</v>
      </c>
      <c r="C139" s="86" t="s">
        <v>236</v>
      </c>
      <c r="D139" s="87" t="s">
        <v>72</v>
      </c>
      <c r="E139" s="88" t="s">
        <v>111</v>
      </c>
      <c r="F139" s="89">
        <v>943479.5</v>
      </c>
      <c r="G139" s="89">
        <v>0</v>
      </c>
      <c r="H139" s="89">
        <f t="shared" si="10"/>
        <v>943479.5</v>
      </c>
      <c r="I139" s="90">
        <v>37</v>
      </c>
      <c r="J139" s="89">
        <v>1059.01</v>
      </c>
      <c r="K139" s="97"/>
      <c r="L139" s="97"/>
      <c r="M139" s="97"/>
      <c r="N139" s="97"/>
    </row>
    <row r="140" spans="1:14" s="15" customFormat="1" ht="49.5" customHeight="1">
      <c r="A140" s="16">
        <f t="shared" si="1"/>
        <v>135</v>
      </c>
      <c r="B140" s="85">
        <v>40899</v>
      </c>
      <c r="C140" s="86" t="s">
        <v>237</v>
      </c>
      <c r="D140" s="87" t="s">
        <v>72</v>
      </c>
      <c r="E140" s="88" t="s">
        <v>184</v>
      </c>
      <c r="F140" s="89">
        <f>11646404.55-11481.95</f>
        <v>11634922.600000001</v>
      </c>
      <c r="G140" s="89">
        <f>27538896.84</f>
        <v>27538896.84</v>
      </c>
      <c r="H140" s="89">
        <f t="shared" si="10"/>
        <v>39173819.44</v>
      </c>
      <c r="I140" s="90">
        <v>972</v>
      </c>
      <c r="J140" s="89">
        <v>3134.86</v>
      </c>
      <c r="K140" s="97"/>
      <c r="L140" s="97"/>
      <c r="M140" s="97"/>
      <c r="N140" s="97"/>
    </row>
    <row r="141" spans="1:14" s="15" customFormat="1" ht="49.5" customHeight="1">
      <c r="A141" s="16">
        <f t="shared" si="1"/>
        <v>136</v>
      </c>
      <c r="B141" s="85">
        <v>40906</v>
      </c>
      <c r="C141" s="86" t="s">
        <v>240</v>
      </c>
      <c r="D141" s="87" t="s">
        <v>72</v>
      </c>
      <c r="E141" s="88" t="s">
        <v>13</v>
      </c>
      <c r="F141" s="89">
        <f>462955.33-1377</f>
        <v>461578.33</v>
      </c>
      <c r="G141" s="89">
        <v>0</v>
      </c>
      <c r="H141" s="89">
        <f t="shared" si="10"/>
        <v>461578.33</v>
      </c>
      <c r="I141" s="90">
        <v>7</v>
      </c>
      <c r="J141" s="89">
        <v>503.24</v>
      </c>
      <c r="K141" s="97"/>
      <c r="L141" s="97"/>
      <c r="M141" s="97"/>
      <c r="N141" s="97"/>
    </row>
    <row r="142" spans="1:14" s="15" customFormat="1" ht="49.5" customHeight="1">
      <c r="A142" s="16">
        <f t="shared" si="1"/>
        <v>137</v>
      </c>
      <c r="B142" s="22">
        <v>40550</v>
      </c>
      <c r="C142" s="23" t="s">
        <v>16</v>
      </c>
      <c r="D142" s="24" t="s">
        <v>17</v>
      </c>
      <c r="E142" s="41" t="s">
        <v>18</v>
      </c>
      <c r="F142" s="25">
        <v>230002</v>
      </c>
      <c r="G142" s="25">
        <v>0</v>
      </c>
      <c r="H142" s="25">
        <f>F142+G142</f>
        <v>230002</v>
      </c>
      <c r="I142" s="26">
        <v>3</v>
      </c>
      <c r="J142" s="25">
        <v>2462.09</v>
      </c>
      <c r="K142" s="97"/>
      <c r="L142" s="97"/>
      <c r="M142" s="97"/>
      <c r="N142" s="97"/>
    </row>
    <row r="143" spans="1:14" s="15" customFormat="1" ht="49.5" customHeight="1">
      <c r="A143" s="16">
        <f t="shared" si="1"/>
        <v>138</v>
      </c>
      <c r="B143" s="22">
        <v>40757</v>
      </c>
      <c r="C143" s="23" t="s">
        <v>71</v>
      </c>
      <c r="D143" s="24" t="s">
        <v>17</v>
      </c>
      <c r="E143" s="84" t="s">
        <v>47</v>
      </c>
      <c r="F143" s="25">
        <f>192144.31-13000+5287275.72-436336</f>
        <v>5030084.029999999</v>
      </c>
      <c r="G143" s="25">
        <v>0</v>
      </c>
      <c r="H143" s="25">
        <f aca="true" t="shared" si="11" ref="H143:H148">F143+G143</f>
        <v>5030084.029999999</v>
      </c>
      <c r="I143" s="26">
        <f>6-1+51-1</f>
        <v>55</v>
      </c>
      <c r="J143" s="25">
        <f>281.51-35+4439.63-419.08</f>
        <v>4267.06</v>
      </c>
      <c r="K143" s="97"/>
      <c r="L143" s="97"/>
      <c r="M143" s="97"/>
      <c r="N143" s="97"/>
    </row>
    <row r="144" spans="1:14" s="15" customFormat="1" ht="49.5" customHeight="1">
      <c r="A144" s="16">
        <f t="shared" si="1"/>
        <v>139</v>
      </c>
      <c r="B144" s="22">
        <v>40816</v>
      </c>
      <c r="C144" s="23" t="s">
        <v>143</v>
      </c>
      <c r="D144" s="24" t="s">
        <v>17</v>
      </c>
      <c r="E144" s="84" t="s">
        <v>144</v>
      </c>
      <c r="F144" s="25">
        <v>100968272.22</v>
      </c>
      <c r="G144" s="25">
        <v>1978400.24</v>
      </c>
      <c r="H144" s="25">
        <f t="shared" si="11"/>
        <v>102946672.46</v>
      </c>
      <c r="I144" s="26">
        <v>1355</v>
      </c>
      <c r="J144" s="25">
        <v>114152.83</v>
      </c>
      <c r="K144" s="97"/>
      <c r="L144" s="97"/>
      <c r="M144" s="97"/>
      <c r="N144" s="97"/>
    </row>
    <row r="145" spans="1:14" s="15" customFormat="1" ht="49.5" customHeight="1">
      <c r="A145" s="16">
        <f>1+A144</f>
        <v>140</v>
      </c>
      <c r="B145" s="22">
        <v>40816</v>
      </c>
      <c r="C145" s="23" t="s">
        <v>145</v>
      </c>
      <c r="D145" s="24" t="s">
        <v>17</v>
      </c>
      <c r="E145" s="84" t="s">
        <v>56</v>
      </c>
      <c r="F145" s="25">
        <v>987514</v>
      </c>
      <c r="G145" s="25">
        <v>314012</v>
      </c>
      <c r="H145" s="25">
        <f t="shared" si="11"/>
        <v>1301526</v>
      </c>
      <c r="I145" s="26">
        <v>11</v>
      </c>
      <c r="J145" s="25">
        <v>407.91</v>
      </c>
      <c r="K145" s="97"/>
      <c r="L145" s="97"/>
      <c r="M145" s="97"/>
      <c r="N145" s="97"/>
    </row>
    <row r="146" spans="1:14" s="15" customFormat="1" ht="49.5" customHeight="1">
      <c r="A146" s="16">
        <f>1+A145</f>
        <v>141</v>
      </c>
      <c r="B146" s="22">
        <v>40844</v>
      </c>
      <c r="C146" s="23" t="s">
        <v>196</v>
      </c>
      <c r="D146" s="24" t="s">
        <v>17</v>
      </c>
      <c r="E146" s="84" t="s">
        <v>197</v>
      </c>
      <c r="F146" s="25">
        <v>2036984</v>
      </c>
      <c r="G146" s="25">
        <v>428333</v>
      </c>
      <c r="H146" s="25">
        <f t="shared" si="11"/>
        <v>2465317</v>
      </c>
      <c r="I146" s="26">
        <v>67</v>
      </c>
      <c r="J146" s="25">
        <v>1765.02</v>
      </c>
      <c r="K146" s="97"/>
      <c r="L146" s="97"/>
      <c r="M146" s="97"/>
      <c r="N146" s="97"/>
    </row>
    <row r="147" spans="1:14" s="15" customFormat="1" ht="49.5" customHeight="1">
      <c r="A147" s="16">
        <f>1+A146</f>
        <v>142</v>
      </c>
      <c r="B147" s="22">
        <v>40844</v>
      </c>
      <c r="C147" s="23" t="s">
        <v>198</v>
      </c>
      <c r="D147" s="24" t="s">
        <v>17</v>
      </c>
      <c r="E147" s="84" t="s">
        <v>105</v>
      </c>
      <c r="F147" s="25">
        <v>0</v>
      </c>
      <c r="G147" s="25">
        <v>18150</v>
      </c>
      <c r="H147" s="25">
        <f t="shared" si="11"/>
        <v>18150</v>
      </c>
      <c r="I147" s="26">
        <v>1</v>
      </c>
      <c r="J147" s="25">
        <v>11</v>
      </c>
      <c r="K147" s="97"/>
      <c r="L147" s="97"/>
      <c r="M147" s="97"/>
      <c r="N147" s="97"/>
    </row>
    <row r="148" spans="1:14" s="15" customFormat="1" ht="49.5" customHeight="1">
      <c r="A148" s="16">
        <f>1+A147</f>
        <v>143</v>
      </c>
      <c r="B148" s="22">
        <v>40870</v>
      </c>
      <c r="C148" s="23" t="s">
        <v>226</v>
      </c>
      <c r="D148" s="24" t="s">
        <v>17</v>
      </c>
      <c r="E148" s="84" t="s">
        <v>105</v>
      </c>
      <c r="F148" s="25">
        <v>376429</v>
      </c>
      <c r="G148" s="25">
        <v>0</v>
      </c>
      <c r="H148" s="25">
        <f t="shared" si="11"/>
        <v>376429</v>
      </c>
      <c r="I148" s="26">
        <v>2</v>
      </c>
      <c r="J148" s="25">
        <v>320.25</v>
      </c>
      <c r="K148" s="97"/>
      <c r="L148" s="97"/>
      <c r="M148" s="97"/>
      <c r="N148" s="97"/>
    </row>
    <row r="149" spans="1:14" ht="35.25" customHeight="1">
      <c r="A149" s="100" t="s">
        <v>9</v>
      </c>
      <c r="B149" s="101"/>
      <c r="C149" s="101"/>
      <c r="D149" s="101"/>
      <c r="E149" s="102"/>
      <c r="F149" s="37">
        <f>SUM(F6:F148)</f>
        <v>1134794119.2900002</v>
      </c>
      <c r="G149" s="37">
        <f>SUM(G6:G148)</f>
        <v>273690603.94</v>
      </c>
      <c r="H149" s="37">
        <f>SUM(H6:H148)</f>
        <v>1408484723.2300003</v>
      </c>
      <c r="I149" s="37">
        <f>SUM(I6:I148)</f>
        <v>37335</v>
      </c>
      <c r="J149" s="37">
        <f>SUM(J6:J148)</f>
        <v>586525.98</v>
      </c>
      <c r="K149" s="98"/>
      <c r="L149" s="98"/>
      <c r="M149" s="98"/>
      <c r="N149" s="98"/>
    </row>
    <row r="150" spans="6:10" ht="30.75" customHeight="1">
      <c r="F150" s="14"/>
      <c r="G150" s="14"/>
      <c r="H150" s="14"/>
      <c r="I150" s="14"/>
      <c r="J150" s="14"/>
    </row>
    <row r="151" spans="6:10" ht="12.75" hidden="1">
      <c r="F151" s="14"/>
      <c r="G151" s="14"/>
      <c r="H151" s="14"/>
      <c r="I151" s="14"/>
      <c r="J151" s="14"/>
    </row>
    <row r="152" spans="6:10" ht="12.75" hidden="1">
      <c r="F152" s="14"/>
      <c r="G152" s="14"/>
      <c r="H152" s="14"/>
      <c r="I152" s="14"/>
      <c r="J152" s="14"/>
    </row>
    <row r="153" spans="6:10" ht="12.75">
      <c r="F153" s="14"/>
      <c r="G153" s="14"/>
      <c r="H153" s="14"/>
      <c r="I153" s="14"/>
      <c r="J153" s="14"/>
    </row>
    <row r="154" spans="6:10" ht="12.75">
      <c r="F154" s="14"/>
      <c r="G154" s="14"/>
      <c r="H154" s="14"/>
      <c r="I154" s="14"/>
      <c r="J154" s="14"/>
    </row>
    <row r="155" spans="6:10" ht="12.75">
      <c r="F155" s="14"/>
      <c r="G155" s="14"/>
      <c r="H155" s="14"/>
      <c r="I155" s="14"/>
      <c r="J155" s="14"/>
    </row>
    <row r="156" spans="6:10" ht="12.75">
      <c r="F156" s="14"/>
      <c r="G156" s="14"/>
      <c r="H156" s="14"/>
      <c r="I156" s="14"/>
      <c r="J156" s="14"/>
    </row>
  </sheetData>
  <sheetProtection/>
  <mergeCells count="3">
    <mergeCell ref="A4:J4"/>
    <mergeCell ref="A149:E149"/>
    <mergeCell ref="I3:J3"/>
  </mergeCells>
  <conditionalFormatting sqref="B3">
    <cfRule type="cellIs" priority="1" dxfId="1" operator="between" stopIfTrue="1">
      <formula>38353</formula>
      <formula>38503</formula>
    </cfRule>
    <cfRule type="cellIs" priority="2" dxfId="0" operator="between" stopIfTrue="1">
      <formula>38504</formula>
      <formula>38717</formula>
    </cfRule>
  </conditionalFormatting>
  <dataValidations count="1">
    <dataValidation type="date" allowBlank="1" showInputMessage="1" showErrorMessage="1" sqref="B3">
      <formula1>38353</formula1>
      <formula2>38717</formula2>
    </dataValidation>
  </dataValidations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2010-11-16T10:29:13Z</cp:lastPrinted>
  <dcterms:created xsi:type="dcterms:W3CDTF">2008-01-16T09:48:44Z</dcterms:created>
  <dcterms:modified xsi:type="dcterms:W3CDTF">2012-02-24T11:32:33Z</dcterms:modified>
  <cp:category/>
  <cp:version/>
  <cp:contentType/>
  <cp:contentStatus/>
</cp:coreProperties>
</file>