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.babraj\Desktop\Publikacja\Zmiana planu finansowego 15.12\"/>
    </mc:Choice>
  </mc:AlternateContent>
  <bookViews>
    <workbookView xWindow="0" yWindow="0" windowWidth="28800" windowHeight="11505" tabRatio="915"/>
  </bookViews>
  <sheets>
    <sheet name="NFZ" sheetId="23" r:id="rId1"/>
    <sheet name="CENTRALA" sheetId="22" r:id="rId2"/>
    <sheet name="Razem OW" sheetId="20" r:id="rId3"/>
    <sheet name="Dolnośląski" sheetId="19" r:id="rId4"/>
    <sheet name="KujawskoPomorski" sheetId="18" r:id="rId5"/>
    <sheet name="Lubelski" sheetId="17" r:id="rId6"/>
    <sheet name="Lubuski" sheetId="16" r:id="rId7"/>
    <sheet name="Łódzki" sheetId="15" r:id="rId8"/>
    <sheet name="Małopolski" sheetId="14" r:id="rId9"/>
    <sheet name="Mazowiecki" sheetId="13" r:id="rId10"/>
    <sheet name="Opolski" sheetId="12" r:id="rId11"/>
    <sheet name="Podkarpacki" sheetId="11" r:id="rId12"/>
    <sheet name="Podlaski" sheetId="10" r:id="rId13"/>
    <sheet name="Pomorski" sheetId="9" r:id="rId14"/>
    <sheet name="Śląski" sheetId="8" r:id="rId15"/>
    <sheet name="Świętokrzyski" sheetId="7" r:id="rId16"/>
    <sheet name="WarmińskoMazurski" sheetId="6" r:id="rId17"/>
    <sheet name="Wielkopolski" sheetId="5" r:id="rId18"/>
    <sheet name="Zachodniopomorski" sheetId="3" r:id="rId19"/>
  </sheets>
  <externalReferences>
    <externalReference r:id="rId20"/>
    <externalReference r:id="rId21"/>
    <externalReference r:id="rId22"/>
    <externalReference r:id="rId23"/>
  </externalReferences>
  <definedNames>
    <definedName name="___C">[0]!___C</definedName>
    <definedName name="__C">[0]!__C</definedName>
    <definedName name="_1_0_0kos">[1]plan!#REF!</definedName>
    <definedName name="_2_0_0ra">[1]plan!#REF!</definedName>
    <definedName name="_C" localSheetId="2">'Razem OW'!_C</definedName>
    <definedName name="_C" localSheetId="18">Zachodniopomorski!_C</definedName>
    <definedName name="_C">'Razem OW'!_C</definedName>
    <definedName name="_xlnm._FilterDatabase" localSheetId="16" hidden="1">WarmińskoMazurski!$A$6:$C$64</definedName>
    <definedName name="A" localSheetId="2">'Razem OW'!A</definedName>
    <definedName name="A" localSheetId="18">Zachodniopomorski!A</definedName>
    <definedName name="A">'Razem OW'!A</definedName>
    <definedName name="A_2">[0]!A_2</definedName>
    <definedName name="aa" localSheetId="2">'Razem OW'!aa</definedName>
    <definedName name="aa" localSheetId="18">Zachodniopomorski!aa</definedName>
    <definedName name="aa">'Razem OW'!aa</definedName>
    <definedName name="aa_2">[0]!aa_2</definedName>
    <definedName name="B">[0]!B</definedName>
    <definedName name="BILANS">[2]plan!#REF!</definedName>
    <definedName name="BILANSSPZ">[2]plan!#REF!</definedName>
    <definedName name="BV" localSheetId="2">'Razem OW'!BV</definedName>
    <definedName name="BV" localSheetId="18">Zachodniopomorski!BV</definedName>
    <definedName name="BV">'Razem OW'!BV</definedName>
    <definedName name="cr" localSheetId="2">'Razem OW'!cr</definedName>
    <definedName name="cr" localSheetId="18">Zachodniopomorski!cr</definedName>
    <definedName name="cr">'Razem OW'!cr</definedName>
    <definedName name="d" localSheetId="2">'Razem OW'!d</definedName>
    <definedName name="d" localSheetId="18">Zachodniopomorski!d</definedName>
    <definedName name="d">'Razem OW'!d</definedName>
    <definedName name="depozyty">#REF!</definedName>
    <definedName name="g">[0]!g</definedName>
    <definedName name="koszty">[1]plan!#REF!</definedName>
    <definedName name="licznikn">#REF!</definedName>
    <definedName name="licznikr">#REF!</definedName>
    <definedName name="licznikz">#REF!</definedName>
    <definedName name="mn" localSheetId="2">'Razem OW'!mn</definedName>
    <definedName name="mn" localSheetId="18">Zachodniopomorski!mn</definedName>
    <definedName name="mn">'Razem OW'!mn</definedName>
    <definedName name="mon" localSheetId="2">'Razem OW'!mon</definedName>
    <definedName name="mon" localSheetId="18">Zachodniopomorski!mon</definedName>
    <definedName name="mon">'Razem OW'!mon</definedName>
    <definedName name="naleznosci">#REF!</definedName>
    <definedName name="_xlnm.Print_Area" localSheetId="1">CENTRALA!$A$1:$F$65</definedName>
    <definedName name="_xlnm.Print_Area" localSheetId="3">Dolnośląski!$A$1:$F$65</definedName>
    <definedName name="_xlnm.Print_Area" localSheetId="4">KujawskoPomorski!$A$1:$F$65</definedName>
    <definedName name="_xlnm.Print_Area" localSheetId="5">Lubelski!$A$1:$F$65</definedName>
    <definedName name="_xlnm.Print_Area" localSheetId="6">Lubuski!$A$1:$F$65</definedName>
    <definedName name="_xlnm.Print_Area" localSheetId="7">Łódzki!$A$1:$F$65</definedName>
    <definedName name="_xlnm.Print_Area" localSheetId="8">Małopolski!$A$1:$F$65</definedName>
    <definedName name="_xlnm.Print_Area" localSheetId="9">Mazowiecki!$A$1:$F$65</definedName>
    <definedName name="_xlnm.Print_Area" localSheetId="0">NFZ!$A$1:$F$93</definedName>
    <definedName name="_xlnm.Print_Area" localSheetId="10">Opolski!$A$1:$F$65</definedName>
    <definedName name="_xlnm.Print_Area" localSheetId="11">Podkarpacki!$A$1:$F$65</definedName>
    <definedName name="_xlnm.Print_Area" localSheetId="12">Podlaski!$A$1:$F$65</definedName>
    <definedName name="_xlnm.Print_Area" localSheetId="13">Pomorski!$A$1:$F$65</definedName>
    <definedName name="_xlnm.Print_Area" localSheetId="2">'Razem OW'!$A$1:$F$65</definedName>
    <definedName name="_xlnm.Print_Area" localSheetId="14">Śląski!$A$1:$F$65</definedName>
    <definedName name="_xlnm.Print_Area" localSheetId="15">Świętokrzyski!$A$1:$F$65</definedName>
    <definedName name="_xlnm.Print_Area" localSheetId="16">WarmińskoMazurski!$A$1:$F$65</definedName>
    <definedName name="_xlnm.Print_Area" localSheetId="17">Wielkopolski!$A$1:$F$65</definedName>
    <definedName name="_xlnm.Print_Area" localSheetId="18">Zachodniopomorski!$A$1:$F$65</definedName>
    <definedName name="PETLA">[3]!PETLA</definedName>
    <definedName name="rach1">#REF!</definedName>
    <definedName name="rach2">#REF!</definedName>
    <definedName name="rach3">#REF!</definedName>
    <definedName name="rgds" localSheetId="2">'Razem OW'!rgds</definedName>
    <definedName name="rgds" localSheetId="18">Zachodniopomorski!rgds</definedName>
    <definedName name="rgds">'Razem OW'!rgds</definedName>
    <definedName name="_xlnm.Print_Titles" localSheetId="0">NFZ!$1:$5</definedName>
    <definedName name="wybkosz1">#REF!</definedName>
    <definedName name="wybkosz2">#REF!</definedName>
    <definedName name="za" localSheetId="2">'Razem OW'!za</definedName>
    <definedName name="za" localSheetId="18">Zachodniopomorski!za</definedName>
    <definedName name="za">'Razem OW'!za</definedName>
  </definedNames>
  <calcPr calcId="152511" fullPrecision="0"/>
</workbook>
</file>

<file path=xl/calcChain.xml><?xml version="1.0" encoding="utf-8"?>
<calcChain xmlns="http://schemas.openxmlformats.org/spreadsheetml/2006/main">
  <c r="C65" i="3" l="1"/>
  <c r="C64" i="3"/>
  <c r="C63" i="3"/>
  <c r="C62" i="3"/>
  <c r="C61" i="3"/>
  <c r="C59" i="3"/>
  <c r="C58" i="3"/>
  <c r="C57" i="3"/>
  <c r="C56" i="3"/>
  <c r="C55" i="3"/>
  <c r="C54" i="3"/>
  <c r="C53" i="3"/>
  <c r="C51" i="3"/>
  <c r="C50" i="3"/>
  <c r="C49" i="3"/>
  <c r="C48" i="3"/>
  <c r="C47" i="3"/>
  <c r="C46" i="3"/>
  <c r="C45" i="3"/>
  <c r="C44" i="3"/>
  <c r="C43" i="3"/>
  <c r="C41" i="3"/>
  <c r="C40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5" i="5"/>
  <c r="C64" i="5"/>
  <c r="C63" i="5"/>
  <c r="C62" i="5"/>
  <c r="C61" i="5"/>
  <c r="C59" i="5"/>
  <c r="C58" i="5"/>
  <c r="C57" i="5"/>
  <c r="C56" i="5"/>
  <c r="C55" i="5"/>
  <c r="C54" i="5"/>
  <c r="C53" i="5"/>
  <c r="C51" i="5"/>
  <c r="C50" i="5"/>
  <c r="C49" i="5"/>
  <c r="C48" i="5"/>
  <c r="C47" i="5"/>
  <c r="C46" i="5"/>
  <c r="C45" i="5"/>
  <c r="C44" i="5"/>
  <c r="C43" i="5"/>
  <c r="C41" i="5"/>
  <c r="C40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5" i="6"/>
  <c r="C64" i="6"/>
  <c r="C63" i="6"/>
  <c r="C62" i="6"/>
  <c r="C61" i="6"/>
  <c r="C59" i="6"/>
  <c r="C58" i="6"/>
  <c r="C57" i="6"/>
  <c r="C56" i="6"/>
  <c r="C55" i="6"/>
  <c r="C54" i="6"/>
  <c r="C53" i="6"/>
  <c r="C51" i="6"/>
  <c r="C50" i="6"/>
  <c r="C49" i="6"/>
  <c r="C48" i="6"/>
  <c r="C47" i="6"/>
  <c r="C46" i="6"/>
  <c r="C45" i="6"/>
  <c r="C44" i="6"/>
  <c r="C43" i="6"/>
  <c r="C41" i="6"/>
  <c r="C40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5" i="7"/>
  <c r="C64" i="7"/>
  <c r="C63" i="7"/>
  <c r="C62" i="7"/>
  <c r="C61" i="7"/>
  <c r="C59" i="7"/>
  <c r="C58" i="7"/>
  <c r="C57" i="7"/>
  <c r="C56" i="7"/>
  <c r="C55" i="7"/>
  <c r="C54" i="7"/>
  <c r="C53" i="7"/>
  <c r="C51" i="7"/>
  <c r="C50" i="7"/>
  <c r="C49" i="7"/>
  <c r="C48" i="7"/>
  <c r="C47" i="7"/>
  <c r="C46" i="7"/>
  <c r="C45" i="7"/>
  <c r="C44" i="7"/>
  <c r="C43" i="7"/>
  <c r="C41" i="7"/>
  <c r="C40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5" i="8"/>
  <c r="C64" i="8"/>
  <c r="D64" i="8" s="1"/>
  <c r="C63" i="8"/>
  <c r="C62" i="8"/>
  <c r="D62" i="8" s="1"/>
  <c r="C61" i="8"/>
  <c r="C59" i="8"/>
  <c r="C58" i="8"/>
  <c r="C57" i="8"/>
  <c r="C56" i="8"/>
  <c r="C55" i="8"/>
  <c r="C54" i="8"/>
  <c r="C53" i="8"/>
  <c r="C51" i="8"/>
  <c r="C50" i="8"/>
  <c r="C49" i="8"/>
  <c r="C48" i="8"/>
  <c r="C47" i="8"/>
  <c r="C46" i="8"/>
  <c r="C45" i="8"/>
  <c r="C44" i="8"/>
  <c r="C43" i="8"/>
  <c r="C41" i="8"/>
  <c r="C40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5" i="9"/>
  <c r="C64" i="9"/>
  <c r="C63" i="9"/>
  <c r="C62" i="9"/>
  <c r="C61" i="9"/>
  <c r="C59" i="9"/>
  <c r="C58" i="9"/>
  <c r="C57" i="9"/>
  <c r="C56" i="9"/>
  <c r="C55" i="9"/>
  <c r="C54" i="9"/>
  <c r="C53" i="9"/>
  <c r="C51" i="9"/>
  <c r="C50" i="9"/>
  <c r="C49" i="9"/>
  <c r="C48" i="9"/>
  <c r="C47" i="9"/>
  <c r="C46" i="9"/>
  <c r="C45" i="9"/>
  <c r="C44" i="9"/>
  <c r="C43" i="9"/>
  <c r="C41" i="9"/>
  <c r="C40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5" i="10"/>
  <c r="C64" i="10"/>
  <c r="C63" i="10"/>
  <c r="C62" i="10"/>
  <c r="C61" i="10"/>
  <c r="C59" i="10"/>
  <c r="C58" i="10"/>
  <c r="C57" i="10"/>
  <c r="C56" i="10"/>
  <c r="C55" i="10"/>
  <c r="C54" i="10"/>
  <c r="C53" i="10"/>
  <c r="C51" i="10"/>
  <c r="C50" i="10"/>
  <c r="C49" i="10"/>
  <c r="C48" i="10"/>
  <c r="C47" i="10"/>
  <c r="C46" i="10"/>
  <c r="C45" i="10"/>
  <c r="C44" i="10"/>
  <c r="C43" i="10"/>
  <c r="C41" i="10"/>
  <c r="C40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5" i="11"/>
  <c r="C64" i="11"/>
  <c r="C63" i="11"/>
  <c r="C62" i="11"/>
  <c r="C61" i="11"/>
  <c r="C59" i="11"/>
  <c r="C58" i="11"/>
  <c r="C57" i="11"/>
  <c r="C56" i="11"/>
  <c r="C55" i="11"/>
  <c r="C54" i="11"/>
  <c r="C53" i="11"/>
  <c r="C51" i="11"/>
  <c r="C50" i="11"/>
  <c r="C49" i="11"/>
  <c r="C48" i="11"/>
  <c r="C47" i="11"/>
  <c r="C46" i="11"/>
  <c r="C45" i="11"/>
  <c r="C44" i="11"/>
  <c r="C43" i="11"/>
  <c r="C41" i="11"/>
  <c r="C40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5" i="12"/>
  <c r="D65" i="12" s="1"/>
  <c r="C64" i="12"/>
  <c r="C63" i="12"/>
  <c r="C62" i="12"/>
  <c r="C61" i="12"/>
  <c r="C59" i="12"/>
  <c r="C58" i="12"/>
  <c r="C57" i="12"/>
  <c r="C56" i="12"/>
  <c r="C55" i="12"/>
  <c r="C54" i="12"/>
  <c r="C53" i="12"/>
  <c r="C51" i="12"/>
  <c r="C50" i="12"/>
  <c r="C49" i="12"/>
  <c r="C48" i="12"/>
  <c r="C47" i="12"/>
  <c r="C46" i="12"/>
  <c r="C45" i="12"/>
  <c r="C44" i="12"/>
  <c r="C43" i="12"/>
  <c r="C41" i="12"/>
  <c r="C40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5" i="13"/>
  <c r="C64" i="13"/>
  <c r="C63" i="13"/>
  <c r="C62" i="13"/>
  <c r="C61" i="13"/>
  <c r="C59" i="13"/>
  <c r="C58" i="13"/>
  <c r="C57" i="13"/>
  <c r="C56" i="13"/>
  <c r="C55" i="13"/>
  <c r="C54" i="13"/>
  <c r="C53" i="13"/>
  <c r="C51" i="13"/>
  <c r="C50" i="13"/>
  <c r="C49" i="13"/>
  <c r="C48" i="13"/>
  <c r="C47" i="13"/>
  <c r="C46" i="13"/>
  <c r="C45" i="13"/>
  <c r="C44" i="13"/>
  <c r="C43" i="13"/>
  <c r="C41" i="13"/>
  <c r="C40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5" i="14"/>
  <c r="C64" i="14"/>
  <c r="C63" i="14"/>
  <c r="C62" i="14"/>
  <c r="C61" i="14"/>
  <c r="C59" i="14"/>
  <c r="C58" i="14"/>
  <c r="C57" i="14"/>
  <c r="C56" i="14"/>
  <c r="C55" i="14"/>
  <c r="C54" i="14"/>
  <c r="C53" i="14"/>
  <c r="C51" i="14"/>
  <c r="C50" i="14"/>
  <c r="C49" i="14"/>
  <c r="C48" i="14"/>
  <c r="C47" i="14"/>
  <c r="C46" i="14"/>
  <c r="C45" i="14"/>
  <c r="C44" i="14"/>
  <c r="C43" i="14"/>
  <c r="C41" i="14"/>
  <c r="C40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5" i="15"/>
  <c r="C64" i="15"/>
  <c r="C63" i="15"/>
  <c r="C62" i="15"/>
  <c r="C61" i="15"/>
  <c r="C59" i="15"/>
  <c r="C58" i="15"/>
  <c r="C57" i="15"/>
  <c r="C56" i="15"/>
  <c r="C55" i="15"/>
  <c r="C54" i="15"/>
  <c r="C53" i="15"/>
  <c r="C51" i="15"/>
  <c r="C50" i="15"/>
  <c r="C49" i="15"/>
  <c r="C48" i="15"/>
  <c r="C47" i="15"/>
  <c r="C46" i="15"/>
  <c r="C45" i="15"/>
  <c r="C44" i="15"/>
  <c r="C43" i="15"/>
  <c r="C41" i="15"/>
  <c r="C40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5" i="16"/>
  <c r="C64" i="16"/>
  <c r="C63" i="16"/>
  <c r="C62" i="16"/>
  <c r="C61" i="16"/>
  <c r="C59" i="16"/>
  <c r="C58" i="16"/>
  <c r="C57" i="16"/>
  <c r="C56" i="16"/>
  <c r="C55" i="16"/>
  <c r="C54" i="16"/>
  <c r="C53" i="16"/>
  <c r="C51" i="16"/>
  <c r="C50" i="16"/>
  <c r="C49" i="16"/>
  <c r="C48" i="16"/>
  <c r="C47" i="16"/>
  <c r="C46" i="16"/>
  <c r="C45" i="16"/>
  <c r="C44" i="16"/>
  <c r="C43" i="16"/>
  <c r="C41" i="16"/>
  <c r="C40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5" i="17"/>
  <c r="C64" i="17"/>
  <c r="C63" i="17"/>
  <c r="C62" i="17"/>
  <c r="C61" i="17"/>
  <c r="C59" i="17"/>
  <c r="C58" i="17"/>
  <c r="C57" i="17"/>
  <c r="C56" i="17"/>
  <c r="C55" i="17"/>
  <c r="C54" i="17"/>
  <c r="C53" i="17"/>
  <c r="C51" i="17"/>
  <c r="C50" i="17"/>
  <c r="C49" i="17"/>
  <c r="C48" i="17"/>
  <c r="C47" i="17"/>
  <c r="C46" i="17"/>
  <c r="C45" i="17"/>
  <c r="C44" i="17"/>
  <c r="C43" i="17"/>
  <c r="C41" i="17"/>
  <c r="C40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5" i="18"/>
  <c r="C64" i="18"/>
  <c r="C63" i="18"/>
  <c r="C62" i="18"/>
  <c r="C61" i="18"/>
  <c r="C59" i="18"/>
  <c r="C58" i="18"/>
  <c r="C57" i="18"/>
  <c r="C56" i="18"/>
  <c r="C55" i="18"/>
  <c r="C54" i="18"/>
  <c r="C53" i="18"/>
  <c r="C51" i="18"/>
  <c r="C50" i="18"/>
  <c r="C49" i="18"/>
  <c r="C48" i="18"/>
  <c r="C47" i="18"/>
  <c r="C46" i="18"/>
  <c r="C45" i="18"/>
  <c r="C44" i="18"/>
  <c r="C43" i="18"/>
  <c r="C41" i="18"/>
  <c r="C40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5" i="19"/>
  <c r="C64" i="19"/>
  <c r="C63" i="19"/>
  <c r="C62" i="19"/>
  <c r="C61" i="19"/>
  <c r="C59" i="19"/>
  <c r="C58" i="19"/>
  <c r="C57" i="19"/>
  <c r="C56" i="19"/>
  <c r="C55" i="19"/>
  <c r="C54" i="19"/>
  <c r="C53" i="19"/>
  <c r="C51" i="19"/>
  <c r="C50" i="19"/>
  <c r="C49" i="19"/>
  <c r="C48" i="19"/>
  <c r="C47" i="19"/>
  <c r="C46" i="19"/>
  <c r="C45" i="19"/>
  <c r="C44" i="19"/>
  <c r="C43" i="19"/>
  <c r="C41" i="19"/>
  <c r="C40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65" i="22"/>
  <c r="D65" i="22" s="1"/>
  <c r="C64" i="22"/>
  <c r="C63" i="22"/>
  <c r="C62" i="22"/>
  <c r="C61" i="22"/>
  <c r="C59" i="22"/>
  <c r="C58" i="22"/>
  <c r="C57" i="22"/>
  <c r="C56" i="22"/>
  <c r="C55" i="22"/>
  <c r="C54" i="22"/>
  <c r="C53" i="22"/>
  <c r="C51" i="22"/>
  <c r="C50" i="22"/>
  <c r="C49" i="22"/>
  <c r="C48" i="22"/>
  <c r="C47" i="22"/>
  <c r="C46" i="22"/>
  <c r="C45" i="22"/>
  <c r="C44" i="22"/>
  <c r="C43" i="22"/>
  <c r="C41" i="22"/>
  <c r="C40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89" i="23"/>
  <c r="C88" i="23"/>
  <c r="C81" i="23"/>
  <c r="C25" i="23"/>
  <c r="C23" i="23"/>
  <c r="C22" i="23"/>
  <c r="C21" i="23"/>
  <c r="C20" i="23"/>
  <c r="C18" i="23"/>
  <c r="C17" i="23"/>
  <c r="C16" i="23"/>
  <c r="C14" i="23"/>
  <c r="C13" i="23"/>
  <c r="C11" i="23"/>
  <c r="C10" i="23"/>
  <c r="C8" i="23"/>
  <c r="C7" i="23"/>
  <c r="D9" i="3" l="1"/>
  <c r="D9" i="5"/>
  <c r="D9" i="6"/>
  <c r="D63" i="7"/>
  <c r="D9" i="7"/>
  <c r="D9" i="8"/>
  <c r="D9" i="9"/>
  <c r="D9" i="10"/>
  <c r="D9" i="11"/>
  <c r="D9" i="12"/>
  <c r="D9" i="13"/>
  <c r="D9" i="14"/>
  <c r="D9" i="15"/>
  <c r="D9" i="16"/>
  <c r="D9" i="17"/>
  <c r="D9" i="18"/>
  <c r="D9" i="19"/>
  <c r="D62" i="22"/>
  <c r="D18" i="23"/>
  <c r="D81" i="23" l="1"/>
  <c r="D89" i="23"/>
  <c r="D88" i="23"/>
  <c r="D64" i="22"/>
  <c r="D61" i="22"/>
  <c r="D65" i="3" l="1"/>
  <c r="D64" i="3"/>
  <c r="D62" i="3"/>
  <c r="D65" i="5"/>
  <c r="D62" i="5"/>
  <c r="D65" i="6"/>
  <c r="D62" i="6"/>
  <c r="D65" i="7"/>
  <c r="D62" i="7"/>
  <c r="D65" i="8"/>
  <c r="D61" i="8"/>
  <c r="D65" i="9"/>
  <c r="D64" i="9"/>
  <c r="D62" i="9"/>
  <c r="D65" i="10"/>
  <c r="D64" i="10"/>
  <c r="D62" i="10"/>
  <c r="D65" i="11"/>
  <c r="D64" i="11"/>
  <c r="D62" i="11"/>
  <c r="D64" i="12"/>
  <c r="D62" i="12"/>
  <c r="D65" i="13"/>
  <c r="D64" i="13"/>
  <c r="D62" i="13"/>
  <c r="D65" i="14"/>
  <c r="D62" i="14"/>
  <c r="D65" i="15"/>
  <c r="D64" i="15"/>
  <c r="D62" i="15"/>
  <c r="D65" i="16"/>
  <c r="D64" i="16"/>
  <c r="D62" i="16"/>
  <c r="D65" i="17"/>
  <c r="D64" i="17"/>
  <c r="D62" i="17"/>
  <c r="D61" i="17"/>
  <c r="D65" i="18"/>
  <c r="D64" i="18"/>
  <c r="D62" i="18"/>
  <c r="D65" i="19"/>
  <c r="D64" i="19"/>
  <c r="D62" i="19"/>
  <c r="D22" i="23" l="1"/>
  <c r="C60" i="3"/>
  <c r="D57" i="3"/>
  <c r="C52" i="3"/>
  <c r="D48" i="3"/>
  <c r="D44" i="3"/>
  <c r="D37" i="3"/>
  <c r="D33" i="3"/>
  <c r="D29" i="3"/>
  <c r="D25" i="3"/>
  <c r="D17" i="3"/>
  <c r="C38" i="3"/>
  <c r="C6" i="3"/>
  <c r="D61" i="5"/>
  <c r="D59" i="5"/>
  <c r="D56" i="5"/>
  <c r="D53" i="5"/>
  <c r="D51" i="5"/>
  <c r="D50" i="5"/>
  <c r="D47" i="5"/>
  <c r="D46" i="5"/>
  <c r="D43" i="5"/>
  <c r="D36" i="5"/>
  <c r="D35" i="5"/>
  <c r="D33" i="5"/>
  <c r="D32" i="5"/>
  <c r="D28" i="5"/>
  <c r="D27" i="5"/>
  <c r="D23" i="5"/>
  <c r="D20" i="5"/>
  <c r="D17" i="5"/>
  <c r="D16" i="5"/>
  <c r="D15" i="5"/>
  <c r="D12" i="5"/>
  <c r="D11" i="5"/>
  <c r="D8" i="5"/>
  <c r="C60" i="6"/>
  <c r="D57" i="6"/>
  <c r="D50" i="6"/>
  <c r="D46" i="6"/>
  <c r="D41" i="6"/>
  <c r="D37" i="6"/>
  <c r="D35" i="6"/>
  <c r="D33" i="6"/>
  <c r="D31" i="6"/>
  <c r="D27" i="6"/>
  <c r="D21" i="6"/>
  <c r="D20" i="6"/>
  <c r="D17" i="6"/>
  <c r="D16" i="6"/>
  <c r="D12" i="6"/>
  <c r="D61" i="7"/>
  <c r="D57" i="7"/>
  <c r="D56" i="7"/>
  <c r="D55" i="7"/>
  <c r="D51" i="7"/>
  <c r="D50" i="7"/>
  <c r="D47" i="7"/>
  <c r="D46" i="7"/>
  <c r="D43" i="7"/>
  <c r="D41" i="7"/>
  <c r="D37" i="7"/>
  <c r="D36" i="7"/>
  <c r="D32" i="7"/>
  <c r="D31" i="7"/>
  <c r="D28" i="7"/>
  <c r="D21" i="7"/>
  <c r="D20" i="7"/>
  <c r="D19" i="7"/>
  <c r="D16" i="7"/>
  <c r="D15" i="7"/>
  <c r="D12" i="7"/>
  <c r="D11" i="7"/>
  <c r="D8" i="7"/>
  <c r="D7" i="7"/>
  <c r="D57" i="8"/>
  <c r="C52" i="8"/>
  <c r="D51" i="8"/>
  <c r="D47" i="8"/>
  <c r="D46" i="8"/>
  <c r="D44" i="8"/>
  <c r="D43" i="8"/>
  <c r="D37" i="8"/>
  <c r="D36" i="8"/>
  <c r="D33" i="8"/>
  <c r="D32" i="8"/>
  <c r="D29" i="8"/>
  <c r="D28" i="8"/>
  <c r="D27" i="8"/>
  <c r="D57" i="9"/>
  <c r="D50" i="9"/>
  <c r="D48" i="9"/>
  <c r="D46" i="9"/>
  <c r="D44" i="9"/>
  <c r="D41" i="9"/>
  <c r="D37" i="9"/>
  <c r="D35" i="9"/>
  <c r="D33" i="9"/>
  <c r="D31" i="9"/>
  <c r="D29" i="9"/>
  <c r="D27" i="9"/>
  <c r="D25" i="9"/>
  <c r="D21" i="9"/>
  <c r="D19" i="9"/>
  <c r="D17" i="9"/>
  <c r="D15" i="9"/>
  <c r="D13" i="9"/>
  <c r="D7" i="9"/>
  <c r="D57" i="10"/>
  <c r="D44" i="10"/>
  <c r="D37" i="10"/>
  <c r="D33" i="10"/>
  <c r="D29" i="10"/>
  <c r="D27" i="10"/>
  <c r="D25" i="10"/>
  <c r="D23" i="10"/>
  <c r="D21" i="10"/>
  <c r="D19" i="10"/>
  <c r="D17" i="10"/>
  <c r="D15" i="10"/>
  <c r="D13" i="10"/>
  <c r="D61" i="11"/>
  <c r="D51" i="11"/>
  <c r="D47" i="11"/>
  <c r="D46" i="11"/>
  <c r="D43" i="11"/>
  <c r="D37" i="11"/>
  <c r="D35" i="11"/>
  <c r="D33" i="11"/>
  <c r="D31" i="11"/>
  <c r="D29" i="11"/>
  <c r="D25" i="11"/>
  <c r="D23" i="11"/>
  <c r="D21" i="11"/>
  <c r="D20" i="11"/>
  <c r="D17" i="11"/>
  <c r="D16" i="11"/>
  <c r="D15" i="11"/>
  <c r="D13" i="11"/>
  <c r="D12" i="11"/>
  <c r="D8" i="11"/>
  <c r="D7" i="11"/>
  <c r="D61" i="12"/>
  <c r="D57" i="12"/>
  <c r="D56" i="12"/>
  <c r="D51" i="12"/>
  <c r="D50" i="12"/>
  <c r="D47" i="12"/>
  <c r="D44" i="12"/>
  <c r="D43" i="12"/>
  <c r="D36" i="12"/>
  <c r="D32" i="12"/>
  <c r="D29" i="12"/>
  <c r="D28" i="12"/>
  <c r="D23" i="12"/>
  <c r="D21" i="12"/>
  <c r="D19" i="12"/>
  <c r="D17" i="12"/>
  <c r="D15" i="12"/>
  <c r="D11" i="12"/>
  <c r="D7" i="12"/>
  <c r="D56" i="13"/>
  <c r="D50" i="13"/>
  <c r="D46" i="13"/>
  <c r="D41" i="13"/>
  <c r="D36" i="13"/>
  <c r="D32" i="13"/>
  <c r="D31" i="13"/>
  <c r="D30" i="13"/>
  <c r="D28" i="13"/>
  <c r="D27" i="13"/>
  <c r="D26" i="13"/>
  <c r="D23" i="13"/>
  <c r="D21" i="13"/>
  <c r="D20" i="13"/>
  <c r="D19" i="13"/>
  <c r="D17" i="13"/>
  <c r="D16" i="13"/>
  <c r="D13" i="13"/>
  <c r="D12" i="13"/>
  <c r="D11" i="13"/>
  <c r="D8" i="13"/>
  <c r="D57" i="14"/>
  <c r="D56" i="14"/>
  <c r="D51" i="14"/>
  <c r="D48" i="14"/>
  <c r="D47" i="14"/>
  <c r="D44" i="14"/>
  <c r="D23" i="14"/>
  <c r="D21" i="14"/>
  <c r="D20" i="14"/>
  <c r="D17" i="14"/>
  <c r="D16" i="14"/>
  <c r="D15" i="14"/>
  <c r="D13" i="14"/>
  <c r="D12" i="14"/>
  <c r="D8" i="14"/>
  <c r="D61" i="15"/>
  <c r="D59" i="15"/>
  <c r="D56" i="15"/>
  <c r="D55" i="15"/>
  <c r="D50" i="15"/>
  <c r="D46" i="15"/>
  <c r="D41" i="15"/>
  <c r="D35" i="15"/>
  <c r="D31" i="15"/>
  <c r="D27" i="15"/>
  <c r="D23" i="15"/>
  <c r="D21" i="15"/>
  <c r="D20" i="15"/>
  <c r="D17" i="15"/>
  <c r="D16" i="15"/>
  <c r="D15" i="15"/>
  <c r="D13" i="15"/>
  <c r="D12" i="15"/>
  <c r="D8" i="15"/>
  <c r="D63" i="16"/>
  <c r="D58" i="16"/>
  <c r="D57" i="16"/>
  <c r="D54" i="16"/>
  <c r="D41" i="16"/>
  <c r="D37" i="16"/>
  <c r="D34" i="16"/>
  <c r="D30" i="16"/>
  <c r="D29" i="16"/>
  <c r="D27" i="16"/>
  <c r="D26" i="16"/>
  <c r="D22" i="16"/>
  <c r="D21" i="16"/>
  <c r="D19" i="16"/>
  <c r="D18" i="16"/>
  <c r="D17" i="16"/>
  <c r="D14" i="16"/>
  <c r="D13" i="16"/>
  <c r="D7" i="16"/>
  <c r="D56" i="17"/>
  <c r="D55" i="17"/>
  <c r="D53" i="17"/>
  <c r="D51" i="17"/>
  <c r="D47" i="17"/>
  <c r="D46" i="17"/>
  <c r="D43" i="17"/>
  <c r="D41" i="17"/>
  <c r="D36" i="17"/>
  <c r="D35" i="17"/>
  <c r="D32" i="17"/>
  <c r="D31" i="17"/>
  <c r="D28" i="17"/>
  <c r="D27" i="17"/>
  <c r="D23" i="17"/>
  <c r="D19" i="17"/>
  <c r="D15" i="17"/>
  <c r="D12" i="17"/>
  <c r="D11" i="17"/>
  <c r="D8" i="17"/>
  <c r="D58" i="18"/>
  <c r="D57" i="18"/>
  <c r="D49" i="18"/>
  <c r="D45" i="18"/>
  <c r="D44" i="18"/>
  <c r="D40" i="18"/>
  <c r="D37" i="18"/>
  <c r="D33" i="18"/>
  <c r="D29" i="18"/>
  <c r="D25" i="18"/>
  <c r="D57" i="22"/>
  <c r="C52" i="22"/>
  <c r="D53" i="22"/>
  <c r="C42" i="22"/>
  <c r="D23" i="22"/>
  <c r="D21" i="22"/>
  <c r="D19" i="22"/>
  <c r="D17" i="22"/>
  <c r="D16" i="22"/>
  <c r="D15" i="22"/>
  <c r="D13" i="22"/>
  <c r="D11" i="22"/>
  <c r="D9" i="22"/>
  <c r="D8" i="22"/>
  <c r="C6" i="22"/>
  <c r="D63" i="22"/>
  <c r="C60" i="22"/>
  <c r="D59" i="22"/>
  <c r="D58" i="22"/>
  <c r="D56" i="22"/>
  <c r="D55" i="22"/>
  <c r="D54" i="22"/>
  <c r="D51" i="22"/>
  <c r="D50" i="22"/>
  <c r="D49" i="22"/>
  <c r="D48" i="22"/>
  <c r="D47" i="22"/>
  <c r="D46" i="22"/>
  <c r="D45" i="22"/>
  <c r="D44" i="22"/>
  <c r="D41" i="22"/>
  <c r="D40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2" i="22"/>
  <c r="D20" i="22"/>
  <c r="D18" i="22"/>
  <c r="D14" i="22"/>
  <c r="D12" i="22"/>
  <c r="D10" i="22"/>
  <c r="D63" i="17"/>
  <c r="D59" i="17"/>
  <c r="D58" i="17"/>
  <c r="D57" i="17"/>
  <c r="D54" i="17"/>
  <c r="D50" i="17"/>
  <c r="D49" i="17"/>
  <c r="D48" i="17"/>
  <c r="D45" i="17"/>
  <c r="D44" i="17"/>
  <c r="D40" i="17"/>
  <c r="D37" i="17"/>
  <c r="D34" i="17"/>
  <c r="D33" i="17"/>
  <c r="D30" i="17"/>
  <c r="D29" i="17"/>
  <c r="D26" i="17"/>
  <c r="D25" i="17"/>
  <c r="D22" i="17"/>
  <c r="D21" i="17"/>
  <c r="D20" i="17"/>
  <c r="D18" i="17"/>
  <c r="D17" i="17"/>
  <c r="D16" i="17"/>
  <c r="D14" i="17"/>
  <c r="D10" i="17"/>
  <c r="D61" i="16"/>
  <c r="D59" i="16"/>
  <c r="D56" i="16"/>
  <c r="D55" i="16"/>
  <c r="D53" i="16"/>
  <c r="D51" i="16"/>
  <c r="D50" i="16"/>
  <c r="D49" i="16"/>
  <c r="D48" i="16"/>
  <c r="D47" i="16"/>
  <c r="D46" i="16"/>
  <c r="D45" i="16"/>
  <c r="D44" i="16"/>
  <c r="D36" i="16"/>
  <c r="D35" i="16"/>
  <c r="D33" i="16"/>
  <c r="D32" i="16"/>
  <c r="D31" i="16"/>
  <c r="D28" i="16"/>
  <c r="D25" i="16"/>
  <c r="D23" i="16"/>
  <c r="D20" i="16"/>
  <c r="D16" i="16"/>
  <c r="D15" i="16"/>
  <c r="D12" i="16"/>
  <c r="D10" i="16"/>
  <c r="D58" i="15"/>
  <c r="D57" i="15"/>
  <c r="D54" i="15"/>
  <c r="D53" i="15"/>
  <c r="D51" i="15"/>
  <c r="D49" i="15"/>
  <c r="D48" i="15"/>
  <c r="D47" i="15"/>
  <c r="D45" i="15"/>
  <c r="D44" i="15"/>
  <c r="D43" i="15"/>
  <c r="D40" i="15"/>
  <c r="D37" i="15"/>
  <c r="D36" i="15"/>
  <c r="D34" i="15"/>
  <c r="D33" i="15"/>
  <c r="D32" i="15"/>
  <c r="D30" i="15"/>
  <c r="D29" i="15"/>
  <c r="D28" i="15"/>
  <c r="D26" i="15"/>
  <c r="D25" i="15"/>
  <c r="D22" i="15"/>
  <c r="D19" i="15"/>
  <c r="D18" i="15"/>
  <c r="D14" i="15"/>
  <c r="D10" i="15"/>
  <c r="D64" i="14"/>
  <c r="D63" i="14"/>
  <c r="D59" i="14"/>
  <c r="D58" i="14"/>
  <c r="D55" i="14"/>
  <c r="D54" i="14"/>
  <c r="D50" i="14"/>
  <c r="D49" i="14"/>
  <c r="D46" i="14"/>
  <c r="D45" i="14"/>
  <c r="D41" i="14"/>
  <c r="D40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2" i="14"/>
  <c r="D19" i="14"/>
  <c r="D18" i="14"/>
  <c r="D14" i="14"/>
  <c r="D10" i="14"/>
  <c r="D63" i="13"/>
  <c r="D59" i="13"/>
  <c r="D58" i="13"/>
  <c r="D57" i="13"/>
  <c r="D55" i="13"/>
  <c r="D54" i="13"/>
  <c r="D51" i="13"/>
  <c r="D49" i="13"/>
  <c r="D48" i="13"/>
  <c r="D47" i="13"/>
  <c r="D45" i="13"/>
  <c r="D44" i="13"/>
  <c r="D40" i="13"/>
  <c r="D37" i="13"/>
  <c r="D35" i="13"/>
  <c r="D34" i="13"/>
  <c r="D33" i="13"/>
  <c r="D29" i="13"/>
  <c r="D25" i="13"/>
  <c r="D22" i="13"/>
  <c r="D18" i="13"/>
  <c r="D15" i="13"/>
  <c r="D14" i="13"/>
  <c r="D10" i="13"/>
  <c r="D7" i="13"/>
  <c r="D63" i="12"/>
  <c r="D59" i="12"/>
  <c r="D58" i="12"/>
  <c r="D55" i="12"/>
  <c r="D54" i="12"/>
  <c r="D53" i="12"/>
  <c r="D49" i="12"/>
  <c r="D46" i="12"/>
  <c r="D45" i="12"/>
  <c r="D41" i="12"/>
  <c r="D37" i="12"/>
  <c r="D35" i="12"/>
  <c r="D34" i="12"/>
  <c r="D33" i="12"/>
  <c r="D31" i="12"/>
  <c r="D30" i="12"/>
  <c r="D27" i="12"/>
  <c r="D26" i="12"/>
  <c r="D25" i="12"/>
  <c r="D22" i="12"/>
  <c r="D20" i="12"/>
  <c r="D18" i="12"/>
  <c r="D16" i="12"/>
  <c r="D14" i="12"/>
  <c r="D13" i="12"/>
  <c r="D12" i="12"/>
  <c r="D10" i="12"/>
  <c r="D8" i="12"/>
  <c r="D63" i="11"/>
  <c r="D59" i="11"/>
  <c r="D58" i="11"/>
  <c r="D57" i="11"/>
  <c r="D56" i="11"/>
  <c r="D55" i="11"/>
  <c r="D54" i="11"/>
  <c r="D53" i="11"/>
  <c r="D50" i="11"/>
  <c r="D49" i="11"/>
  <c r="D48" i="11"/>
  <c r="D45" i="11"/>
  <c r="D44" i="11"/>
  <c r="D41" i="11"/>
  <c r="D36" i="11"/>
  <c r="D34" i="11"/>
  <c r="D32" i="11"/>
  <c r="D30" i="11"/>
  <c r="D28" i="11"/>
  <c r="D27" i="11"/>
  <c r="D26" i="11"/>
  <c r="D22" i="11"/>
  <c r="D19" i="11"/>
  <c r="D18" i="11"/>
  <c r="D14" i="11"/>
  <c r="D11" i="11"/>
  <c r="D10" i="11"/>
  <c r="D63" i="10"/>
  <c r="D61" i="10"/>
  <c r="C60" i="10"/>
  <c r="D59" i="10"/>
  <c r="D58" i="10"/>
  <c r="D56" i="10"/>
  <c r="D55" i="10"/>
  <c r="D54" i="10"/>
  <c r="D51" i="10"/>
  <c r="D50" i="10"/>
  <c r="D49" i="10"/>
  <c r="D47" i="10"/>
  <c r="D46" i="10"/>
  <c r="D45" i="10"/>
  <c r="D43" i="10"/>
  <c r="D40" i="10"/>
  <c r="D36" i="10"/>
  <c r="D35" i="10"/>
  <c r="D34" i="10"/>
  <c r="D32" i="10"/>
  <c r="D31" i="10"/>
  <c r="D30" i="10"/>
  <c r="D28" i="10"/>
  <c r="D26" i="10"/>
  <c r="D22" i="10"/>
  <c r="D20" i="10"/>
  <c r="D18" i="10"/>
  <c r="D16" i="10"/>
  <c r="D14" i="10"/>
  <c r="D12" i="10"/>
  <c r="D10" i="10"/>
  <c r="D8" i="10"/>
  <c r="D63" i="9"/>
  <c r="D59" i="9"/>
  <c r="D58" i="9"/>
  <c r="D56" i="9"/>
  <c r="D55" i="9"/>
  <c r="D54" i="9"/>
  <c r="D51" i="9"/>
  <c r="D49" i="9"/>
  <c r="D47" i="9"/>
  <c r="D45" i="9"/>
  <c r="D40" i="9"/>
  <c r="D36" i="9"/>
  <c r="D34" i="9"/>
  <c r="D32" i="9"/>
  <c r="D30" i="9"/>
  <c r="D28" i="9"/>
  <c r="D26" i="9"/>
  <c r="D23" i="9"/>
  <c r="D22" i="9"/>
  <c r="D20" i="9"/>
  <c r="D18" i="9"/>
  <c r="D16" i="9"/>
  <c r="D14" i="9"/>
  <c r="D12" i="9"/>
  <c r="D10" i="9"/>
  <c r="D8" i="9"/>
  <c r="D63" i="8"/>
  <c r="D59" i="8"/>
  <c r="D58" i="8"/>
  <c r="D56" i="8"/>
  <c r="D55" i="8"/>
  <c r="D54" i="8"/>
  <c r="D50" i="8"/>
  <c r="D49" i="8"/>
  <c r="D48" i="8"/>
  <c r="D45" i="8"/>
  <c r="D41" i="8"/>
  <c r="D40" i="8"/>
  <c r="D35" i="8"/>
  <c r="D34" i="8"/>
  <c r="D31" i="8"/>
  <c r="D30" i="8"/>
  <c r="D26" i="8"/>
  <c r="D25" i="8"/>
  <c r="D23" i="8"/>
  <c r="D22" i="8"/>
  <c r="D21" i="8"/>
  <c r="D20" i="8"/>
  <c r="D19" i="8"/>
  <c r="D18" i="8"/>
  <c r="D17" i="8"/>
  <c r="D16" i="8"/>
  <c r="D15" i="8"/>
  <c r="D14" i="8"/>
  <c r="D13" i="8"/>
  <c r="D12" i="8"/>
  <c r="D10" i="8"/>
  <c r="D8" i="8"/>
  <c r="D7" i="8"/>
  <c r="D64" i="7"/>
  <c r="D59" i="7"/>
  <c r="D58" i="7"/>
  <c r="D54" i="7"/>
  <c r="D53" i="7"/>
  <c r="D49" i="7"/>
  <c r="D48" i="7"/>
  <c r="D45" i="7"/>
  <c r="D44" i="7"/>
  <c r="D40" i="7"/>
  <c r="D35" i="7"/>
  <c r="D34" i="7"/>
  <c r="D33" i="7"/>
  <c r="D30" i="7"/>
  <c r="D29" i="7"/>
  <c r="D27" i="7"/>
  <c r="D26" i="7"/>
  <c r="D25" i="7"/>
  <c r="D23" i="7"/>
  <c r="D22" i="7"/>
  <c r="D18" i="7"/>
  <c r="D17" i="7"/>
  <c r="D14" i="7"/>
  <c r="D13" i="7"/>
  <c r="D10" i="7"/>
  <c r="D64" i="6"/>
  <c r="D63" i="6"/>
  <c r="D59" i="6"/>
  <c r="D58" i="6"/>
  <c r="D56" i="6"/>
  <c r="D55" i="6"/>
  <c r="D54" i="6"/>
  <c r="D51" i="6"/>
  <c r="D49" i="6"/>
  <c r="D48" i="6"/>
  <c r="D47" i="6"/>
  <c r="D45" i="6"/>
  <c r="D44" i="6"/>
  <c r="D43" i="6"/>
  <c r="D40" i="6"/>
  <c r="D36" i="6"/>
  <c r="D34" i="6"/>
  <c r="D32" i="6"/>
  <c r="D30" i="6"/>
  <c r="D29" i="6"/>
  <c r="D28" i="6"/>
  <c r="D26" i="6"/>
  <c r="D25" i="6"/>
  <c r="D23" i="6"/>
  <c r="D22" i="6"/>
  <c r="D19" i="6"/>
  <c r="D18" i="6"/>
  <c r="D15" i="6"/>
  <c r="D14" i="6"/>
  <c r="D13" i="6"/>
  <c r="D10" i="6"/>
  <c r="D7" i="6"/>
  <c r="D58" i="5"/>
  <c r="D57" i="5"/>
  <c r="D55" i="5"/>
  <c r="D54" i="5"/>
  <c r="D49" i="5"/>
  <c r="D48" i="5"/>
  <c r="D45" i="5"/>
  <c r="D44" i="5"/>
  <c r="D41" i="5"/>
  <c r="D40" i="5"/>
  <c r="D37" i="5"/>
  <c r="D34" i="5"/>
  <c r="D31" i="5"/>
  <c r="D30" i="5"/>
  <c r="D29" i="5"/>
  <c r="D26" i="5"/>
  <c r="D25" i="5"/>
  <c r="D22" i="5"/>
  <c r="D21" i="5"/>
  <c r="D19" i="5"/>
  <c r="D18" i="5"/>
  <c r="D14" i="5"/>
  <c r="D13" i="5"/>
  <c r="D10" i="5"/>
  <c r="D7" i="5"/>
  <c r="D63" i="3"/>
  <c r="D59" i="3"/>
  <c r="D58" i="3"/>
  <c r="D56" i="3"/>
  <c r="D55" i="3"/>
  <c r="D54" i="3"/>
  <c r="D51" i="3"/>
  <c r="D50" i="3"/>
  <c r="D49" i="3"/>
  <c r="D47" i="3"/>
  <c r="D46" i="3"/>
  <c r="D45" i="3"/>
  <c r="D43" i="3"/>
  <c r="D41" i="3"/>
  <c r="D40" i="3"/>
  <c r="D36" i="3"/>
  <c r="D35" i="3"/>
  <c r="D34" i="3"/>
  <c r="D32" i="3"/>
  <c r="D31" i="3"/>
  <c r="D30" i="3"/>
  <c r="D28" i="3"/>
  <c r="D27" i="3"/>
  <c r="D26" i="3"/>
  <c r="D23" i="3"/>
  <c r="D22" i="3"/>
  <c r="D20" i="3"/>
  <c r="D19" i="3"/>
  <c r="D18" i="3"/>
  <c r="D16" i="3"/>
  <c r="D15" i="3"/>
  <c r="D14" i="3"/>
  <c r="D12" i="3"/>
  <c r="D10" i="3"/>
  <c r="D8" i="3"/>
  <c r="D7" i="3"/>
  <c r="D61" i="18"/>
  <c r="D59" i="18"/>
  <c r="D56" i="18"/>
  <c r="D55" i="18"/>
  <c r="D53" i="18"/>
  <c r="D51" i="18"/>
  <c r="D50" i="18"/>
  <c r="D48" i="18"/>
  <c r="D47" i="18"/>
  <c r="D46" i="18"/>
  <c r="D43" i="18"/>
  <c r="D41" i="18"/>
  <c r="D36" i="18"/>
  <c r="D35" i="18"/>
  <c r="D34" i="18"/>
  <c r="D32" i="18"/>
  <c r="D31" i="18"/>
  <c r="D30" i="18"/>
  <c r="D28" i="18"/>
  <c r="D27" i="18"/>
  <c r="D26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8" i="18"/>
  <c r="D7" i="18"/>
  <c r="C6" i="18"/>
  <c r="D29" i="19"/>
  <c r="D37" i="19"/>
  <c r="C34" i="20"/>
  <c r="D24" i="14" l="1"/>
  <c r="D24" i="15"/>
  <c r="D24" i="12"/>
  <c r="D6" i="12" s="1"/>
  <c r="D42" i="6"/>
  <c r="D53" i="10"/>
  <c r="D52" i="10" s="1"/>
  <c r="C52" i="10"/>
  <c r="C52" i="18"/>
  <c r="C60" i="18"/>
  <c r="C38" i="17"/>
  <c r="D63" i="18"/>
  <c r="D60" i="18" s="1"/>
  <c r="D53" i="8"/>
  <c r="D52" i="8" s="1"/>
  <c r="C38" i="18"/>
  <c r="D24" i="11"/>
  <c r="D38" i="11" s="1"/>
  <c r="C52" i="11"/>
  <c r="C60" i="11"/>
  <c r="D24" i="9"/>
  <c r="D6" i="9" s="1"/>
  <c r="C6" i="8"/>
  <c r="C38" i="6"/>
  <c r="D24" i="13"/>
  <c r="D6" i="13" s="1"/>
  <c r="C38" i="8"/>
  <c r="D42" i="8"/>
  <c r="C6" i="6"/>
  <c r="C52" i="6"/>
  <c r="C60" i="17"/>
  <c r="D13" i="3"/>
  <c r="C42" i="5"/>
  <c r="D24" i="5"/>
  <c r="D38" i="5" s="1"/>
  <c r="D8" i="6"/>
  <c r="C42" i="7"/>
  <c r="D24" i="7"/>
  <c r="D38" i="7" s="1"/>
  <c r="C38" i="9"/>
  <c r="C52" i="15"/>
  <c r="D52" i="15"/>
  <c r="D52" i="16"/>
  <c r="C52" i="16"/>
  <c r="D60" i="16"/>
  <c r="D24" i="16"/>
  <c r="D52" i="17"/>
  <c r="D24" i="17"/>
  <c r="C42" i="18"/>
  <c r="D54" i="18"/>
  <c r="D52" i="18" s="1"/>
  <c r="D60" i="22"/>
  <c r="D24" i="22"/>
  <c r="D38" i="22" s="1"/>
  <c r="D52" i="22"/>
  <c r="D7" i="22"/>
  <c r="C38" i="22"/>
  <c r="C39" i="22"/>
  <c r="D43" i="22"/>
  <c r="D42" i="22" s="1"/>
  <c r="D39" i="22" s="1"/>
  <c r="D42" i="18"/>
  <c r="D42" i="3"/>
  <c r="D24" i="18"/>
  <c r="D6" i="18" s="1"/>
  <c r="C42" i="3"/>
  <c r="C39" i="3" s="1"/>
  <c r="C6" i="5"/>
  <c r="D42" i="7"/>
  <c r="C42" i="8"/>
  <c r="C39" i="8" s="1"/>
  <c r="D53" i="3"/>
  <c r="D52" i="3" s="1"/>
  <c r="D61" i="3"/>
  <c r="D60" i="3" s="1"/>
  <c r="C60" i="5"/>
  <c r="C52" i="7"/>
  <c r="C60" i="7"/>
  <c r="D11" i="9"/>
  <c r="C42" i="9"/>
  <c r="C6" i="10"/>
  <c r="D7" i="10"/>
  <c r="D48" i="10"/>
  <c r="D42" i="10" s="1"/>
  <c r="C42" i="10"/>
  <c r="C38" i="5"/>
  <c r="D42" i="5"/>
  <c r="C42" i="6"/>
  <c r="C6" i="7"/>
  <c r="C38" i="7"/>
  <c r="C52" i="9"/>
  <c r="D53" i="9"/>
  <c r="D52" i="9" s="1"/>
  <c r="D21" i="3"/>
  <c r="C52" i="5"/>
  <c r="D53" i="6"/>
  <c r="D52" i="6" s="1"/>
  <c r="D61" i="6"/>
  <c r="D60" i="6" s="1"/>
  <c r="D11" i="3"/>
  <c r="D11" i="6"/>
  <c r="D11" i="8"/>
  <c r="C60" i="8"/>
  <c r="C6" i="9"/>
  <c r="D43" i="9"/>
  <c r="D42" i="9" s="1"/>
  <c r="C60" i="9"/>
  <c r="D61" i="9"/>
  <c r="D60" i="9" s="1"/>
  <c r="D40" i="11"/>
  <c r="D48" i="12"/>
  <c r="D42" i="12" s="1"/>
  <c r="C42" i="12"/>
  <c r="C6" i="14"/>
  <c r="D7" i="14"/>
  <c r="C42" i="14"/>
  <c r="D43" i="14"/>
  <c r="D42" i="14" s="1"/>
  <c r="C38" i="15"/>
  <c r="D11" i="15"/>
  <c r="D24" i="3"/>
  <c r="D52" i="5"/>
  <c r="D60" i="5"/>
  <c r="D24" i="6"/>
  <c r="D52" i="7"/>
  <c r="D60" i="7"/>
  <c r="D24" i="8"/>
  <c r="D6" i="8" s="1"/>
  <c r="D60" i="8"/>
  <c r="D11" i="10"/>
  <c r="C38" i="10"/>
  <c r="D24" i="10"/>
  <c r="D41" i="10"/>
  <c r="D42" i="11"/>
  <c r="D40" i="12"/>
  <c r="C6" i="13"/>
  <c r="D60" i="10"/>
  <c r="D52" i="11"/>
  <c r="D60" i="11"/>
  <c r="D52" i="12"/>
  <c r="D60" i="12"/>
  <c r="C60" i="13"/>
  <c r="D61" i="13"/>
  <c r="D60" i="13" s="1"/>
  <c r="C6" i="11"/>
  <c r="C38" i="11"/>
  <c r="C42" i="11"/>
  <c r="C6" i="12"/>
  <c r="C38" i="12"/>
  <c r="C52" i="12"/>
  <c r="C60" i="12"/>
  <c r="D63" i="15"/>
  <c r="D60" i="15" s="1"/>
  <c r="C60" i="15"/>
  <c r="C6" i="17"/>
  <c r="D7" i="17"/>
  <c r="C42" i="13"/>
  <c r="D43" i="13"/>
  <c r="D42" i="13" s="1"/>
  <c r="C60" i="14"/>
  <c r="D61" i="14"/>
  <c r="D60" i="14" s="1"/>
  <c r="D40" i="16"/>
  <c r="C52" i="17"/>
  <c r="C52" i="13"/>
  <c r="D53" i="13"/>
  <c r="D52" i="13" s="1"/>
  <c r="C52" i="14"/>
  <c r="D53" i="14"/>
  <c r="D52" i="14" s="1"/>
  <c r="C38" i="16"/>
  <c r="D11" i="16"/>
  <c r="C42" i="16"/>
  <c r="D43" i="16"/>
  <c r="D42" i="16" s="1"/>
  <c r="C60" i="16"/>
  <c r="D60" i="17"/>
  <c r="C38" i="13"/>
  <c r="C38" i="14"/>
  <c r="D11" i="14"/>
  <c r="C6" i="15"/>
  <c r="D7" i="15"/>
  <c r="D8" i="16"/>
  <c r="C6" i="16"/>
  <c r="C42" i="15"/>
  <c r="C42" i="17"/>
  <c r="D13" i="17"/>
  <c r="D42" i="15"/>
  <c r="D42" i="17"/>
  <c r="D38" i="14" l="1"/>
  <c r="D39" i="17"/>
  <c r="D38" i="12"/>
  <c r="D39" i="6"/>
  <c r="D38" i="9"/>
  <c r="C39" i="5"/>
  <c r="D38" i="13"/>
  <c r="D6" i="6"/>
  <c r="D38" i="16"/>
  <c r="C39" i="11"/>
  <c r="D6" i="11"/>
  <c r="C39" i="6"/>
  <c r="D6" i="16"/>
  <c r="D6" i="7"/>
  <c r="D38" i="17"/>
  <c r="D39" i="9"/>
  <c r="D6" i="15"/>
  <c r="C39" i="13"/>
  <c r="D38" i="15"/>
  <c r="D6" i="14"/>
  <c r="D6" i="5"/>
  <c r="D39" i="8"/>
  <c r="D6" i="17"/>
  <c r="D38" i="6"/>
  <c r="D39" i="15"/>
  <c r="C39" i="18"/>
  <c r="C39" i="17"/>
  <c r="C39" i="16"/>
  <c r="D6" i="22"/>
  <c r="D39" i="14"/>
  <c r="D39" i="13"/>
  <c r="C39" i="12"/>
  <c r="C39" i="7"/>
  <c r="C39" i="10"/>
  <c r="D39" i="7"/>
  <c r="D38" i="3"/>
  <c r="D6" i="3"/>
  <c r="D39" i="5"/>
  <c r="C39" i="9"/>
  <c r="D38" i="10"/>
  <c r="D39" i="10"/>
  <c r="C39" i="15"/>
  <c r="D38" i="18"/>
  <c r="D39" i="18"/>
  <c r="D39" i="11"/>
  <c r="D39" i="3"/>
  <c r="D6" i="10"/>
  <c r="D39" i="16"/>
  <c r="D39" i="12"/>
  <c r="C39" i="14"/>
  <c r="D38" i="8"/>
  <c r="C37" i="20" l="1"/>
  <c r="C57" i="23" s="1"/>
  <c r="C54" i="23"/>
  <c r="F37" i="19"/>
  <c r="F37" i="18"/>
  <c r="F37" i="17"/>
  <c r="F37" i="16"/>
  <c r="F37" i="15"/>
  <c r="F37" i="14"/>
  <c r="F37" i="13"/>
  <c r="F37" i="12"/>
  <c r="F37" i="11"/>
  <c r="F37" i="10"/>
  <c r="F37" i="9"/>
  <c r="F37" i="8"/>
  <c r="F37" i="7"/>
  <c r="F37" i="6"/>
  <c r="F37" i="5"/>
  <c r="F37" i="3"/>
  <c r="F37" i="22"/>
  <c r="E37" i="18"/>
  <c r="E37" i="17"/>
  <c r="E37" i="16"/>
  <c r="E37" i="15"/>
  <c r="E37" i="14"/>
  <c r="E37" i="13"/>
  <c r="E37" i="12"/>
  <c r="E37" i="11"/>
  <c r="E37" i="10"/>
  <c r="E37" i="9"/>
  <c r="E37" i="8"/>
  <c r="E37" i="7"/>
  <c r="E37" i="6"/>
  <c r="E37" i="5"/>
  <c r="E37" i="3"/>
  <c r="F34" i="7"/>
  <c r="F34" i="16"/>
  <c r="F34" i="15"/>
  <c r="F34" i="12"/>
  <c r="F34" i="11"/>
  <c r="F34" i="8"/>
  <c r="F34" i="3"/>
  <c r="D34" i="19"/>
  <c r="F34" i="19" s="1"/>
  <c r="E34" i="16"/>
  <c r="E34" i="15"/>
  <c r="E34" i="12"/>
  <c r="E34" i="11"/>
  <c r="E34" i="8"/>
  <c r="E34" i="7"/>
  <c r="E34" i="3"/>
  <c r="D37" i="20" l="1"/>
  <c r="D57" i="23" s="1"/>
  <c r="E57" i="23" s="1"/>
  <c r="E37" i="19"/>
  <c r="E37" i="22"/>
  <c r="E34" i="5"/>
  <c r="E34" i="9"/>
  <c r="E34" i="6"/>
  <c r="E34" i="10"/>
  <c r="E34" i="14"/>
  <c r="E34" i="18"/>
  <c r="F34" i="6"/>
  <c r="F34" i="10"/>
  <c r="F34" i="14"/>
  <c r="F34" i="18"/>
  <c r="E34" i="22"/>
  <c r="E34" i="13"/>
  <c r="E34" i="17"/>
  <c r="F34" i="22"/>
  <c r="F34" i="5"/>
  <c r="F34" i="9"/>
  <c r="F34" i="13"/>
  <c r="F34" i="17"/>
  <c r="E34" i="19"/>
  <c r="D10" i="19"/>
  <c r="D11" i="19"/>
  <c r="D12" i="19"/>
  <c r="F57" i="23" l="1"/>
  <c r="F37" i="20"/>
  <c r="E37" i="20"/>
  <c r="D34" i="20"/>
  <c r="F25" i="13"/>
  <c r="F14" i="12"/>
  <c r="E10" i="17"/>
  <c r="E10" i="13"/>
  <c r="E14" i="9"/>
  <c r="E12" i="19"/>
  <c r="E58" i="8"/>
  <c r="D23" i="23"/>
  <c r="F23" i="23" s="1"/>
  <c r="F36" i="10"/>
  <c r="F81" i="23"/>
  <c r="E53" i="22"/>
  <c r="A1" i="3"/>
  <c r="A1" i="5"/>
  <c r="A1" i="6"/>
  <c r="A1" i="7"/>
  <c r="A1" i="8"/>
  <c r="A1" i="9"/>
  <c r="A1" i="10"/>
  <c r="A1" i="11"/>
  <c r="A1" i="12"/>
  <c r="A1" i="13"/>
  <c r="A1" i="14"/>
  <c r="A1" i="15"/>
  <c r="A1" i="16"/>
  <c r="A1" i="17"/>
  <c r="A1" i="18"/>
  <c r="A1" i="22"/>
  <c r="A1" i="20"/>
  <c r="A1" i="19"/>
  <c r="E41" i="22"/>
  <c r="F29" i="6"/>
  <c r="F11" i="6"/>
  <c r="E11" i="15"/>
  <c r="E10" i="15"/>
  <c r="E29" i="7"/>
  <c r="F29" i="8"/>
  <c r="F29" i="9"/>
  <c r="E29" i="13"/>
  <c r="E29" i="18"/>
  <c r="E29" i="19"/>
  <c r="E30" i="5"/>
  <c r="F30" i="9"/>
  <c r="E30" i="12"/>
  <c r="F30" i="16"/>
  <c r="E30" i="18"/>
  <c r="D30" i="19"/>
  <c r="F30" i="19" s="1"/>
  <c r="F9" i="6"/>
  <c r="E9" i="7"/>
  <c r="E9" i="8"/>
  <c r="E9" i="11"/>
  <c r="E9" i="13"/>
  <c r="F9" i="17"/>
  <c r="F10" i="5"/>
  <c r="F10" i="7"/>
  <c r="F10" i="8"/>
  <c r="F10" i="9"/>
  <c r="E10" i="10"/>
  <c r="F10" i="11"/>
  <c r="F10" i="12"/>
  <c r="E10" i="14"/>
  <c r="F10" i="16"/>
  <c r="F10" i="18"/>
  <c r="D10" i="23"/>
  <c r="E10" i="23" s="1"/>
  <c r="F11" i="3"/>
  <c r="E11" i="8"/>
  <c r="F11" i="11"/>
  <c r="E11" i="13"/>
  <c r="F11" i="18"/>
  <c r="D11" i="23"/>
  <c r="E11" i="23" s="1"/>
  <c r="F9" i="15"/>
  <c r="F29" i="15"/>
  <c r="D36" i="19"/>
  <c r="E36" i="19" s="1"/>
  <c r="E58" i="22"/>
  <c r="D22" i="19"/>
  <c r="D18" i="19"/>
  <c r="F18" i="19" s="1"/>
  <c r="D14" i="19"/>
  <c r="D8" i="19"/>
  <c r="F8" i="19" s="1"/>
  <c r="F16" i="17"/>
  <c r="F12" i="13"/>
  <c r="E22" i="12"/>
  <c r="F21" i="12"/>
  <c r="E13" i="12"/>
  <c r="E22" i="11"/>
  <c r="E12" i="11"/>
  <c r="E32" i="7"/>
  <c r="E20" i="7"/>
  <c r="E13" i="7"/>
  <c r="E22" i="5"/>
  <c r="E12" i="5"/>
  <c r="F13" i="5"/>
  <c r="E22" i="3"/>
  <c r="E12" i="3"/>
  <c r="E12" i="13"/>
  <c r="D15" i="19"/>
  <c r="E15" i="19" s="1"/>
  <c r="D16" i="19"/>
  <c r="D17" i="19"/>
  <c r="F14" i="16"/>
  <c r="E17" i="16"/>
  <c r="F21" i="16"/>
  <c r="E19" i="15"/>
  <c r="F21" i="15"/>
  <c r="F25" i="15"/>
  <c r="E27" i="15"/>
  <c r="E28" i="15"/>
  <c r="E32" i="15"/>
  <c r="F14" i="8"/>
  <c r="F15" i="8"/>
  <c r="F17" i="8"/>
  <c r="E20" i="8"/>
  <c r="E22" i="8"/>
  <c r="E25" i="8"/>
  <c r="F26" i="8"/>
  <c r="E32" i="8"/>
  <c r="F23" i="6"/>
  <c r="F26" i="6"/>
  <c r="E27" i="6"/>
  <c r="E31" i="6"/>
  <c r="E32" i="6"/>
  <c r="E8" i="18"/>
  <c r="F17" i="18"/>
  <c r="E18" i="18"/>
  <c r="F19" i="18"/>
  <c r="E21" i="18"/>
  <c r="E22" i="18"/>
  <c r="E23" i="18"/>
  <c r="F26" i="18"/>
  <c r="F27" i="18"/>
  <c r="C52" i="19"/>
  <c r="C42" i="19"/>
  <c r="F41" i="18"/>
  <c r="E44" i="18"/>
  <c r="F49" i="18"/>
  <c r="E51" i="18"/>
  <c r="F54" i="18"/>
  <c r="E59" i="18"/>
  <c r="F41" i="17"/>
  <c r="E43" i="17"/>
  <c r="E44" i="17"/>
  <c r="E48" i="17"/>
  <c r="F53" i="17"/>
  <c r="E57" i="17"/>
  <c r="F58" i="17"/>
  <c r="F59" i="17"/>
  <c r="E41" i="16"/>
  <c r="E44" i="16"/>
  <c r="E46" i="16"/>
  <c r="E49" i="16"/>
  <c r="F51" i="16"/>
  <c r="E53" i="16"/>
  <c r="E56" i="16"/>
  <c r="F41" i="15"/>
  <c r="E45" i="15"/>
  <c r="E47" i="15"/>
  <c r="F49" i="15"/>
  <c r="E51" i="15"/>
  <c r="E53" i="15"/>
  <c r="F54" i="15"/>
  <c r="E57" i="15"/>
  <c r="E59" i="15"/>
  <c r="F43" i="14"/>
  <c r="E46" i="14"/>
  <c r="E50" i="14"/>
  <c r="E53" i="14"/>
  <c r="E54" i="14"/>
  <c r="E57" i="14"/>
  <c r="E58" i="14"/>
  <c r="E43" i="13"/>
  <c r="F44" i="13"/>
  <c r="F48" i="13"/>
  <c r="F49" i="13"/>
  <c r="E50" i="13"/>
  <c r="E51" i="13"/>
  <c r="E53" i="13"/>
  <c r="F54" i="13"/>
  <c r="E56" i="13"/>
  <c r="F59" i="13"/>
  <c r="E43" i="12"/>
  <c r="F44" i="12"/>
  <c r="E45" i="12"/>
  <c r="E46" i="12"/>
  <c r="F48" i="12"/>
  <c r="F53" i="12"/>
  <c r="F56" i="12"/>
  <c r="E57" i="12"/>
  <c r="E58" i="12"/>
  <c r="F43" i="11"/>
  <c r="E45" i="11"/>
  <c r="E47" i="11"/>
  <c r="F48" i="11"/>
  <c r="E51" i="11"/>
  <c r="E53" i="11"/>
  <c r="E55" i="11"/>
  <c r="F58" i="11"/>
  <c r="F41" i="10"/>
  <c r="F44" i="10"/>
  <c r="F45" i="10"/>
  <c r="F46" i="10"/>
  <c r="E48" i="10"/>
  <c r="E51" i="10"/>
  <c r="E53" i="10"/>
  <c r="F54" i="10"/>
  <c r="F56" i="10"/>
  <c r="E59" i="10"/>
  <c r="E41" i="9"/>
  <c r="E43" i="9"/>
  <c r="E47" i="9"/>
  <c r="F48" i="9"/>
  <c r="E54" i="9"/>
  <c r="E55" i="9"/>
  <c r="F56" i="9"/>
  <c r="E58" i="9"/>
  <c r="F43" i="8"/>
  <c r="E44" i="8"/>
  <c r="E46" i="8"/>
  <c r="E48" i="8"/>
  <c r="F49" i="8"/>
  <c r="E50" i="8"/>
  <c r="F51" i="8"/>
  <c r="E53" i="8"/>
  <c r="E54" i="8"/>
  <c r="E59" i="8"/>
  <c r="F41" i="7"/>
  <c r="E45" i="7"/>
  <c r="F48" i="7"/>
  <c r="E53" i="7"/>
  <c r="E54" i="7"/>
  <c r="E56" i="7"/>
  <c r="F58" i="7"/>
  <c r="F59" i="7"/>
  <c r="F41" i="6"/>
  <c r="E43" i="6"/>
  <c r="F44" i="6"/>
  <c r="F45" i="6"/>
  <c r="F50" i="6"/>
  <c r="E54" i="6"/>
  <c r="E56" i="6"/>
  <c r="F58" i="6"/>
  <c r="E41" i="5"/>
  <c r="E43" i="5"/>
  <c r="E44" i="5"/>
  <c r="F45" i="5"/>
  <c r="F48" i="5"/>
  <c r="E49" i="5"/>
  <c r="E51" i="5"/>
  <c r="E55" i="5"/>
  <c r="F56" i="5"/>
  <c r="F58" i="5"/>
  <c r="F59" i="5"/>
  <c r="E41" i="3"/>
  <c r="E44" i="3"/>
  <c r="E46" i="3"/>
  <c r="F48" i="3"/>
  <c r="E49" i="3"/>
  <c r="E55" i="3"/>
  <c r="E57" i="3"/>
  <c r="D41" i="19"/>
  <c r="D43" i="19"/>
  <c r="D44" i="19"/>
  <c r="F44" i="19" s="1"/>
  <c r="D45" i="19"/>
  <c r="E45" i="19" s="1"/>
  <c r="D46" i="19"/>
  <c r="D47" i="19"/>
  <c r="D48" i="19"/>
  <c r="F48" i="19" s="1"/>
  <c r="D49" i="19"/>
  <c r="D50" i="19"/>
  <c r="D51" i="19"/>
  <c r="D53" i="19"/>
  <c r="D54" i="19"/>
  <c r="D55" i="19"/>
  <c r="D56" i="19"/>
  <c r="F56" i="19" s="1"/>
  <c r="D57" i="19"/>
  <c r="E57" i="19" s="1"/>
  <c r="D58" i="19"/>
  <c r="D59" i="19"/>
  <c r="E59" i="19" s="1"/>
  <c r="F40" i="17"/>
  <c r="E40" i="16"/>
  <c r="E40" i="15"/>
  <c r="F40" i="13"/>
  <c r="E40" i="12"/>
  <c r="E40" i="9"/>
  <c r="E40" i="8"/>
  <c r="E40" i="7"/>
  <c r="F40" i="3"/>
  <c r="D40" i="19"/>
  <c r="E40" i="19" s="1"/>
  <c r="F41" i="22"/>
  <c r="D31" i="19"/>
  <c r="D32" i="19"/>
  <c r="E32" i="19" s="1"/>
  <c r="D33" i="19"/>
  <c r="D35" i="19"/>
  <c r="D61" i="19"/>
  <c r="E61" i="19" s="1"/>
  <c r="F62" i="19"/>
  <c r="D63" i="19"/>
  <c r="E63" i="19" s="1"/>
  <c r="F64" i="19"/>
  <c r="E8" i="13"/>
  <c r="E13" i="13"/>
  <c r="E19" i="13"/>
  <c r="E31" i="13"/>
  <c r="E32" i="13"/>
  <c r="F14" i="5"/>
  <c r="E16" i="5"/>
  <c r="F17" i="5"/>
  <c r="E18" i="5"/>
  <c r="F19" i="5"/>
  <c r="E20" i="5"/>
  <c r="E21" i="5"/>
  <c r="E23" i="5"/>
  <c r="F25" i="5"/>
  <c r="F27" i="5"/>
  <c r="F13" i="14"/>
  <c r="F14" i="14"/>
  <c r="F20" i="14"/>
  <c r="F22" i="14"/>
  <c r="E23" i="14"/>
  <c r="E25" i="14"/>
  <c r="F27" i="14"/>
  <c r="E28" i="14"/>
  <c r="F8" i="11"/>
  <c r="E14" i="11"/>
  <c r="E17" i="11"/>
  <c r="F19" i="11"/>
  <c r="E21" i="11"/>
  <c r="E23" i="11"/>
  <c r="E27" i="11"/>
  <c r="E28" i="11"/>
  <c r="F32" i="11"/>
  <c r="E25" i="3"/>
  <c r="C6" i="19"/>
  <c r="E14" i="17"/>
  <c r="E18" i="17"/>
  <c r="E20" i="17"/>
  <c r="F22" i="17"/>
  <c r="E23" i="17"/>
  <c r="E26" i="17"/>
  <c r="E31" i="17"/>
  <c r="F14" i="10"/>
  <c r="F19" i="10"/>
  <c r="E20" i="10"/>
  <c r="E22" i="10"/>
  <c r="F23" i="10"/>
  <c r="F25" i="10"/>
  <c r="F26" i="10"/>
  <c r="E28" i="10"/>
  <c r="E33" i="10"/>
  <c r="F15" i="7"/>
  <c r="E17" i="7"/>
  <c r="E21" i="7"/>
  <c r="E22" i="7"/>
  <c r="E33" i="7"/>
  <c r="D13" i="19"/>
  <c r="E13" i="19" s="1"/>
  <c r="D19" i="19"/>
  <c r="E19" i="19" s="1"/>
  <c r="D20" i="19"/>
  <c r="D21" i="19"/>
  <c r="E21" i="19" s="1"/>
  <c r="D23" i="19"/>
  <c r="F23" i="19" s="1"/>
  <c r="D25" i="19"/>
  <c r="D26" i="19"/>
  <c r="D27" i="19"/>
  <c r="E27" i="19" s="1"/>
  <c r="D28" i="19"/>
  <c r="E28" i="19" s="1"/>
  <c r="D7" i="19"/>
  <c r="F29" i="13"/>
  <c r="E20" i="12"/>
  <c r="E23" i="12"/>
  <c r="F25" i="12"/>
  <c r="E26" i="12"/>
  <c r="E33" i="12"/>
  <c r="F8" i="9"/>
  <c r="E23" i="9"/>
  <c r="E28" i="9"/>
  <c r="E31" i="9"/>
  <c r="F9" i="18"/>
  <c r="E13" i="18"/>
  <c r="E9" i="15"/>
  <c r="E22" i="23"/>
  <c r="C22" i="20"/>
  <c r="C42" i="23" s="1"/>
  <c r="F22" i="9"/>
  <c r="F16" i="12"/>
  <c r="E18" i="12"/>
  <c r="E16" i="9"/>
  <c r="E20" i="9"/>
  <c r="E22" i="9"/>
  <c r="E16" i="6"/>
  <c r="E36" i="17"/>
  <c r="F36" i="16"/>
  <c r="E36" i="15"/>
  <c r="F36" i="12"/>
  <c r="F36" i="11"/>
  <c r="F36" i="7"/>
  <c r="F32" i="3"/>
  <c r="E33" i="3"/>
  <c r="F18" i="15"/>
  <c r="F12" i="9"/>
  <c r="E15" i="6"/>
  <c r="F14" i="3"/>
  <c r="F23" i="3"/>
  <c r="E27" i="3"/>
  <c r="E28" i="3"/>
  <c r="F13" i="18"/>
  <c r="F31" i="18"/>
  <c r="F31" i="16"/>
  <c r="F31" i="14"/>
  <c r="F31" i="12"/>
  <c r="F31" i="10"/>
  <c r="F31" i="8"/>
  <c r="E12" i="18"/>
  <c r="F26" i="9"/>
  <c r="F32" i="18"/>
  <c r="F58" i="22"/>
  <c r="F47" i="9"/>
  <c r="F18" i="3"/>
  <c r="F28" i="3"/>
  <c r="F31" i="3"/>
  <c r="F33" i="3"/>
  <c r="E35" i="3"/>
  <c r="F35" i="3"/>
  <c r="F46" i="3"/>
  <c r="F47" i="3"/>
  <c r="F55" i="3"/>
  <c r="F57" i="3"/>
  <c r="E61" i="3"/>
  <c r="F61" i="3"/>
  <c r="F63" i="3"/>
  <c r="F64" i="3"/>
  <c r="F28" i="5"/>
  <c r="F33" i="5"/>
  <c r="F35" i="5"/>
  <c r="F46" i="5"/>
  <c r="F47" i="5"/>
  <c r="F50" i="5"/>
  <c r="F55" i="5"/>
  <c r="F57" i="5"/>
  <c r="F62" i="5"/>
  <c r="E63" i="5"/>
  <c r="F63" i="5"/>
  <c r="F65" i="5"/>
  <c r="F28" i="6"/>
  <c r="F33" i="6"/>
  <c r="F35" i="6"/>
  <c r="F46" i="6"/>
  <c r="F47" i="6"/>
  <c r="F55" i="6"/>
  <c r="F57" i="6"/>
  <c r="F61" i="6"/>
  <c r="F63" i="6"/>
  <c r="F28" i="7"/>
  <c r="F31" i="7"/>
  <c r="F33" i="7"/>
  <c r="F35" i="7"/>
  <c r="F46" i="7"/>
  <c r="F47" i="7"/>
  <c r="F55" i="7"/>
  <c r="F57" i="7"/>
  <c r="F61" i="7"/>
  <c r="F63" i="7"/>
  <c r="F28" i="8"/>
  <c r="F33" i="8"/>
  <c r="F35" i="8"/>
  <c r="F44" i="8"/>
  <c r="F47" i="8"/>
  <c r="F55" i="8"/>
  <c r="F57" i="8"/>
  <c r="F62" i="8"/>
  <c r="F63" i="8"/>
  <c r="E65" i="8"/>
  <c r="F28" i="9"/>
  <c r="F33" i="9"/>
  <c r="F35" i="9"/>
  <c r="F55" i="9"/>
  <c r="F57" i="9"/>
  <c r="E63" i="9"/>
  <c r="F63" i="9"/>
  <c r="F28" i="10"/>
  <c r="F30" i="10"/>
  <c r="F33" i="10"/>
  <c r="F35" i="10"/>
  <c r="F47" i="10"/>
  <c r="F51" i="10"/>
  <c r="F55" i="10"/>
  <c r="F57" i="10"/>
  <c r="F61" i="10"/>
  <c r="E62" i="10"/>
  <c r="F63" i="10"/>
  <c r="F28" i="11"/>
  <c r="F33" i="11"/>
  <c r="E35" i="11"/>
  <c r="F35" i="11"/>
  <c r="F46" i="11"/>
  <c r="F47" i="11"/>
  <c r="F55" i="11"/>
  <c r="F57" i="11"/>
  <c r="F61" i="11"/>
  <c r="F63" i="11"/>
  <c r="F65" i="11"/>
  <c r="F28" i="12"/>
  <c r="F33" i="12"/>
  <c r="F35" i="12"/>
  <c r="F43" i="12"/>
  <c r="F46" i="12"/>
  <c r="F47" i="12"/>
  <c r="F55" i="12"/>
  <c r="F57" i="12"/>
  <c r="E59" i="12"/>
  <c r="F61" i="12"/>
  <c r="F62" i="12"/>
  <c r="F63" i="12"/>
  <c r="E16" i="13"/>
  <c r="F16" i="13"/>
  <c r="F28" i="13"/>
  <c r="F30" i="13"/>
  <c r="F33" i="13"/>
  <c r="F35" i="13"/>
  <c r="F47" i="13"/>
  <c r="F55" i="13"/>
  <c r="F57" i="13"/>
  <c r="F61" i="13"/>
  <c r="E62" i="13"/>
  <c r="F63" i="13"/>
  <c r="F28" i="14"/>
  <c r="F33" i="14"/>
  <c r="F35" i="14"/>
  <c r="F46" i="14"/>
  <c r="F47" i="14"/>
  <c r="E49" i="14"/>
  <c r="F55" i="14"/>
  <c r="F57" i="14"/>
  <c r="F61" i="14"/>
  <c r="E62" i="14"/>
  <c r="F63" i="14"/>
  <c r="F28" i="15"/>
  <c r="F30" i="15"/>
  <c r="F31" i="15"/>
  <c r="F33" i="15"/>
  <c r="F35" i="15"/>
  <c r="F46" i="15"/>
  <c r="F47" i="15"/>
  <c r="F55" i="15"/>
  <c r="F57" i="15"/>
  <c r="F61" i="15"/>
  <c r="F63" i="15"/>
  <c r="F64" i="15"/>
  <c r="F28" i="16"/>
  <c r="F33" i="16"/>
  <c r="F35" i="16"/>
  <c r="F45" i="16"/>
  <c r="F47" i="16"/>
  <c r="F55" i="16"/>
  <c r="F57" i="16"/>
  <c r="F61" i="16"/>
  <c r="F63" i="16"/>
  <c r="F28" i="17"/>
  <c r="F33" i="17"/>
  <c r="F35" i="17"/>
  <c r="F46" i="17"/>
  <c r="F47" i="17"/>
  <c r="F55" i="17"/>
  <c r="F57" i="17"/>
  <c r="F61" i="17"/>
  <c r="E62" i="17"/>
  <c r="E63" i="17"/>
  <c r="F63" i="17"/>
  <c r="F28" i="18"/>
  <c r="E32" i="18"/>
  <c r="F33" i="18"/>
  <c r="F35" i="18"/>
  <c r="F47" i="18"/>
  <c r="F51" i="18"/>
  <c r="F55" i="18"/>
  <c r="F57" i="18"/>
  <c r="F61" i="18"/>
  <c r="F63" i="18"/>
  <c r="F64" i="18"/>
  <c r="F28" i="19"/>
  <c r="F31" i="19"/>
  <c r="F33" i="19"/>
  <c r="F35" i="19"/>
  <c r="F47" i="19"/>
  <c r="F55" i="19"/>
  <c r="F57" i="19"/>
  <c r="C60" i="19"/>
  <c r="F61" i="19"/>
  <c r="F63" i="19"/>
  <c r="C7" i="20"/>
  <c r="C8" i="20"/>
  <c r="C9" i="20"/>
  <c r="C10" i="20"/>
  <c r="C11" i="20"/>
  <c r="C12" i="20"/>
  <c r="C13" i="20"/>
  <c r="C14" i="20"/>
  <c r="C15" i="20"/>
  <c r="C16" i="20"/>
  <c r="C17" i="20"/>
  <c r="C37" i="23" s="1"/>
  <c r="C18" i="20"/>
  <c r="C38" i="23" s="1"/>
  <c r="C19" i="20"/>
  <c r="C39" i="23" s="1"/>
  <c r="C20" i="20"/>
  <c r="C40" i="23" s="1"/>
  <c r="C21" i="20"/>
  <c r="C41" i="23" s="1"/>
  <c r="C23" i="20"/>
  <c r="C43" i="23" s="1"/>
  <c r="C26" i="20"/>
  <c r="C46" i="23" s="1"/>
  <c r="C27" i="20"/>
  <c r="C47" i="23" s="1"/>
  <c r="C28" i="20"/>
  <c r="C29" i="20"/>
  <c r="C49" i="23" s="1"/>
  <c r="C30" i="20"/>
  <c r="C50" i="23" s="1"/>
  <c r="C31" i="20"/>
  <c r="C51" i="23" s="1"/>
  <c r="F51" i="23" s="1"/>
  <c r="C32" i="20"/>
  <c r="C52" i="23" s="1"/>
  <c r="C33" i="20"/>
  <c r="C35" i="20"/>
  <c r="C36" i="20"/>
  <c r="C56" i="23" s="1"/>
  <c r="C40" i="20"/>
  <c r="C61" i="23" s="1"/>
  <c r="C41" i="20"/>
  <c r="C62" i="23" s="1"/>
  <c r="C43" i="20"/>
  <c r="C64" i="23" s="1"/>
  <c r="C44" i="20"/>
  <c r="C65" i="23" s="1"/>
  <c r="C45" i="20"/>
  <c r="C66" i="23" s="1"/>
  <c r="C46" i="20"/>
  <c r="C67" i="23" s="1"/>
  <c r="C47" i="20"/>
  <c r="C48" i="20"/>
  <c r="C49" i="20"/>
  <c r="C70" i="23" s="1"/>
  <c r="C50" i="20"/>
  <c r="C71" i="23" s="1"/>
  <c r="C51" i="20"/>
  <c r="C72" i="23" s="1"/>
  <c r="C53" i="20"/>
  <c r="C54" i="20"/>
  <c r="C75" i="23" s="1"/>
  <c r="C55" i="20"/>
  <c r="C76" i="23" s="1"/>
  <c r="F76" i="23" s="1"/>
  <c r="C56" i="20"/>
  <c r="C77" i="23" s="1"/>
  <c r="C57" i="20"/>
  <c r="C78" i="23" s="1"/>
  <c r="C58" i="20"/>
  <c r="C79" i="23" s="1"/>
  <c r="C59" i="20"/>
  <c r="C80" i="23" s="1"/>
  <c r="C61" i="20"/>
  <c r="C83" i="23" s="1"/>
  <c r="C62" i="20"/>
  <c r="C84" i="23" s="1"/>
  <c r="C63" i="20"/>
  <c r="C85" i="23" s="1"/>
  <c r="C64" i="20"/>
  <c r="C86" i="23" s="1"/>
  <c r="C65" i="20"/>
  <c r="C90" i="23" s="1"/>
  <c r="F17" i="22"/>
  <c r="E18" i="22"/>
  <c r="F18" i="22"/>
  <c r="F19" i="22"/>
  <c r="F20" i="22"/>
  <c r="F21" i="22"/>
  <c r="E23" i="22"/>
  <c r="F23" i="22"/>
  <c r="F25" i="22"/>
  <c r="F26" i="22"/>
  <c r="E27" i="22"/>
  <c r="F27" i="22"/>
  <c r="F29" i="22"/>
  <c r="F30" i="22"/>
  <c r="F31" i="22"/>
  <c r="F32" i="22"/>
  <c r="F33" i="22"/>
  <c r="F35" i="22"/>
  <c r="E36" i="22"/>
  <c r="F36" i="22"/>
  <c r="E45" i="22"/>
  <c r="F45" i="22"/>
  <c r="F47" i="22"/>
  <c r="E48" i="22"/>
  <c r="E55" i="22"/>
  <c r="F55" i="22"/>
  <c r="F57" i="22"/>
  <c r="E59" i="22"/>
  <c r="F61" i="22"/>
  <c r="E62" i="22"/>
  <c r="F63" i="22"/>
  <c r="F64" i="22"/>
  <c r="E65" i="22"/>
  <c r="F65" i="22"/>
  <c r="C6" i="23"/>
  <c r="D7" i="23"/>
  <c r="E7" i="23" s="1"/>
  <c r="D8" i="23"/>
  <c r="E8" i="23" s="1"/>
  <c r="C9" i="23"/>
  <c r="F10" i="23"/>
  <c r="F11" i="23"/>
  <c r="C12" i="23"/>
  <c r="D13" i="23"/>
  <c r="F13" i="23" s="1"/>
  <c r="D14" i="23"/>
  <c r="E14" i="23" s="1"/>
  <c r="C15" i="23"/>
  <c r="D16" i="23"/>
  <c r="E16" i="23" s="1"/>
  <c r="D17" i="23"/>
  <c r="F17" i="23" s="1"/>
  <c r="E18" i="23"/>
  <c r="D20" i="23"/>
  <c r="E20" i="23" s="1"/>
  <c r="D21" i="23"/>
  <c r="E21" i="23" s="1"/>
  <c r="D25" i="23"/>
  <c r="C87" i="23"/>
  <c r="E88" i="23"/>
  <c r="E89" i="23"/>
  <c r="C25" i="20"/>
  <c r="C45" i="23" s="1"/>
  <c r="F49" i="9"/>
  <c r="F46" i="9"/>
  <c r="F16" i="15"/>
  <c r="F18" i="12"/>
  <c r="F53" i="22"/>
  <c r="F12" i="18"/>
  <c r="E26" i="9"/>
  <c r="F14" i="15"/>
  <c r="E14" i="15"/>
  <c r="F15" i="15"/>
  <c r="E18" i="15"/>
  <c r="F62" i="22"/>
  <c r="F40" i="22"/>
  <c r="F46" i="22"/>
  <c r="E40" i="22"/>
  <c r="E63" i="22"/>
  <c r="E61" i="22"/>
  <c r="E49" i="22"/>
  <c r="E44" i="22"/>
  <c r="E31" i="22"/>
  <c r="E30" i="22"/>
  <c r="E29" i="22"/>
  <c r="E47" i="12"/>
  <c r="E46" i="6"/>
  <c r="F31" i="5"/>
  <c r="E13" i="6"/>
  <c r="F31" i="13"/>
  <c r="E15" i="15"/>
  <c r="F31" i="17"/>
  <c r="F31" i="11"/>
  <c r="F31" i="9"/>
  <c r="E19" i="3"/>
  <c r="F19" i="3"/>
  <c r="F31" i="6"/>
  <c r="E15" i="10"/>
  <c r="F15" i="6"/>
  <c r="E19" i="9"/>
  <c r="E48" i="7"/>
  <c r="E15" i="12"/>
  <c r="E18" i="3"/>
  <c r="E12" i="9"/>
  <c r="F7" i="16"/>
  <c r="F11" i="15"/>
  <c r="F21" i="6"/>
  <c r="E21" i="6"/>
  <c r="F17" i="15"/>
  <c r="E17" i="15"/>
  <c r="E13" i="15"/>
  <c r="F12" i="15"/>
  <c r="E25" i="9"/>
  <c r="F13" i="15"/>
  <c r="F16" i="6"/>
  <c r="E12" i="15"/>
  <c r="F30" i="8"/>
  <c r="F20" i="9"/>
  <c r="E16" i="15"/>
  <c r="E16" i="12"/>
  <c r="F13" i="6"/>
  <c r="F16" i="9"/>
  <c r="E20" i="6"/>
  <c r="F20" i="6"/>
  <c r="E12" i="17"/>
  <c r="F12" i="6"/>
  <c r="E12" i="6"/>
  <c r="F32" i="9"/>
  <c r="F17" i="6"/>
  <c r="E32" i="9"/>
  <c r="E17" i="6"/>
  <c r="F8" i="6"/>
  <c r="E8" i="6"/>
  <c r="E14" i="6"/>
  <c r="F14" i="6"/>
  <c r="E19" i="6"/>
  <c r="F19" i="6"/>
  <c r="F30" i="12"/>
  <c r="E12" i="8"/>
  <c r="F18" i="6"/>
  <c r="E18" i="6"/>
  <c r="F14" i="9"/>
  <c r="F18" i="9"/>
  <c r="E18" i="9"/>
  <c r="F22" i="22"/>
  <c r="E22" i="22"/>
  <c r="F44" i="22"/>
  <c r="F48" i="22"/>
  <c r="E57" i="22"/>
  <c r="F49" i="22"/>
  <c r="F21" i="9"/>
  <c r="E21" i="9"/>
  <c r="E17" i="9"/>
  <c r="F13" i="9"/>
  <c r="E13" i="9"/>
  <c r="F19" i="12"/>
  <c r="E19" i="12"/>
  <c r="F15" i="12"/>
  <c r="F17" i="13"/>
  <c r="F17" i="9"/>
  <c r="F15" i="18"/>
  <c r="E15" i="18"/>
  <c r="E11" i="18"/>
  <c r="F27" i="9"/>
  <c r="E27" i="9"/>
  <c r="F23" i="9"/>
  <c r="E15" i="9"/>
  <c r="E11" i="9"/>
  <c r="F25" i="9"/>
  <c r="F15" i="9"/>
  <c r="F14" i="18"/>
  <c r="E14" i="18"/>
  <c r="F10" i="17"/>
  <c r="F18" i="13"/>
  <c r="E10" i="9"/>
  <c r="F14" i="13"/>
  <c r="E14" i="13"/>
  <c r="F19" i="9"/>
  <c r="F12" i="17"/>
  <c r="E11" i="17"/>
  <c r="F11" i="17"/>
  <c r="F15" i="13"/>
  <c r="E18" i="13"/>
  <c r="F13" i="17"/>
  <c r="E13" i="17"/>
  <c r="E22" i="14"/>
  <c r="F20" i="13"/>
  <c r="E15" i="13"/>
  <c r="F21" i="13"/>
  <c r="E21" i="13"/>
  <c r="F19" i="13"/>
  <c r="F13" i="13"/>
  <c r="E20" i="13"/>
  <c r="F23" i="13"/>
  <c r="E23" i="13"/>
  <c r="E17" i="13"/>
  <c r="F22" i="13"/>
  <c r="E22" i="13"/>
  <c r="F9" i="13"/>
  <c r="F9" i="19"/>
  <c r="E54" i="10"/>
  <c r="F58" i="14"/>
  <c r="F43" i="16"/>
  <c r="F41" i="11"/>
  <c r="E49" i="10"/>
  <c r="F49" i="10"/>
  <c r="F15" i="17"/>
  <c r="E14" i="12"/>
  <c r="E17" i="12"/>
  <c r="F17" i="12"/>
  <c r="F26" i="7"/>
  <c r="E26" i="7"/>
  <c r="E25" i="7"/>
  <c r="F25" i="7"/>
  <c r="E9" i="18"/>
  <c r="F10" i="19"/>
  <c r="F10" i="13"/>
  <c r="E10" i="18"/>
  <c r="E10" i="19"/>
  <c r="F11" i="9"/>
  <c r="F11" i="13"/>
  <c r="F11" i="19"/>
  <c r="E11" i="19"/>
  <c r="F10" i="15"/>
  <c r="E9" i="6"/>
  <c r="E9" i="19"/>
  <c r="E30" i="6"/>
  <c r="E11" i="6"/>
  <c r="E10" i="6"/>
  <c r="F10" i="6"/>
  <c r="F51" i="22"/>
  <c r="F12" i="19"/>
  <c r="F21" i="23" l="1"/>
  <c r="D54" i="23"/>
  <c r="F34" i="20"/>
  <c r="F25" i="19"/>
  <c r="D24" i="19"/>
  <c r="E24" i="19" s="1"/>
  <c r="F59" i="10"/>
  <c r="E45" i="3"/>
  <c r="E57" i="8"/>
  <c r="E19" i="14"/>
  <c r="F12" i="8"/>
  <c r="E49" i="18"/>
  <c r="F9" i="23"/>
  <c r="E7" i="14"/>
  <c r="F27" i="7"/>
  <c r="E7" i="17"/>
  <c r="E43" i="7"/>
  <c r="E7" i="15"/>
  <c r="E7" i="10"/>
  <c r="E7" i="16"/>
  <c r="E7" i="6"/>
  <c r="E7" i="19"/>
  <c r="F58" i="18"/>
  <c r="F49" i="19"/>
  <c r="F25" i="8"/>
  <c r="F29" i="18"/>
  <c r="E26" i="18"/>
  <c r="E53" i="17"/>
  <c r="C39" i="19"/>
  <c r="E34" i="20"/>
  <c r="E11" i="11"/>
  <c r="E56" i="12"/>
  <c r="F40" i="8"/>
  <c r="E54" i="18"/>
  <c r="E41" i="15"/>
  <c r="F43" i="6"/>
  <c r="F8" i="14"/>
  <c r="E8" i="14"/>
  <c r="E15" i="17"/>
  <c r="E21" i="16"/>
  <c r="E47" i="8"/>
  <c r="E47" i="16"/>
  <c r="F13" i="8"/>
  <c r="F89" i="23"/>
  <c r="F36" i="15"/>
  <c r="F29" i="11"/>
  <c r="F17" i="16"/>
  <c r="F29" i="7"/>
  <c r="F25" i="11"/>
  <c r="F26" i="14"/>
  <c r="E65" i="11"/>
  <c r="E29" i="14"/>
  <c r="F54" i="7"/>
  <c r="F58" i="8"/>
  <c r="F11" i="8"/>
  <c r="E58" i="16"/>
  <c r="D6" i="23"/>
  <c r="E6" i="23" s="1"/>
  <c r="E19" i="11"/>
  <c r="F29" i="14"/>
  <c r="E11" i="12"/>
  <c r="F13" i="16"/>
  <c r="E48" i="11"/>
  <c r="E14" i="14"/>
  <c r="E36" i="11"/>
  <c r="F7" i="15"/>
  <c r="E57" i="9"/>
  <c r="E44" i="9"/>
  <c r="F58" i="12"/>
  <c r="F54" i="11"/>
  <c r="E33" i="5"/>
  <c r="E8" i="11"/>
  <c r="F27" i="13"/>
  <c r="E33" i="9"/>
  <c r="E41" i="17"/>
  <c r="F36" i="6"/>
  <c r="F64" i="10"/>
  <c r="F56" i="18"/>
  <c r="F22" i="3"/>
  <c r="F41" i="12"/>
  <c r="F53" i="9"/>
  <c r="F22" i="10"/>
  <c r="E61" i="17"/>
  <c r="E36" i="6"/>
  <c r="E48" i="3"/>
  <c r="F65" i="10"/>
  <c r="F25" i="23"/>
  <c r="F20" i="23"/>
  <c r="E53" i="9"/>
  <c r="E41" i="6"/>
  <c r="F43" i="7"/>
  <c r="F56" i="8"/>
  <c r="F56" i="7"/>
  <c r="E45" i="5"/>
  <c r="E23" i="6"/>
  <c r="F44" i="9"/>
  <c r="E50" i="12"/>
  <c r="E44" i="10"/>
  <c r="E54" i="11"/>
  <c r="E44" i="19"/>
  <c r="F25" i="14"/>
  <c r="E27" i="13"/>
  <c r="E15" i="11"/>
  <c r="F7" i="6"/>
  <c r="E25" i="11"/>
  <c r="E51" i="7"/>
  <c r="E51" i="8"/>
  <c r="F51" i="7"/>
  <c r="F12" i="11"/>
  <c r="F19" i="14"/>
  <c r="E43" i="8"/>
  <c r="E40" i="3"/>
  <c r="E55" i="6"/>
  <c r="E21" i="14"/>
  <c r="E29" i="16"/>
  <c r="F9" i="14"/>
  <c r="E40" i="13"/>
  <c r="E54" i="16"/>
  <c r="E50" i="16"/>
  <c r="E48" i="9"/>
  <c r="E53" i="3"/>
  <c r="F26" i="5"/>
  <c r="F29" i="16"/>
  <c r="F23" i="17"/>
  <c r="E33" i="8"/>
  <c r="E56" i="8"/>
  <c r="F50" i="13"/>
  <c r="E55" i="12"/>
  <c r="F11" i="10"/>
  <c r="E47" i="5"/>
  <c r="F64" i="8"/>
  <c r="E9" i="10"/>
  <c r="E45" i="10"/>
  <c r="E51" i="6"/>
  <c r="F40" i="7"/>
  <c r="F50" i="3"/>
  <c r="F48" i="17"/>
  <c r="E58" i="18"/>
  <c r="E48" i="13"/>
  <c r="E46" i="15"/>
  <c r="E33" i="14"/>
  <c r="E13" i="5"/>
  <c r="F20" i="8"/>
  <c r="E31" i="15"/>
  <c r="E57" i="7"/>
  <c r="F19" i="15"/>
  <c r="F49" i="14"/>
  <c r="E64" i="8"/>
  <c r="E52" i="22"/>
  <c r="E11" i="10"/>
  <c r="E43" i="15"/>
  <c r="E12" i="10"/>
  <c r="E25" i="16"/>
  <c r="E54" i="13"/>
  <c r="E65" i="5"/>
  <c r="F9" i="10"/>
  <c r="E30" i="15"/>
  <c r="E32" i="5"/>
  <c r="E41" i="11"/>
  <c r="F53" i="13"/>
  <c r="E43" i="11"/>
  <c r="E44" i="12"/>
  <c r="F59" i="9"/>
  <c r="F15" i="14"/>
  <c r="E17" i="18"/>
  <c r="E31" i="8"/>
  <c r="E35" i="15"/>
  <c r="E55" i="15"/>
  <c r="E64" i="18"/>
  <c r="E65" i="10"/>
  <c r="F36" i="17"/>
  <c r="E63" i="7"/>
  <c r="E50" i="5"/>
  <c r="F9" i="11"/>
  <c r="F54" i="6"/>
  <c r="F7" i="13"/>
  <c r="E23" i="7"/>
  <c r="F26" i="16"/>
  <c r="E46" i="17"/>
  <c r="E13" i="3"/>
  <c r="E32" i="3"/>
  <c r="E36" i="16"/>
  <c r="E22" i="6"/>
  <c r="F30" i="14"/>
  <c r="E10" i="5"/>
  <c r="E32" i="12"/>
  <c r="F58" i="13"/>
  <c r="F51" i="14"/>
  <c r="E43" i="3"/>
  <c r="F45" i="13"/>
  <c r="F41" i="3"/>
  <c r="F43" i="5"/>
  <c r="F45" i="12"/>
  <c r="F50" i="7"/>
  <c r="E14" i="5"/>
  <c r="E27" i="5"/>
  <c r="E29" i="11"/>
  <c r="F8" i="7"/>
  <c r="F23" i="7"/>
  <c r="F12" i="10"/>
  <c r="F18" i="5"/>
  <c r="E15" i="14"/>
  <c r="F17" i="7"/>
  <c r="E18" i="7"/>
  <c r="E26" i="6"/>
  <c r="F19" i="16"/>
  <c r="E45" i="13"/>
  <c r="E55" i="19"/>
  <c r="E21" i="8"/>
  <c r="F17" i="3"/>
  <c r="F40" i="11"/>
  <c r="F48" i="15"/>
  <c r="E8" i="7"/>
  <c r="F51" i="15"/>
  <c r="E36" i="10"/>
  <c r="E47" i="14"/>
  <c r="F8" i="18"/>
  <c r="E18" i="8"/>
  <c r="E30" i="19"/>
  <c r="F10" i="14"/>
  <c r="F51" i="3"/>
  <c r="F45" i="7"/>
  <c r="E47" i="18"/>
  <c r="E53" i="12"/>
  <c r="E17" i="5"/>
  <c r="E8" i="5"/>
  <c r="F21" i="5"/>
  <c r="F17" i="11"/>
  <c r="F8" i="5"/>
  <c r="F13" i="19"/>
  <c r="E17" i="8"/>
  <c r="F23" i="18"/>
  <c r="F26" i="12"/>
  <c r="E19" i="10"/>
  <c r="E49" i="13"/>
  <c r="E61" i="10"/>
  <c r="F22" i="6"/>
  <c r="F20" i="10"/>
  <c r="F21" i="11"/>
  <c r="E40" i="11"/>
  <c r="E64" i="3"/>
  <c r="E26" i="16"/>
  <c r="E24" i="13"/>
  <c r="F32" i="12"/>
  <c r="E62" i="18"/>
  <c r="F65" i="14"/>
  <c r="E36" i="3"/>
  <c r="F36" i="9"/>
  <c r="E36" i="9"/>
  <c r="E44" i="14"/>
  <c r="E55" i="16"/>
  <c r="F41" i="16"/>
  <c r="E53" i="18"/>
  <c r="F53" i="18"/>
  <c r="F25" i="18"/>
  <c r="E25" i="18"/>
  <c r="F20" i="18"/>
  <c r="E16" i="18"/>
  <c r="E28" i="8"/>
  <c r="E19" i="8"/>
  <c r="F8" i="8"/>
  <c r="F22" i="15"/>
  <c r="E22" i="15"/>
  <c r="F15" i="16"/>
  <c r="E15" i="16"/>
  <c r="E12" i="12"/>
  <c r="F12" i="12"/>
  <c r="F45" i="15"/>
  <c r="F43" i="17"/>
  <c r="F44" i="18"/>
  <c r="E62" i="19"/>
  <c r="E15" i="8"/>
  <c r="F20" i="16"/>
  <c r="E26" i="19"/>
  <c r="F26" i="19"/>
  <c r="F21" i="7"/>
  <c r="F16" i="7"/>
  <c r="E16" i="7"/>
  <c r="E59" i="13"/>
  <c r="F46" i="13"/>
  <c r="E46" i="13"/>
  <c r="E41" i="13"/>
  <c r="F41" i="13"/>
  <c r="F53" i="15"/>
  <c r="F44" i="15"/>
  <c r="E50" i="17"/>
  <c r="E7" i="18"/>
  <c r="F7" i="18"/>
  <c r="E28" i="18"/>
  <c r="F27" i="8"/>
  <c r="E27" i="8"/>
  <c r="E14" i="8"/>
  <c r="E51" i="3"/>
  <c r="E53" i="5"/>
  <c r="F50" i="8"/>
  <c r="F50" i="16"/>
  <c r="F49" i="12"/>
  <c r="E54" i="15"/>
  <c r="E43" i="18"/>
  <c r="E32" i="17"/>
  <c r="F16" i="18"/>
  <c r="F27" i="6"/>
  <c r="F32" i="15"/>
  <c r="E28" i="6"/>
  <c r="E48" i="5"/>
  <c r="E51" i="14"/>
  <c r="E57" i="5"/>
  <c r="E49" i="12"/>
  <c r="E59" i="17"/>
  <c r="F43" i="18"/>
  <c r="F58" i="15"/>
  <c r="E56" i="9"/>
  <c r="E14" i="10"/>
  <c r="F20" i="19"/>
  <c r="F32" i="7"/>
  <c r="F21" i="17"/>
  <c r="E31" i="7"/>
  <c r="E19" i="16"/>
  <c r="E55" i="17"/>
  <c r="E49" i="15"/>
  <c r="E56" i="18"/>
  <c r="E61" i="12"/>
  <c r="F27" i="3"/>
  <c r="F48" i="18"/>
  <c r="F64" i="12"/>
  <c r="F61" i="9"/>
  <c r="E61" i="9"/>
  <c r="E33" i="19"/>
  <c r="F22" i="12"/>
  <c r="E22" i="16"/>
  <c r="F22" i="16"/>
  <c r="E10" i="8"/>
  <c r="E30" i="17"/>
  <c r="F30" i="17"/>
  <c r="E30" i="8"/>
  <c r="E29" i="5"/>
  <c r="E29" i="15"/>
  <c r="F51" i="13"/>
  <c r="E47" i="13"/>
  <c r="E59" i="16"/>
  <c r="E57" i="18"/>
  <c r="F27" i="15"/>
  <c r="E8" i="15"/>
  <c r="F8" i="15"/>
  <c r="F27" i="16"/>
  <c r="E27" i="16"/>
  <c r="F56" i="13"/>
  <c r="E19" i="5"/>
  <c r="E31" i="5"/>
  <c r="F32" i="13"/>
  <c r="E23" i="8"/>
  <c r="F44" i="14"/>
  <c r="E28" i="5"/>
  <c r="F40" i="5"/>
  <c r="E40" i="5"/>
  <c r="E47" i="19"/>
  <c r="F44" i="11"/>
  <c r="E44" i="11"/>
  <c r="F54" i="12"/>
  <c r="E54" i="12"/>
  <c r="F56" i="14"/>
  <c r="E56" i="14"/>
  <c r="E19" i="18"/>
  <c r="F22" i="8"/>
  <c r="F26" i="15"/>
  <c r="E26" i="15"/>
  <c r="E32" i="16"/>
  <c r="F32" i="16"/>
  <c r="F43" i="10"/>
  <c r="F22" i="11"/>
  <c r="F16" i="19"/>
  <c r="F18" i="8"/>
  <c r="E40" i="18"/>
  <c r="F50" i="17"/>
  <c r="E20" i="16"/>
  <c r="F65" i="17"/>
  <c r="E65" i="17"/>
  <c r="F59" i="16"/>
  <c r="F62" i="3"/>
  <c r="E62" i="3"/>
  <c r="E19" i="7"/>
  <c r="F19" i="7"/>
  <c r="E13" i="10"/>
  <c r="E25" i="17"/>
  <c r="F20" i="17"/>
  <c r="C38" i="19"/>
  <c r="E32" i="11"/>
  <c r="E27" i="14"/>
  <c r="E58" i="7"/>
  <c r="F56" i="11"/>
  <c r="E56" i="11"/>
  <c r="F51" i="11"/>
  <c r="E33" i="6"/>
  <c r="E7" i="5"/>
  <c r="F17" i="14"/>
  <c r="F45" i="8"/>
  <c r="E46" i="9"/>
  <c r="F50" i="10"/>
  <c r="E12" i="7"/>
  <c r="E7" i="12"/>
  <c r="F40" i="10"/>
  <c r="E40" i="10"/>
  <c r="F9" i="3"/>
  <c r="E24" i="22"/>
  <c r="F13" i="3"/>
  <c r="E49" i="8"/>
  <c r="E59" i="9"/>
  <c r="E54" i="19"/>
  <c r="E55" i="10"/>
  <c r="E64" i="19"/>
  <c r="E18" i="10"/>
  <c r="E31" i="3"/>
  <c r="E36" i="8"/>
  <c r="F36" i="13"/>
  <c r="E41" i="14"/>
  <c r="F44" i="16"/>
  <c r="E58" i="17"/>
  <c r="F50" i="18"/>
  <c r="E7" i="8"/>
  <c r="F7" i="8"/>
  <c r="E27" i="18"/>
  <c r="E31" i="16"/>
  <c r="F30" i="5"/>
  <c r="F30" i="6"/>
  <c r="E30" i="10"/>
  <c r="E11" i="5"/>
  <c r="F11" i="5"/>
  <c r="F12" i="5"/>
  <c r="E9" i="12"/>
  <c r="F46" i="19"/>
  <c r="F43" i="15"/>
  <c r="E50" i="10"/>
  <c r="E49" i="19"/>
  <c r="E46" i="19"/>
  <c r="E20" i="14"/>
  <c r="F15" i="11"/>
  <c r="E20" i="15"/>
  <c r="F32" i="6"/>
  <c r="E8" i="16"/>
  <c r="E33" i="16"/>
  <c r="E13" i="16"/>
  <c r="F25" i="16"/>
  <c r="E25" i="15"/>
  <c r="E45" i="8"/>
  <c r="E56" i="15"/>
  <c r="E13" i="14"/>
  <c r="E50" i="3"/>
  <c r="F41" i="9"/>
  <c r="E54" i="17"/>
  <c r="F41" i="14"/>
  <c r="E63" i="11"/>
  <c r="F59" i="8"/>
  <c r="F54" i="8"/>
  <c r="E35" i="8"/>
  <c r="F15" i="19"/>
  <c r="E15" i="7"/>
  <c r="E7" i="7"/>
  <c r="F7" i="7"/>
  <c r="E8" i="10"/>
  <c r="F8" i="10"/>
  <c r="F54" i="19"/>
  <c r="E49" i="6"/>
  <c r="F49" i="6"/>
  <c r="E41" i="7"/>
  <c r="E55" i="8"/>
  <c r="E47" i="10"/>
  <c r="E63" i="13"/>
  <c r="F7" i="11"/>
  <c r="E21" i="10"/>
  <c r="F41" i="19"/>
  <c r="E41" i="19"/>
  <c r="E50" i="9"/>
  <c r="E7" i="9"/>
  <c r="F7" i="9"/>
  <c r="F23" i="11"/>
  <c r="F21" i="10"/>
  <c r="E26" i="10"/>
  <c r="E40" i="17"/>
  <c r="E62" i="12"/>
  <c r="E16" i="3"/>
  <c r="F16" i="3"/>
  <c r="E57" i="16"/>
  <c r="F20" i="7"/>
  <c r="F13" i="11"/>
  <c r="E30" i="14"/>
  <c r="E30" i="16"/>
  <c r="F12" i="7"/>
  <c r="F9" i="12"/>
  <c r="E21" i="12"/>
  <c r="E9" i="17"/>
  <c r="F20" i="5"/>
  <c r="F15" i="5"/>
  <c r="F27" i="11"/>
  <c r="E17" i="14"/>
  <c r="F9" i="8"/>
  <c r="E26" i="8"/>
  <c r="E9" i="3"/>
  <c r="F20" i="15"/>
  <c r="E13" i="11"/>
  <c r="E36" i="13"/>
  <c r="E44" i="6"/>
  <c r="E57" i="6"/>
  <c r="F18" i="10"/>
  <c r="E61" i="14"/>
  <c r="F62" i="10"/>
  <c r="E65" i="9"/>
  <c r="F65" i="9"/>
  <c r="F62" i="9"/>
  <c r="E62" i="9"/>
  <c r="F50" i="9"/>
  <c r="F51" i="5"/>
  <c r="F21" i="3"/>
  <c r="F15" i="3"/>
  <c r="E15" i="3"/>
  <c r="F36" i="14"/>
  <c r="E36" i="14"/>
  <c r="F36" i="18"/>
  <c r="E36" i="18"/>
  <c r="F21" i="8"/>
  <c r="E23" i="19"/>
  <c r="E31" i="11"/>
  <c r="E58" i="11"/>
  <c r="E49" i="11"/>
  <c r="F49" i="11"/>
  <c r="F59" i="12"/>
  <c r="F54" i="14"/>
  <c r="E51" i="16"/>
  <c r="F44" i="17"/>
  <c r="F45" i="18"/>
  <c r="E45" i="18"/>
  <c r="F21" i="18"/>
  <c r="F25" i="6"/>
  <c r="E25" i="6"/>
  <c r="F16" i="8"/>
  <c r="E16" i="8"/>
  <c r="F23" i="15"/>
  <c r="E16" i="16"/>
  <c r="F16" i="16"/>
  <c r="F8" i="17"/>
  <c r="E8" i="17"/>
  <c r="F52" i="22"/>
  <c r="E10" i="3"/>
  <c r="F8" i="23"/>
  <c r="F88" i="23"/>
  <c r="F7" i="23"/>
  <c r="D87" i="23"/>
  <c r="E87" i="23" s="1"/>
  <c r="E81" i="23"/>
  <c r="E23" i="23"/>
  <c r="F22" i="23"/>
  <c r="F18" i="23"/>
  <c r="F14" i="23"/>
  <c r="C19" i="23"/>
  <c r="F24" i="22"/>
  <c r="F53" i="3"/>
  <c r="F44" i="3"/>
  <c r="E23" i="3"/>
  <c r="E17" i="3"/>
  <c r="F36" i="3"/>
  <c r="E21" i="3"/>
  <c r="F49" i="3"/>
  <c r="D54" i="20"/>
  <c r="E54" i="20" s="1"/>
  <c r="E58" i="5"/>
  <c r="F53" i="5"/>
  <c r="F44" i="5"/>
  <c r="E26" i="5"/>
  <c r="E15" i="5"/>
  <c r="D10" i="20"/>
  <c r="E56" i="5"/>
  <c r="F7" i="5"/>
  <c r="E62" i="5"/>
  <c r="F23" i="5"/>
  <c r="F56" i="6"/>
  <c r="E58" i="6"/>
  <c r="F51" i="6"/>
  <c r="E47" i="6"/>
  <c r="E40" i="6"/>
  <c r="F40" i="6"/>
  <c r="F53" i="7"/>
  <c r="F13" i="7"/>
  <c r="F18" i="7"/>
  <c r="E50" i="7"/>
  <c r="E46" i="7"/>
  <c r="F31" i="20"/>
  <c r="F32" i="8"/>
  <c r="E8" i="8"/>
  <c r="F19" i="8"/>
  <c r="F53" i="8"/>
  <c r="F36" i="8"/>
  <c r="E13" i="8"/>
  <c r="F23" i="8"/>
  <c r="F64" i="9"/>
  <c r="E64" i="9"/>
  <c r="F13" i="10"/>
  <c r="E64" i="10"/>
  <c r="E57" i="10"/>
  <c r="F10" i="10"/>
  <c r="E43" i="10"/>
  <c r="F48" i="10"/>
  <c r="E18" i="11"/>
  <c r="E7" i="11"/>
  <c r="F14" i="11"/>
  <c r="F18" i="11"/>
  <c r="E33" i="11"/>
  <c r="F50" i="12"/>
  <c r="F7" i="12"/>
  <c r="E28" i="12"/>
  <c r="E36" i="12"/>
  <c r="E64" i="12"/>
  <c r="E41" i="12"/>
  <c r="E48" i="12"/>
  <c r="D11" i="20"/>
  <c r="E58" i="13"/>
  <c r="E44" i="13"/>
  <c r="E55" i="14"/>
  <c r="E65" i="14"/>
  <c r="F62" i="14"/>
  <c r="F64" i="14"/>
  <c r="F12" i="14"/>
  <c r="D12" i="20"/>
  <c r="E9" i="14"/>
  <c r="F21" i="14"/>
  <c r="E12" i="14"/>
  <c r="E50" i="15"/>
  <c r="E21" i="15"/>
  <c r="E48" i="15"/>
  <c r="E23" i="15"/>
  <c r="D53" i="20"/>
  <c r="D74" i="23" s="1"/>
  <c r="D59" i="20"/>
  <c r="D80" i="23" s="1"/>
  <c r="F80" i="23" s="1"/>
  <c r="E58" i="15"/>
  <c r="F50" i="15"/>
  <c r="E33" i="15"/>
  <c r="E44" i="15"/>
  <c r="F54" i="16"/>
  <c r="E43" i="16"/>
  <c r="F56" i="16"/>
  <c r="F58" i="16"/>
  <c r="E14" i="16"/>
  <c r="E45" i="16"/>
  <c r="D47" i="20"/>
  <c r="E47" i="20" s="1"/>
  <c r="F8" i="16"/>
  <c r="D51" i="20"/>
  <c r="E51" i="20" s="1"/>
  <c r="F25" i="17"/>
  <c r="F14" i="17"/>
  <c r="F7" i="17"/>
  <c r="E33" i="17"/>
  <c r="F54" i="17"/>
  <c r="E35" i="17"/>
  <c r="D36" i="20"/>
  <c r="F36" i="20" s="1"/>
  <c r="E56" i="17"/>
  <c r="D46" i="20"/>
  <c r="D67" i="23" s="1"/>
  <c r="F67" i="23" s="1"/>
  <c r="D57" i="20"/>
  <c r="D78" i="23" s="1"/>
  <c r="F78" i="23" s="1"/>
  <c r="F18" i="18"/>
  <c r="E41" i="18"/>
  <c r="E61" i="18"/>
  <c r="E20" i="18"/>
  <c r="E31" i="18"/>
  <c r="F65" i="18"/>
  <c r="F59" i="18"/>
  <c r="D55" i="20"/>
  <c r="D76" i="23" s="1"/>
  <c r="E76" i="23" s="1"/>
  <c r="D62" i="20"/>
  <c r="F22" i="18"/>
  <c r="E65" i="18"/>
  <c r="F62" i="18"/>
  <c r="F40" i="18"/>
  <c r="F64" i="16"/>
  <c r="E64" i="16"/>
  <c r="E61" i="13"/>
  <c r="E35" i="13"/>
  <c r="E63" i="10"/>
  <c r="E60" i="10"/>
  <c r="E35" i="10"/>
  <c r="E64" i="5"/>
  <c r="F64" i="5"/>
  <c r="E7" i="3"/>
  <c r="E26" i="3"/>
  <c r="F26" i="3"/>
  <c r="E25" i="12"/>
  <c r="F36" i="5"/>
  <c r="E36" i="5"/>
  <c r="E20" i="11"/>
  <c r="F20" i="11"/>
  <c r="F16" i="11"/>
  <c r="E16" i="11"/>
  <c r="E32" i="14"/>
  <c r="F32" i="14"/>
  <c r="E18" i="14"/>
  <c r="F18" i="14"/>
  <c r="F40" i="16"/>
  <c r="F56" i="3"/>
  <c r="E56" i="3"/>
  <c r="F49" i="7"/>
  <c r="F46" i="8"/>
  <c r="E51" i="9"/>
  <c r="F51" i="9"/>
  <c r="E56" i="10"/>
  <c r="F50" i="11"/>
  <c r="E50" i="11"/>
  <c r="F46" i="16"/>
  <c r="F51" i="17"/>
  <c r="E51" i="17"/>
  <c r="F9" i="7"/>
  <c r="E30" i="11"/>
  <c r="F30" i="11"/>
  <c r="F30" i="7"/>
  <c r="E29" i="10"/>
  <c r="F29" i="10"/>
  <c r="F9" i="16"/>
  <c r="F11" i="14"/>
  <c r="E30" i="7"/>
  <c r="F29" i="5"/>
  <c r="F58" i="3"/>
  <c r="E10" i="12"/>
  <c r="F40" i="9"/>
  <c r="D40" i="20"/>
  <c r="F40" i="20" s="1"/>
  <c r="F40" i="12"/>
  <c r="F53" i="11"/>
  <c r="E55" i="18"/>
  <c r="D44" i="20"/>
  <c r="D65" i="23" s="1"/>
  <c r="E65" i="23" s="1"/>
  <c r="E59" i="5"/>
  <c r="F45" i="3"/>
  <c r="F43" i="9"/>
  <c r="E50" i="6"/>
  <c r="F41" i="8"/>
  <c r="F59" i="14"/>
  <c r="E59" i="14"/>
  <c r="D41" i="20"/>
  <c r="F41" i="20" s="1"/>
  <c r="F7" i="14"/>
  <c r="F32" i="17"/>
  <c r="E26" i="14"/>
  <c r="E28" i="17"/>
  <c r="E21" i="17"/>
  <c r="F29" i="12"/>
  <c r="F7" i="3"/>
  <c r="E10" i="16"/>
  <c r="E47" i="17"/>
  <c r="F22" i="7"/>
  <c r="F14" i="7"/>
  <c r="E14" i="7"/>
  <c r="E63" i="12"/>
  <c r="E62" i="11"/>
  <c r="F62" i="11"/>
  <c r="E8" i="9"/>
  <c r="F27" i="12"/>
  <c r="F20" i="12"/>
  <c r="F26" i="17"/>
  <c r="F25" i="3"/>
  <c r="F16" i="14"/>
  <c r="E16" i="14"/>
  <c r="E25" i="5"/>
  <c r="F8" i="13"/>
  <c r="F40" i="14"/>
  <c r="E40" i="14"/>
  <c r="E59" i="6"/>
  <c r="F59" i="6"/>
  <c r="F48" i="8"/>
  <c r="E49" i="9"/>
  <c r="F45" i="9"/>
  <c r="E45" i="9"/>
  <c r="F43" i="13"/>
  <c r="F48" i="14"/>
  <c r="E48" i="14"/>
  <c r="E45" i="14"/>
  <c r="F45" i="14"/>
  <c r="E48" i="16"/>
  <c r="F48" i="16"/>
  <c r="F49" i="17"/>
  <c r="E49" i="17"/>
  <c r="F45" i="17"/>
  <c r="E45" i="17"/>
  <c r="F46" i="18"/>
  <c r="E46" i="18"/>
  <c r="E23" i="16"/>
  <c r="F18" i="16"/>
  <c r="E18" i="16"/>
  <c r="E16" i="17"/>
  <c r="F9" i="9"/>
  <c r="E9" i="9"/>
  <c r="D30" i="20"/>
  <c r="E30" i="20" s="1"/>
  <c r="F30" i="18"/>
  <c r="D9" i="20"/>
  <c r="E9" i="20" s="1"/>
  <c r="F11" i="7"/>
  <c r="E11" i="14"/>
  <c r="F58" i="10"/>
  <c r="F10" i="3"/>
  <c r="F12" i="3"/>
  <c r="E11" i="7"/>
  <c r="D26" i="20"/>
  <c r="D46" i="23" s="1"/>
  <c r="E46" i="23" s="1"/>
  <c r="E9" i="16"/>
  <c r="E58" i="3"/>
  <c r="F53" i="14"/>
  <c r="F59" i="15"/>
  <c r="F50" i="14"/>
  <c r="F56" i="17"/>
  <c r="D49" i="20"/>
  <c r="F49" i="20" s="1"/>
  <c r="E41" i="8"/>
  <c r="E50" i="18"/>
  <c r="D28" i="20"/>
  <c r="E28" i="20" s="1"/>
  <c r="E7" i="13"/>
  <c r="D23" i="20"/>
  <c r="E23" i="20" s="1"/>
  <c r="F16" i="5"/>
  <c r="E33" i="13"/>
  <c r="E27" i="12"/>
  <c r="F23" i="16"/>
  <c r="E35" i="14"/>
  <c r="E28" i="13"/>
  <c r="E49" i="7"/>
  <c r="E48" i="18"/>
  <c r="E58" i="10"/>
  <c r="F56" i="15"/>
  <c r="E65" i="13"/>
  <c r="E61" i="15"/>
  <c r="F65" i="7"/>
  <c r="E65" i="7"/>
  <c r="E28" i="7"/>
  <c r="E27" i="10"/>
  <c r="F27" i="10"/>
  <c r="F15" i="10"/>
  <c r="D15" i="20"/>
  <c r="F62" i="17"/>
  <c r="F62" i="16"/>
  <c r="E62" i="16"/>
  <c r="E64" i="15"/>
  <c r="E35" i="5"/>
  <c r="E65" i="3"/>
  <c r="F65" i="3"/>
  <c r="E28" i="16"/>
  <c r="F12" i="16"/>
  <c r="E12" i="16"/>
  <c r="F64" i="13"/>
  <c r="E64" i="13"/>
  <c r="E62" i="8"/>
  <c r="E33" i="18"/>
  <c r="F45" i="11"/>
  <c r="F49" i="16"/>
  <c r="F22" i="5"/>
  <c r="F65" i="19"/>
  <c r="C55" i="23"/>
  <c r="D56" i="20"/>
  <c r="F56" i="20" s="1"/>
  <c r="E56" i="19"/>
  <c r="F55" i="20"/>
  <c r="E58" i="19"/>
  <c r="F57" i="20"/>
  <c r="D43" i="20"/>
  <c r="F43" i="20" s="1"/>
  <c r="F43" i="19"/>
  <c r="F29" i="19"/>
  <c r="D14" i="20"/>
  <c r="D50" i="20"/>
  <c r="D71" i="23" s="1"/>
  <c r="F40" i="19"/>
  <c r="F7" i="19"/>
  <c r="F14" i="19"/>
  <c r="E43" i="19"/>
  <c r="D45" i="20"/>
  <c r="F45" i="20" s="1"/>
  <c r="F58" i="19"/>
  <c r="D33" i="20"/>
  <c r="D53" i="23" s="1"/>
  <c r="F27" i="19"/>
  <c r="F63" i="20"/>
  <c r="E65" i="19"/>
  <c r="D58" i="20"/>
  <c r="D79" i="23" s="1"/>
  <c r="F79" i="23" s="1"/>
  <c r="F50" i="19"/>
  <c r="E50" i="19"/>
  <c r="E48" i="19"/>
  <c r="F45" i="19"/>
  <c r="E35" i="19"/>
  <c r="F32" i="19"/>
  <c r="C53" i="23"/>
  <c r="C24" i="20"/>
  <c r="C6" i="20" s="1"/>
  <c r="D32" i="20"/>
  <c r="D52" i="23" s="1"/>
  <c r="D21" i="20"/>
  <c r="F21" i="20" s="1"/>
  <c r="F19" i="19"/>
  <c r="E14" i="19"/>
  <c r="F21" i="19"/>
  <c r="D8" i="20"/>
  <c r="E8" i="20" s="1"/>
  <c r="C74" i="23"/>
  <c r="C52" i="20"/>
  <c r="F28" i="20"/>
  <c r="C48" i="23"/>
  <c r="F64" i="17"/>
  <c r="E64" i="17"/>
  <c r="E63" i="16"/>
  <c r="F65" i="12"/>
  <c r="E61" i="7"/>
  <c r="E61" i="5"/>
  <c r="E31" i="10"/>
  <c r="F17" i="10"/>
  <c r="D19" i="20"/>
  <c r="F19" i="20" s="1"/>
  <c r="E19" i="17"/>
  <c r="F29" i="3"/>
  <c r="E29" i="3"/>
  <c r="E51" i="22"/>
  <c r="D25" i="20"/>
  <c r="D45" i="23" s="1"/>
  <c r="F45" i="23" s="1"/>
  <c r="C69" i="23"/>
  <c r="E26" i="13"/>
  <c r="E31" i="12"/>
  <c r="E63" i="6"/>
  <c r="F13" i="12"/>
  <c r="E22" i="19"/>
  <c r="F22" i="19"/>
  <c r="E11" i="16"/>
  <c r="F9" i="5"/>
  <c r="E30" i="9"/>
  <c r="E30" i="3"/>
  <c r="F30" i="3"/>
  <c r="F29" i="17"/>
  <c r="E29" i="17"/>
  <c r="E29" i="8"/>
  <c r="E29" i="6"/>
  <c r="F54" i="22"/>
  <c r="F50" i="22"/>
  <c r="E50" i="22"/>
  <c r="E10" i="7"/>
  <c r="F11" i="16"/>
  <c r="E11" i="3"/>
  <c r="F32" i="5"/>
  <c r="E27" i="7"/>
  <c r="F11" i="12"/>
  <c r="F26" i="13"/>
  <c r="D61" i="20"/>
  <c r="F64" i="11"/>
  <c r="E64" i="11"/>
  <c r="E63" i="8"/>
  <c r="F64" i="7"/>
  <c r="E64" i="7"/>
  <c r="E62" i="7"/>
  <c r="F62" i="7"/>
  <c r="E62" i="6"/>
  <c r="F62" i="6"/>
  <c r="E56" i="22"/>
  <c r="F56" i="22"/>
  <c r="E47" i="22"/>
  <c r="E29" i="12"/>
  <c r="F53" i="19"/>
  <c r="E53" i="19"/>
  <c r="D48" i="20"/>
  <c r="D69" i="23" s="1"/>
  <c r="F59" i="3"/>
  <c r="E59" i="3"/>
  <c r="E54" i="3"/>
  <c r="F54" i="3"/>
  <c r="E47" i="3"/>
  <c r="F43" i="3"/>
  <c r="E54" i="5"/>
  <c r="F54" i="5"/>
  <c r="F49" i="5"/>
  <c r="E46" i="5"/>
  <c r="F41" i="5"/>
  <c r="E53" i="6"/>
  <c r="F53" i="6"/>
  <c r="E48" i="6"/>
  <c r="F48" i="6"/>
  <c r="E45" i="6"/>
  <c r="E59" i="7"/>
  <c r="E55" i="7"/>
  <c r="E47" i="7"/>
  <c r="F44" i="7"/>
  <c r="E44" i="7"/>
  <c r="F58" i="9"/>
  <c r="F54" i="9"/>
  <c r="E46" i="10"/>
  <c r="E41" i="10"/>
  <c r="E46" i="11"/>
  <c r="E51" i="12"/>
  <c r="F51" i="12"/>
  <c r="E57" i="13"/>
  <c r="F53" i="16"/>
  <c r="E17" i="19"/>
  <c r="F17" i="19"/>
  <c r="E32" i="22"/>
  <c r="F28" i="22"/>
  <c r="E28" i="22"/>
  <c r="F65" i="16"/>
  <c r="E65" i="16"/>
  <c r="E61" i="16"/>
  <c r="E25" i="10"/>
  <c r="E8" i="12"/>
  <c r="F8" i="12"/>
  <c r="E18" i="19"/>
  <c r="E29" i="9"/>
  <c r="F32" i="10"/>
  <c r="E32" i="10"/>
  <c r="C42" i="20"/>
  <c r="E17" i="10"/>
  <c r="D65" i="20"/>
  <c r="E64" i="22"/>
  <c r="E35" i="16"/>
  <c r="D35" i="20"/>
  <c r="E35" i="20" s="1"/>
  <c r="E55" i="13"/>
  <c r="E9" i="5"/>
  <c r="D13" i="20"/>
  <c r="E13" i="20" s="1"/>
  <c r="D27" i="20"/>
  <c r="D17" i="20"/>
  <c r="F17" i="20" s="1"/>
  <c r="D22" i="20"/>
  <c r="F19" i="17"/>
  <c r="E54" i="22"/>
  <c r="D7" i="20"/>
  <c r="E7" i="20" s="1"/>
  <c r="D18" i="20"/>
  <c r="D38" i="23" s="1"/>
  <c r="E38" i="23" s="1"/>
  <c r="E64" i="14"/>
  <c r="D63" i="20"/>
  <c r="D85" i="23" s="1"/>
  <c r="E63" i="14"/>
  <c r="E35" i="7"/>
  <c r="F8" i="3"/>
  <c r="E8" i="3"/>
  <c r="E30" i="13"/>
  <c r="F7" i="10"/>
  <c r="E20" i="19"/>
  <c r="D20" i="20"/>
  <c r="E20" i="20" s="1"/>
  <c r="E27" i="17"/>
  <c r="F27" i="17"/>
  <c r="E22" i="17"/>
  <c r="F17" i="17"/>
  <c r="E17" i="17"/>
  <c r="F26" i="11"/>
  <c r="E26" i="11"/>
  <c r="E31" i="14"/>
  <c r="D31" i="20"/>
  <c r="E33" i="22"/>
  <c r="C60" i="20"/>
  <c r="F47" i="20"/>
  <c r="C68" i="23"/>
  <c r="F68" i="23" s="1"/>
  <c r="E65" i="15"/>
  <c r="F65" i="15"/>
  <c r="E61" i="11"/>
  <c r="E61" i="8"/>
  <c r="F61" i="8"/>
  <c r="F60" i="8"/>
  <c r="E35" i="6"/>
  <c r="E36" i="7"/>
  <c r="E46" i="22"/>
  <c r="E43" i="22"/>
  <c r="F43" i="22"/>
  <c r="F23" i="12"/>
  <c r="E23" i="10"/>
  <c r="E16" i="10"/>
  <c r="F16" i="10"/>
  <c r="F40" i="15"/>
  <c r="F59" i="19"/>
  <c r="F51" i="19"/>
  <c r="E51" i="19"/>
  <c r="F53" i="10"/>
  <c r="F59" i="11"/>
  <c r="E59" i="11"/>
  <c r="E57" i="11"/>
  <c r="E43" i="14"/>
  <c r="D16" i="20"/>
  <c r="E19" i="22"/>
  <c r="E35" i="18"/>
  <c r="F62" i="13"/>
  <c r="E35" i="9"/>
  <c r="F65" i="8"/>
  <c r="F65" i="6"/>
  <c r="E61" i="6"/>
  <c r="E63" i="3"/>
  <c r="E20" i="3"/>
  <c r="F20" i="3"/>
  <c r="E14" i="3"/>
  <c r="F18" i="17"/>
  <c r="F59" i="22"/>
  <c r="D60" i="19"/>
  <c r="F60" i="19" s="1"/>
  <c r="E31" i="19"/>
  <c r="E64" i="6"/>
  <c r="F64" i="6"/>
  <c r="F23" i="14"/>
  <c r="D64" i="20"/>
  <c r="D86" i="23" s="1"/>
  <c r="E52" i="15"/>
  <c r="D42" i="19"/>
  <c r="E42" i="7"/>
  <c r="E52" i="9"/>
  <c r="D52" i="19"/>
  <c r="E13" i="23"/>
  <c r="D12" i="23"/>
  <c r="F12" i="23" s="1"/>
  <c r="D9" i="23"/>
  <c r="C92" i="23"/>
  <c r="D15" i="23"/>
  <c r="E17" i="23"/>
  <c r="E25" i="23"/>
  <c r="F16" i="23"/>
  <c r="E25" i="22"/>
  <c r="E20" i="22"/>
  <c r="E63" i="15"/>
  <c r="E62" i="15"/>
  <c r="F65" i="13"/>
  <c r="E65" i="12"/>
  <c r="E35" i="12"/>
  <c r="E35" i="22"/>
  <c r="E26" i="22"/>
  <c r="E21" i="22"/>
  <c r="E17" i="22"/>
  <c r="E63" i="18"/>
  <c r="F62" i="15"/>
  <c r="E65" i="6"/>
  <c r="F61" i="5"/>
  <c r="E16" i="19"/>
  <c r="D29" i="20"/>
  <c r="E25" i="19"/>
  <c r="E8" i="19"/>
  <c r="E10" i="11"/>
  <c r="E25" i="13"/>
  <c r="E52" i="13"/>
  <c r="F36" i="19"/>
  <c r="F35" i="20" l="1"/>
  <c r="E54" i="23"/>
  <c r="F54" i="23"/>
  <c r="F61" i="20"/>
  <c r="D83" i="23"/>
  <c r="D84" i="23"/>
  <c r="F84" i="23" s="1"/>
  <c r="F33" i="20"/>
  <c r="F6" i="23"/>
  <c r="E9" i="23"/>
  <c r="D6" i="19"/>
  <c r="E6" i="9"/>
  <c r="E60" i="9"/>
  <c r="E60" i="16"/>
  <c r="E10" i="20"/>
  <c r="F51" i="20"/>
  <c r="F60" i="9"/>
  <c r="E60" i="15"/>
  <c r="F10" i="20"/>
  <c r="F60" i="16"/>
  <c r="F60" i="18"/>
  <c r="F60" i="15"/>
  <c r="F87" i="23"/>
  <c r="F11" i="20"/>
  <c r="F54" i="20"/>
  <c r="E12" i="23"/>
  <c r="D75" i="23"/>
  <c r="F75" i="23" s="1"/>
  <c r="E78" i="23"/>
  <c r="E12" i="20"/>
  <c r="F14" i="20"/>
  <c r="D50" i="23"/>
  <c r="E50" i="23" s="1"/>
  <c r="F26" i="20"/>
  <c r="F53" i="20"/>
  <c r="F62" i="20"/>
  <c r="E67" i="23"/>
  <c r="E11" i="20"/>
  <c r="D68" i="23"/>
  <c r="E68" i="23" s="1"/>
  <c r="E36" i="20"/>
  <c r="E57" i="20"/>
  <c r="D56" i="23"/>
  <c r="E56" i="23" s="1"/>
  <c r="F12" i="20"/>
  <c r="E15" i="20"/>
  <c r="E74" i="23"/>
  <c r="E62" i="20"/>
  <c r="E53" i="20"/>
  <c r="F15" i="20"/>
  <c r="E46" i="20"/>
  <c r="D72" i="23"/>
  <c r="E72" i="23" s="1"/>
  <c r="E59" i="20"/>
  <c r="F59" i="20"/>
  <c r="D43" i="23"/>
  <c r="F43" i="23" s="1"/>
  <c r="E55" i="20"/>
  <c r="F18" i="20"/>
  <c r="F46" i="20"/>
  <c r="E19" i="20"/>
  <c r="E44" i="20"/>
  <c r="E49" i="20"/>
  <c r="F38" i="23"/>
  <c r="F65" i="23"/>
  <c r="F9" i="20"/>
  <c r="E60" i="18"/>
  <c r="D48" i="23"/>
  <c r="F48" i="23" s="1"/>
  <c r="F30" i="20"/>
  <c r="F46" i="23"/>
  <c r="E58" i="20"/>
  <c r="E24" i="5"/>
  <c r="F24" i="5"/>
  <c r="E24" i="9"/>
  <c r="E18" i="20"/>
  <c r="F23" i="20"/>
  <c r="F60" i="10"/>
  <c r="D64" i="23"/>
  <c r="E64" i="23" s="1"/>
  <c r="D77" i="23"/>
  <c r="E43" i="20"/>
  <c r="D61" i="23"/>
  <c r="E61" i="23" s="1"/>
  <c r="D70" i="23"/>
  <c r="E70" i="23" s="1"/>
  <c r="E26" i="20"/>
  <c r="E24" i="16"/>
  <c r="F24" i="16"/>
  <c r="F60" i="13"/>
  <c r="E60" i="13"/>
  <c r="D62" i="23"/>
  <c r="E41" i="20"/>
  <c r="E38" i="5"/>
  <c r="F44" i="20"/>
  <c r="F53" i="23"/>
  <c r="E40" i="20"/>
  <c r="F24" i="9"/>
  <c r="F25" i="20"/>
  <c r="D55" i="23"/>
  <c r="E55" i="23" s="1"/>
  <c r="E14" i="20"/>
  <c r="E56" i="20"/>
  <c r="E33" i="20"/>
  <c r="F58" i="20"/>
  <c r="D52" i="20"/>
  <c r="F52" i="20" s="1"/>
  <c r="E45" i="23"/>
  <c r="F20" i="20"/>
  <c r="E53" i="23"/>
  <c r="C44" i="23"/>
  <c r="E45" i="20"/>
  <c r="D66" i="23"/>
  <c r="D40" i="23"/>
  <c r="E40" i="23" s="1"/>
  <c r="E79" i="23"/>
  <c r="F50" i="20"/>
  <c r="E50" i="20"/>
  <c r="F74" i="23"/>
  <c r="E69" i="23"/>
  <c r="F32" i="20"/>
  <c r="E32" i="20"/>
  <c r="E25" i="20"/>
  <c r="D41" i="23"/>
  <c r="F13" i="20"/>
  <c r="E21" i="20"/>
  <c r="E16" i="20"/>
  <c r="D39" i="23"/>
  <c r="F39" i="23" s="1"/>
  <c r="F8" i="20"/>
  <c r="E6" i="10"/>
  <c r="F6" i="10"/>
  <c r="F6" i="12"/>
  <c r="E6" i="12"/>
  <c r="E52" i="10"/>
  <c r="F52" i="10"/>
  <c r="E24" i="3"/>
  <c r="F24" i="3"/>
  <c r="E24" i="8"/>
  <c r="F24" i="8"/>
  <c r="F6" i="8"/>
  <c r="C82" i="23"/>
  <c r="D51" i="23"/>
  <c r="E51" i="23" s="1"/>
  <c r="E31" i="20"/>
  <c r="D90" i="23"/>
  <c r="F65" i="20"/>
  <c r="E65" i="20"/>
  <c r="F42" i="22"/>
  <c r="E42" i="22"/>
  <c r="E24" i="7"/>
  <c r="F24" i="7"/>
  <c r="F42" i="15"/>
  <c r="E42" i="15"/>
  <c r="F24" i="18"/>
  <c r="E24" i="18"/>
  <c r="F24" i="11"/>
  <c r="E24" i="11"/>
  <c r="F60" i="12"/>
  <c r="E60" i="12"/>
  <c r="E52" i="6"/>
  <c r="F52" i="6"/>
  <c r="E52" i="3"/>
  <c r="F52" i="3"/>
  <c r="F60" i="6"/>
  <c r="E60" i="6"/>
  <c r="C73" i="23"/>
  <c r="D37" i="23"/>
  <c r="D39" i="19"/>
  <c r="E42" i="19"/>
  <c r="F42" i="19"/>
  <c r="F52" i="15"/>
  <c r="F64" i="20"/>
  <c r="E64" i="20"/>
  <c r="E42" i="9"/>
  <c r="F42" i="9"/>
  <c r="E60" i="19"/>
  <c r="E52" i="11"/>
  <c r="F52" i="11"/>
  <c r="E60" i="8"/>
  <c r="F52" i="5"/>
  <c r="E52" i="5"/>
  <c r="F69" i="23"/>
  <c r="F83" i="23"/>
  <c r="E61" i="20"/>
  <c r="E48" i="20"/>
  <c r="F60" i="17"/>
  <c r="E60" i="17"/>
  <c r="D42" i="20"/>
  <c r="C38" i="20"/>
  <c r="F42" i="7"/>
  <c r="F42" i="11"/>
  <c r="F60" i="11"/>
  <c r="E60" i="22"/>
  <c r="F60" i="22"/>
  <c r="D47" i="23"/>
  <c r="E27" i="20"/>
  <c r="F42" i="3"/>
  <c r="E42" i="3"/>
  <c r="F27" i="20"/>
  <c r="E52" i="19"/>
  <c r="F52" i="19"/>
  <c r="F52" i="7"/>
  <c r="E52" i="7"/>
  <c r="F42" i="14"/>
  <c r="E42" i="14"/>
  <c r="E63" i="20"/>
  <c r="E42" i="11"/>
  <c r="D60" i="20"/>
  <c r="F60" i="20" s="1"/>
  <c r="E80" i="23"/>
  <c r="E17" i="20"/>
  <c r="F16" i="20"/>
  <c r="F52" i="9"/>
  <c r="F24" i="12"/>
  <c r="E24" i="12"/>
  <c r="E52" i="12"/>
  <c r="F52" i="12"/>
  <c r="F60" i="3"/>
  <c r="E60" i="3"/>
  <c r="E60" i="11"/>
  <c r="E38" i="16"/>
  <c r="F38" i="16"/>
  <c r="F60" i="14"/>
  <c r="E60" i="14"/>
  <c r="E60" i="5"/>
  <c r="F60" i="5"/>
  <c r="F7" i="20"/>
  <c r="F71" i="23"/>
  <c r="E71" i="23"/>
  <c r="E22" i="20"/>
  <c r="D42" i="23"/>
  <c r="F22" i="20"/>
  <c r="C39" i="20"/>
  <c r="F24" i="10"/>
  <c r="E24" i="10"/>
  <c r="C63" i="23"/>
  <c r="E60" i="7"/>
  <c r="F60" i="7"/>
  <c r="F48" i="20"/>
  <c r="F6" i="9"/>
  <c r="D92" i="23"/>
  <c r="F92" i="23" s="1"/>
  <c r="D19" i="23"/>
  <c r="E15" i="23"/>
  <c r="F15" i="23"/>
  <c r="E52" i="23"/>
  <c r="F52" i="23"/>
  <c r="E42" i="18"/>
  <c r="F42" i="18"/>
  <c r="F42" i="13"/>
  <c r="E42" i="13"/>
  <c r="F42" i="12"/>
  <c r="E42" i="12"/>
  <c r="E52" i="16"/>
  <c r="F52" i="16"/>
  <c r="F42" i="10"/>
  <c r="E42" i="10"/>
  <c r="F24" i="17"/>
  <c r="E24" i="17"/>
  <c r="F52" i="8"/>
  <c r="E52" i="8"/>
  <c r="E24" i="15"/>
  <c r="F24" i="15"/>
  <c r="F42" i="8"/>
  <c r="E42" i="8"/>
  <c r="F52" i="13"/>
  <c r="F24" i="13"/>
  <c r="F42" i="6"/>
  <c r="E42" i="6"/>
  <c r="F24" i="19"/>
  <c r="D38" i="19"/>
  <c r="D24" i="20"/>
  <c r="D6" i="20" s="1"/>
  <c r="D49" i="23"/>
  <c r="F29" i="20"/>
  <c r="E29" i="20"/>
  <c r="F24" i="6"/>
  <c r="E24" i="6"/>
  <c r="E52" i="18"/>
  <c r="F52" i="18"/>
  <c r="F24" i="14"/>
  <c r="E24" i="14"/>
  <c r="F42" i="16"/>
  <c r="E42" i="16"/>
  <c r="F52" i="17"/>
  <c r="E52" i="17"/>
  <c r="F42" i="5"/>
  <c r="E42" i="5"/>
  <c r="F52" i="14"/>
  <c r="E52" i="14"/>
  <c r="E42" i="17"/>
  <c r="F42" i="17"/>
  <c r="F55" i="23" l="1"/>
  <c r="E84" i="23"/>
  <c r="E75" i="23"/>
  <c r="F38" i="5"/>
  <c r="F6" i="5"/>
  <c r="E6" i="5"/>
  <c r="E92" i="23"/>
  <c r="F50" i="23"/>
  <c r="E43" i="23"/>
  <c r="F56" i="23"/>
  <c r="E38" i="8"/>
  <c r="F64" i="23"/>
  <c r="F72" i="23"/>
  <c r="E48" i="23"/>
  <c r="C60" i="23"/>
  <c r="F61" i="23"/>
  <c r="E77" i="23"/>
  <c r="F77" i="23"/>
  <c r="D63" i="23"/>
  <c r="F63" i="23" s="1"/>
  <c r="D73" i="23"/>
  <c r="E73" i="23" s="1"/>
  <c r="E6" i="16"/>
  <c r="F6" i="16"/>
  <c r="E62" i="23"/>
  <c r="F62" i="23"/>
  <c r="F38" i="8"/>
  <c r="F70" i="23"/>
  <c r="E38" i="9"/>
  <c r="F38" i="9"/>
  <c r="E52" i="20"/>
  <c r="D39" i="20"/>
  <c r="E39" i="20" s="1"/>
  <c r="E39" i="23"/>
  <c r="F40" i="23"/>
  <c r="F66" i="23"/>
  <c r="E66" i="23"/>
  <c r="E60" i="20"/>
  <c r="E42" i="20"/>
  <c r="F42" i="20"/>
  <c r="E41" i="23"/>
  <c r="F41" i="23"/>
  <c r="E38" i="3"/>
  <c r="F38" i="3"/>
  <c r="F38" i="10"/>
  <c r="E38" i="10"/>
  <c r="E39" i="7"/>
  <c r="F39" i="7"/>
  <c r="F39" i="9"/>
  <c r="E39" i="9"/>
  <c r="F86" i="23"/>
  <c r="E86" i="23"/>
  <c r="E37" i="23"/>
  <c r="F37" i="23"/>
  <c r="E38" i="11"/>
  <c r="F38" i="11"/>
  <c r="D82" i="23"/>
  <c r="F82" i="23" s="1"/>
  <c r="F85" i="23"/>
  <c r="E85" i="23"/>
  <c r="F38" i="18"/>
  <c r="E38" i="18"/>
  <c r="F39" i="15"/>
  <c r="E39" i="15"/>
  <c r="E6" i="7"/>
  <c r="F6" i="7"/>
  <c r="F90" i="23"/>
  <c r="E90" i="23"/>
  <c r="E83" i="23"/>
  <c r="F38" i="12"/>
  <c r="E38" i="12"/>
  <c r="E47" i="23"/>
  <c r="F47" i="23"/>
  <c r="F39" i="11"/>
  <c r="E39" i="11"/>
  <c r="E38" i="7"/>
  <c r="F38" i="7"/>
  <c r="E6" i="8"/>
  <c r="F42" i="23"/>
  <c r="E42" i="23"/>
  <c r="F6" i="18"/>
  <c r="E6" i="18"/>
  <c r="F39" i="3"/>
  <c r="E39" i="3"/>
  <c r="F39" i="19"/>
  <c r="E39" i="19"/>
  <c r="E6" i="11"/>
  <c r="F6" i="11"/>
  <c r="F39" i="22"/>
  <c r="E39" i="22"/>
  <c r="E6" i="3"/>
  <c r="F6" i="3"/>
  <c r="F19" i="23"/>
  <c r="E19" i="23"/>
  <c r="E39" i="14"/>
  <c r="F39" i="14"/>
  <c r="E38" i="14"/>
  <c r="F38" i="14"/>
  <c r="F49" i="23"/>
  <c r="E49" i="23"/>
  <c r="F6" i="13"/>
  <c r="E6" i="13"/>
  <c r="E6" i="6"/>
  <c r="F6" i="6"/>
  <c r="E38" i="6"/>
  <c r="F38" i="6"/>
  <c r="D44" i="23"/>
  <c r="E24" i="20"/>
  <c r="F24" i="20"/>
  <c r="F6" i="17"/>
  <c r="E6" i="17"/>
  <c r="F39" i="12"/>
  <c r="E39" i="12"/>
  <c r="E39" i="13"/>
  <c r="F39" i="13"/>
  <c r="E39" i="18"/>
  <c r="F39" i="18"/>
  <c r="F39" i="17"/>
  <c r="E39" i="17"/>
  <c r="F39" i="5"/>
  <c r="E39" i="5"/>
  <c r="F39" i="16"/>
  <c r="E39" i="16"/>
  <c r="F6" i="19"/>
  <c r="E6" i="19"/>
  <c r="F39" i="6"/>
  <c r="E39" i="6"/>
  <c r="F6" i="15"/>
  <c r="E6" i="15"/>
  <c r="F6" i="14"/>
  <c r="E6" i="14"/>
  <c r="F38" i="19"/>
  <c r="D38" i="20"/>
  <c r="E38" i="19"/>
  <c r="E38" i="13"/>
  <c r="F38" i="13"/>
  <c r="E39" i="8"/>
  <c r="F39" i="8"/>
  <c r="F38" i="15"/>
  <c r="E38" i="15"/>
  <c r="F38" i="17"/>
  <c r="E38" i="17"/>
  <c r="E39" i="10"/>
  <c r="F39" i="10"/>
  <c r="D60" i="23" l="1"/>
  <c r="F60" i="23" s="1"/>
  <c r="E63" i="23"/>
  <c r="F73" i="23"/>
  <c r="F39" i="20"/>
  <c r="E82" i="23"/>
  <c r="F38" i="20"/>
  <c r="E38" i="20"/>
  <c r="F6" i="20"/>
  <c r="E6" i="20"/>
  <c r="E44" i="23"/>
  <c r="F44" i="23"/>
  <c r="E60" i="23" l="1"/>
  <c r="F11" i="22" l="1"/>
  <c r="F8" i="22"/>
  <c r="F16" i="22"/>
  <c r="F13" i="22"/>
  <c r="C28" i="23"/>
  <c r="C33" i="23"/>
  <c r="C35" i="23"/>
  <c r="F15" i="22"/>
  <c r="F14" i="22"/>
  <c r="C32" i="23"/>
  <c r="F12" i="22"/>
  <c r="F9" i="22"/>
  <c r="F7" i="22"/>
  <c r="F10" i="22"/>
  <c r="C30" i="23"/>
  <c r="D34" i="23"/>
  <c r="C34" i="23"/>
  <c r="E8" i="22"/>
  <c r="C29" i="23"/>
  <c r="E9" i="22"/>
  <c r="C31" i="23"/>
  <c r="C36" i="23"/>
  <c r="E10" i="22"/>
  <c r="E12" i="22"/>
  <c r="C27" i="23"/>
  <c r="E11" i="22"/>
  <c r="D36" i="23"/>
  <c r="E13" i="22"/>
  <c r="E15" i="22"/>
  <c r="F38" i="22"/>
  <c r="C26" i="23" l="1"/>
  <c r="C93" i="23" s="1"/>
  <c r="E34" i="23"/>
  <c r="D30" i="23"/>
  <c r="F30" i="23" s="1"/>
  <c r="D28" i="23"/>
  <c r="E28" i="23" s="1"/>
  <c r="E7" i="22"/>
  <c r="E16" i="22"/>
  <c r="D33" i="23"/>
  <c r="E33" i="23" s="1"/>
  <c r="F34" i="23"/>
  <c r="C58" i="23"/>
  <c r="D27" i="23"/>
  <c r="E36" i="23"/>
  <c r="F36" i="23"/>
  <c r="D29" i="23"/>
  <c r="E29" i="23" s="1"/>
  <c r="D32" i="23"/>
  <c r="E32" i="23" s="1"/>
  <c r="E14" i="22"/>
  <c r="D31" i="23"/>
  <c r="F31" i="23" s="1"/>
  <c r="D35" i="23"/>
  <c r="E35" i="23" s="1"/>
  <c r="F27" i="23" l="1"/>
  <c r="D26" i="23"/>
  <c r="D93" i="23" s="1"/>
  <c r="E27" i="23"/>
  <c r="F28" i="23"/>
  <c r="E30" i="23"/>
  <c r="D58" i="23"/>
  <c r="F58" i="23" s="1"/>
  <c r="E38" i="22"/>
  <c r="C24" i="23"/>
  <c r="C59" i="23" s="1"/>
  <c r="F33" i="23"/>
  <c r="F29" i="23"/>
  <c r="E6" i="22"/>
  <c r="E31" i="23"/>
  <c r="F35" i="23"/>
  <c r="F6" i="22"/>
  <c r="F32" i="23"/>
  <c r="E58" i="23" l="1"/>
  <c r="C91" i="23"/>
  <c r="D24" i="23"/>
  <c r="F26" i="23"/>
  <c r="E26" i="23"/>
  <c r="D59" i="23" l="1"/>
  <c r="F24" i="23"/>
  <c r="E24" i="23"/>
  <c r="F93" i="23"/>
  <c r="E93" i="23"/>
  <c r="D91" i="23" l="1"/>
  <c r="F59" i="23"/>
  <c r="E59" i="23"/>
  <c r="E91" i="23" l="1"/>
  <c r="F91" i="23"/>
</calcChain>
</file>

<file path=xl/sharedStrings.xml><?xml version="1.0" encoding="utf-8"?>
<sst xmlns="http://schemas.openxmlformats.org/spreadsheetml/2006/main" count="2484" uniqueCount="202">
  <si>
    <t>B2</t>
  </si>
  <si>
    <t>B2.1</t>
  </si>
  <si>
    <t>B2.2</t>
  </si>
  <si>
    <t>B2.3</t>
  </si>
  <si>
    <t>B2.4</t>
  </si>
  <si>
    <t>B2.5</t>
  </si>
  <si>
    <t>B2.6</t>
  </si>
  <si>
    <t>B2.7</t>
  </si>
  <si>
    <t>B2.8</t>
  </si>
  <si>
    <t>B2.9</t>
  </si>
  <si>
    <t>B2.10</t>
  </si>
  <si>
    <t>B2.11</t>
  </si>
  <si>
    <t>B2.12</t>
  </si>
  <si>
    <t>B2.13</t>
  </si>
  <si>
    <t>B2.14</t>
  </si>
  <si>
    <t>B2.15</t>
  </si>
  <si>
    <t>D.</t>
  </si>
  <si>
    <t>D1</t>
  </si>
  <si>
    <t>zużycie materiałów i energii</t>
  </si>
  <si>
    <t>D2</t>
  </si>
  <si>
    <t>usługi obce</t>
  </si>
  <si>
    <t>D3</t>
  </si>
  <si>
    <t>D4</t>
  </si>
  <si>
    <t>D5</t>
  </si>
  <si>
    <t>D6</t>
  </si>
  <si>
    <t>koszty funkcjonowania Rady Funduszu</t>
  </si>
  <si>
    <t>D7</t>
  </si>
  <si>
    <t>D8</t>
  </si>
  <si>
    <t>pozostałe koszty administracyjne</t>
  </si>
  <si>
    <t>F2</t>
  </si>
  <si>
    <t>F3</t>
  </si>
  <si>
    <t>podatki stanowiące dochody własne jednostek samorządu terytorialnego, w tym:</t>
  </si>
  <si>
    <t>podatek od nieruchomości</t>
  </si>
  <si>
    <t>opłaty stanowiące dochody własne jednostek samorządu terytorialnego</t>
  </si>
  <si>
    <t>VAT</t>
  </si>
  <si>
    <t>podatek akcyzowy</t>
  </si>
  <si>
    <t>wpłaty na PFRON</t>
  </si>
  <si>
    <t>inne</t>
  </si>
  <si>
    <t>D3.1</t>
  </si>
  <si>
    <t>D3.1.1</t>
  </si>
  <si>
    <t>D3.2</t>
  </si>
  <si>
    <t>D3.3</t>
  </si>
  <si>
    <t>D3.4</t>
  </si>
  <si>
    <t>D3.5</t>
  </si>
  <si>
    <t>D3.6</t>
  </si>
  <si>
    <t>składki na Fundusz Ubezpieczeń Społecznych</t>
  </si>
  <si>
    <t>składki na Fundusz Pracy</t>
  </si>
  <si>
    <t>składki na Fundusz Gwarantowanych Świadczeń Pracowniczych</t>
  </si>
  <si>
    <t>pozostałe świadczenia</t>
  </si>
  <si>
    <t>D5.1</t>
  </si>
  <si>
    <t>D5.2</t>
  </si>
  <si>
    <t>D5.3</t>
  </si>
  <si>
    <t>D5.4</t>
  </si>
  <si>
    <t>Wyszczególnienie</t>
  </si>
  <si>
    <t>rezerwa na zobowiązania wynikające z postępowań sądowych</t>
  </si>
  <si>
    <t>B2.3.1</t>
  </si>
  <si>
    <t>B4</t>
  </si>
  <si>
    <t>B3</t>
  </si>
  <si>
    <t xml:space="preserve">Koszty programów polityki zdrowotnej realizowanych na zlecenie </t>
  </si>
  <si>
    <t>Koszty realizacji zadań zespołów ratownictwa medycznego</t>
  </si>
  <si>
    <t xml:space="preserve">Koszty Dolnośląskiego Oddziału Wojewódzkiego Narodowego Funduszu Zdrowia </t>
  </si>
  <si>
    <t>Koszty Kujawsko-Pomorskiego Oddziału Wojewódzkiego Narodowego Funduszu Zdrowia</t>
  </si>
  <si>
    <t>Koszty Lubelskiego Oddziału Wojewódzkiego Narodowego Funduszu Zdrowia</t>
  </si>
  <si>
    <t>Koszty Lubuskiego Oddziału Wojewódzkiego Narodowego Funduszu Zdrowia</t>
  </si>
  <si>
    <t>Koszty Łódzkiego Oddziału Wojewódzkiego Narodowego Funduszu Zdrowia</t>
  </si>
  <si>
    <t>Koszty Małopolskiego Oddziału Wojewódzkiego Narodowego Funduszu Zdrowia</t>
  </si>
  <si>
    <t>Koszty Mazowieckiego Oddziału Wojewódzkiego Narodowego Funduszu Zdrowia</t>
  </si>
  <si>
    <t>Koszty Opolskiego Oddziału Wojewódzkiego Narodowego Funduszu Zdrowia</t>
  </si>
  <si>
    <t>Koszty Podkarpackiego Oddziału Wojewódzkiego Narodowego Funduszu Zdrowia</t>
  </si>
  <si>
    <t>Koszty Podlaskiego Oddziału Wojewódzkiego Narodowego Funduszu Zdrowia</t>
  </si>
  <si>
    <t>Koszty Pomorskiego Oddziału Wojewódzkiego Narodowego Funduszu Zdrowia</t>
  </si>
  <si>
    <t>Koszty Śląskiego Oddziału Wojewódzkiego Narodowego Funduszu Zdrowia</t>
  </si>
  <si>
    <t>Koszty Świętokrzyskiego Oddziału Wojewódzkiego Narodowego Funduszu Zdrowia</t>
  </si>
  <si>
    <t>Koszty Warmińsko-Mazurskiego Oddziału Wojewódzkiego Narodowego Funduszu Zdrowia</t>
  </si>
  <si>
    <t>Koszty Wielkopolskiego Oddziału Wojewódzkiego Narodowego Funduszu Zdrowia</t>
  </si>
  <si>
    <t>Koszty Zachodniopomorskiego Oddziału Wojewódzkiego Narodowego Funduszu Zdrowia</t>
  </si>
  <si>
    <t>1.1</t>
  </si>
  <si>
    <t>od ZUS</t>
  </si>
  <si>
    <t>1.2</t>
  </si>
  <si>
    <t>od KRUS</t>
  </si>
  <si>
    <t>2.1</t>
  </si>
  <si>
    <t>w stosunku do ZUS</t>
  </si>
  <si>
    <t>2.2</t>
  </si>
  <si>
    <t>w stosunku do KRUS</t>
  </si>
  <si>
    <t>3.1</t>
  </si>
  <si>
    <t>3.2</t>
  </si>
  <si>
    <t>4.1</t>
  </si>
  <si>
    <t>koszty poboru i ewidencjonowania składek przez ZUS</t>
  </si>
  <si>
    <t>4.2</t>
  </si>
  <si>
    <t>koszty poboru i ewidencjonowania składek przez KRUS</t>
  </si>
  <si>
    <t>A1</t>
  </si>
  <si>
    <t>przychody wynikające z przepisów o koordynacji</t>
  </si>
  <si>
    <t>A2</t>
  </si>
  <si>
    <t>przychody z tytułu realizacji zadań zleconych</t>
  </si>
  <si>
    <t>A3</t>
  </si>
  <si>
    <t>A4</t>
  </si>
  <si>
    <t>dotacja z budżetu państwa na realizację zadań zespołów ratownictwa medycznego</t>
  </si>
  <si>
    <t>B1</t>
  </si>
  <si>
    <t>Obowiazkowy odpis na rezerwę ogólną</t>
  </si>
  <si>
    <t>Koszty programów polityki zdrowotnej realizowanych na zlecenie</t>
  </si>
  <si>
    <t>F1</t>
  </si>
  <si>
    <t>F4</t>
  </si>
  <si>
    <t>inne rezerwy</t>
  </si>
  <si>
    <t>inne koszty</t>
  </si>
  <si>
    <t>G1</t>
  </si>
  <si>
    <t xml:space="preserve">odsetki uzyskane z lokat </t>
  </si>
  <si>
    <t>G2</t>
  </si>
  <si>
    <t>inne przychody finansowe</t>
  </si>
  <si>
    <t>B2.16</t>
  </si>
  <si>
    <t>B2.17</t>
  </si>
  <si>
    <t>B2.18</t>
  </si>
  <si>
    <t>rezerwa na koszty realizacji zadań wynikajacych z przepisów o koordynacji</t>
  </si>
  <si>
    <t>rezerwa na koszty świadczeń opieki zdrowotnej w ramach migracji ubezpieczonych</t>
  </si>
  <si>
    <t>wydanie i utrzymanie kart ubezpieczenia (w tym części stałych i zamiennych książeczek usług medycznych) oraz recept</t>
  </si>
  <si>
    <t>Koszty finansowe</t>
  </si>
  <si>
    <t>leczenie szpitalne, w tym:</t>
  </si>
  <si>
    <t>Poz.</t>
  </si>
  <si>
    <t>podstawowa opieka zdrowotna</t>
  </si>
  <si>
    <t>ambulatoryjna opieka specjalistyczna</t>
  </si>
  <si>
    <t>rehabilitacja lecznicza</t>
  </si>
  <si>
    <t>leczenie stomatologiczne</t>
  </si>
  <si>
    <t>lecznictwo uzdrowiskowe</t>
  </si>
  <si>
    <t>koszty profilaktycznych programów zdrowotnych finansowanych ze środków własnych Funduszu</t>
  </si>
  <si>
    <t>opieka psychiatryczna i leczenie uzależnień</t>
  </si>
  <si>
    <t>opieka paliatywna i hospicyjna</t>
  </si>
  <si>
    <t>świadczenia pielęgnacyjne i opiekuńcze w ramach opieki długoterminowej</t>
  </si>
  <si>
    <t>pomoc doraźna i transport sanitarny</t>
  </si>
  <si>
    <t>B2.14.1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</si>
  <si>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</si>
  <si>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</si>
  <si>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</si>
  <si>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</si>
  <si>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</si>
  <si>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</si>
  <si>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</si>
  <si>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</si>
  <si>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</si>
  <si>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</si>
  <si>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</si>
  <si>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w tys. zł</t>
  </si>
  <si>
    <t>programy terapeutyczne (lekowe), w tym:</t>
  </si>
  <si>
    <t>B2.3.1.1</t>
  </si>
  <si>
    <t>B2.3.2</t>
  </si>
  <si>
    <t>B2.3.2.1</t>
  </si>
  <si>
    <t>leki, środki spożywcze specjalnego przeznaczenia żywieniowego objęte programami lekowymi</t>
  </si>
  <si>
    <t>chemioterapia, w tym:</t>
  </si>
  <si>
    <t>leki stosowane w chemioterapii</t>
  </si>
  <si>
    <t>zaopatrzenie w wyroby medyczne oraz ich naprawa, o których mowa w ustawie o refundacji</t>
  </si>
  <si>
    <t>B2.14.2</t>
  </si>
  <si>
    <t>refundacja leków, środków spożywczych specjalnego przeznaczenia żywieniowego oraz wyrobów medycznych dostępnych w aptece na receptę</t>
  </si>
  <si>
    <t>refundacja środków spożywczych specjalnego przeznaczenia żywieniowego, o których mowa w art. 15 ust. 2 pkt 18 ustawy</t>
  </si>
  <si>
    <t>refundacja leków, o których mowa w art. 15 ust. 2 pkt 17 ustawy</t>
  </si>
  <si>
    <t>B2.14.3</t>
  </si>
  <si>
    <t>rezerwa na pokrycie kosztów świadczeń opieki zdrowotnej oraz refundacji leków, w tym:</t>
  </si>
  <si>
    <t>B2.16.1</t>
  </si>
  <si>
    <t>Bn</t>
  </si>
  <si>
    <t>Całkowity budżet na refundację
(B2.3.1.1+B2.3.2.1+B2.14+B2.16.1)</t>
  </si>
  <si>
    <t>wynagrodzenia, w tym:</t>
  </si>
  <si>
    <t>D4.1</t>
  </si>
  <si>
    <t>wynagrodzenia bezosobowe</t>
  </si>
  <si>
    <t>amortyzacja środków trwałych oraz wartości niematerialnych i prawnych</t>
  </si>
  <si>
    <t>Pozostałe koszty (F1+...+F4)</t>
  </si>
  <si>
    <t>Pozostałe przychody</t>
  </si>
  <si>
    <t>świadczenia opieki zdrowotnej kontraktowane odrębnie</t>
  </si>
  <si>
    <t>koszty świadczeń opieki zdrowotnej z lat ubiegłych</t>
  </si>
  <si>
    <t>rezerwa, o której mowa w art. 118 ust. 2 pkt 2 lit. c ustawy</t>
  </si>
  <si>
    <t>Przychody i koszty Narodowego Funduszu Zdrowia - łącznie</t>
  </si>
  <si>
    <t>Koszty Centrali Narodowego Funduszu Zdrowia</t>
  </si>
  <si>
    <t>Koszty oddziałów wojewódzkich NFZ - łącznie</t>
  </si>
  <si>
    <t>Plan 
po zmianie</t>
  </si>
  <si>
    <t>Różnica 
kol.4-kol.3</t>
  </si>
  <si>
    <t>Dynamika
kol.4/kol.3</t>
  </si>
  <si>
    <t>Przychody netto z działalności
(1-2+3-4-5) + A1 + A2 + A3 + A4</t>
  </si>
  <si>
    <t>Odpis na taryfikację świdczeń, o którym mowa w art. 31t ust. 5-8 ustawy</t>
  </si>
  <si>
    <t>Pozostałe koszty (F1+ … +F4)</t>
  </si>
  <si>
    <t>Przychody finansowe (G1 + G2)</t>
  </si>
  <si>
    <t>Składka należna brutto w roku planowania równa przypisowi składki
(1.1 + 1.2)</t>
  </si>
  <si>
    <t>Planowany odpis aktualizujący składkę należną (2.1 + 2.2)</t>
  </si>
  <si>
    <t>Przychody ze składek z lat ubiegłych (3.1+3.2)</t>
  </si>
  <si>
    <t>Koszt poboru i ewidencjonowania składek (4.1 + 4.2)</t>
  </si>
  <si>
    <t>refundacja, z tego:</t>
  </si>
  <si>
    <t>B2.19</t>
  </si>
  <si>
    <t>rezerwa na koszty świadczeń opieki zdrowotnej udzielone w ramach transgranicznej opieki zdrowotnej</t>
  </si>
  <si>
    <t>Koszty administracyjne (D1 + … + D8)</t>
  </si>
  <si>
    <t>podatki i opłaty, z tego:</t>
  </si>
  <si>
    <t>ubezpieczenie społeczne i inne świadczenia, z tego:</t>
  </si>
  <si>
    <t>Koszty administracyjne ( D1+...+D8 )</t>
  </si>
  <si>
    <t>podatki i opłaty, z tego</t>
  </si>
  <si>
    <t>Plan na
2017 rok</t>
  </si>
  <si>
    <t>Koszty świadczeń opieki zdrowotnej  (B2.1+...+B2.20)</t>
  </si>
  <si>
    <t>B2.20</t>
  </si>
  <si>
    <t>rezerwa na dofinansowanie programów polityki zdrowotnej na podstawie art. 48d ustawy</t>
  </si>
  <si>
    <t>B5</t>
  </si>
  <si>
    <t>Koszty finansowania leku, środka spożywczego specjalnego przeznaczenia żywieniowego oraz wyrobu medycznego w części finansowanej z budżetu państwa zgodnie z art. 43a ust. 3 ustawy</t>
  </si>
  <si>
    <t>Koszty realizacji zadań (B1 + B2 + B3 + B4 + B5)</t>
  </si>
  <si>
    <t>WYNIK FINANSOWY OGÓŁEM NETTO
(C - D + E - F + G - H)</t>
  </si>
  <si>
    <t>WYNIK NA DZIAŁALNOŚCI (A - B)</t>
  </si>
  <si>
    <t xml:space="preserve"> PRZYCHODY - ogółem</t>
  </si>
  <si>
    <t xml:space="preserve"> KOSZTY - ogółem</t>
  </si>
  <si>
    <t>dotacje z budżetu państwa na finansowanie zadań, o których mowa w art. 97 ust. 3
pkt 2a-2c, 3 i 3b ustawy</t>
  </si>
  <si>
    <t>Koszty świadczeń opieki zdrowotnej  (B2.1 + … + B2.20)</t>
  </si>
  <si>
    <t>ZMIANA PLANU FINANSOWEGO NARODOWEGO FUNDUSZU ZDROWIA NA 2017 ROK Z DNIA 8 GRUDNIA 2017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</si>
</sst>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_ ;[Red]\-#,##0\ "/>
    <numFmt numFmtId="165" formatCode="#,##0.00_ ;[Red]\-#,##0.00\ "/>
    <numFmt numFmtId="166" formatCode="#,##0&quot; F&quot;_);[Red]\(#,##0&quot; F&quot;\)"/>
    <numFmt numFmtId="167" formatCode="#,##0.00&quot; F&quot;_);[Red]\(#,##0.00&quot; F&quot;\)"/>
    <numFmt numFmtId="168" formatCode="0.0%"/>
  </numFmts>
  <fonts count="39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sz val="8"/>
      <name val="Arial CE"/>
      <charset val="238"/>
    </font>
    <font>
      <b/>
      <sz val="11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2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6"/>
      <name val="Times New Roman CE"/>
      <charset val="238"/>
    </font>
    <font>
      <b/>
      <sz val="12"/>
      <name val="Times New Roman CE"/>
      <family val="1"/>
      <charset val="238"/>
    </font>
    <font>
      <b/>
      <sz val="24"/>
      <name val="Times New Roman CE"/>
      <family val="1"/>
      <charset val="238"/>
    </font>
    <font>
      <i/>
      <sz val="10"/>
      <name val="Times New Roman CE"/>
      <charset val="238"/>
    </font>
    <font>
      <b/>
      <i/>
      <sz val="10"/>
      <name val="Times New Roman CE"/>
      <charset val="238"/>
    </font>
    <font>
      <b/>
      <sz val="18"/>
      <name val="Times New Roman"/>
      <family val="1"/>
      <charset val="238"/>
    </font>
    <font>
      <b/>
      <sz val="20"/>
      <name val="Times New Roman CE"/>
      <family val="1"/>
      <charset val="238"/>
    </font>
    <font>
      <sz val="16"/>
      <name val="Times New Roman"/>
      <family val="1"/>
    </font>
    <font>
      <sz val="16"/>
      <name val="Times New Roman"/>
      <family val="1"/>
      <charset val="238"/>
    </font>
    <font>
      <sz val="16"/>
      <name val="Times New Roman CE"/>
      <charset val="238"/>
    </font>
    <font>
      <sz val="16"/>
      <name val="Times New Roman CE"/>
      <family val="1"/>
      <charset val="238"/>
    </font>
    <font>
      <sz val="18"/>
      <name val="Times New Roman"/>
      <family val="1"/>
      <charset val="238"/>
    </font>
    <font>
      <sz val="10"/>
      <name val="Helv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20"/>
      <name val="Times New Roman CE"/>
      <charset val="238"/>
    </font>
    <font>
      <b/>
      <sz val="14"/>
      <name val="Times New Roman CE"/>
      <charset val="238"/>
    </font>
    <font>
      <sz val="8"/>
      <color theme="1"/>
      <name val="Verdana"/>
      <family val="2"/>
      <charset val="238"/>
    </font>
    <font>
      <b/>
      <sz val="18"/>
      <color theme="0"/>
      <name val="Times New Roman"/>
      <family val="1"/>
      <charset val="238"/>
    </font>
    <font>
      <sz val="14"/>
      <name val="Times New Roman"/>
      <family val="1"/>
    </font>
    <font>
      <sz val="14"/>
      <name val="Times New Roman CE"/>
      <charset val="238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1" fillId="0" borderId="0"/>
    <xf numFmtId="0" fontId="29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9" fillId="0" borderId="0"/>
  </cellStyleXfs>
  <cellXfs count="112">
    <xf numFmtId="0" fontId="0" fillId="0" borderId="0" xfId="0"/>
    <xf numFmtId="0" fontId="5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/>
    <xf numFmtId="0" fontId="4" fillId="0" borderId="0" xfId="0" applyFont="1" applyFill="1" applyBorder="1"/>
    <xf numFmtId="0" fontId="18" fillId="0" borderId="0" xfId="0" applyFont="1" applyFill="1" applyBorder="1"/>
    <xf numFmtId="0" fontId="4" fillId="0" borderId="0" xfId="0" applyFont="1" applyFill="1"/>
    <xf numFmtId="3" fontId="16" fillId="0" borderId="1" xfId="0" applyNumberFormat="1" applyFont="1" applyFill="1" applyBorder="1" applyAlignment="1">
      <alignment horizontal="right" vertical="center"/>
    </xf>
    <xf numFmtId="0" fontId="20" fillId="0" borderId="0" xfId="0" applyFont="1" applyFill="1"/>
    <xf numFmtId="0" fontId="21" fillId="0" borderId="0" xfId="0" applyFont="1" applyFill="1"/>
    <xf numFmtId="0" fontId="19" fillId="0" borderId="0" xfId="0" applyFont="1" applyFill="1"/>
    <xf numFmtId="0" fontId="10" fillId="0" borderId="0" xfId="0" applyFont="1" applyFill="1" applyAlignment="1">
      <alignment vertical="center"/>
    </xf>
    <xf numFmtId="0" fontId="3" fillId="0" borderId="0" xfId="0" applyFont="1" applyFill="1" applyBorder="1"/>
    <xf numFmtId="3" fontId="10" fillId="0" borderId="1" xfId="0" applyNumberFormat="1" applyFont="1" applyFill="1" applyBorder="1" applyAlignment="1" applyProtection="1">
      <alignment vertical="center"/>
      <protection locked="0"/>
    </xf>
    <xf numFmtId="0" fontId="24" fillId="0" borderId="1" xfId="18" applyFont="1" applyFill="1" applyBorder="1" applyAlignment="1" applyProtection="1">
      <alignment horizontal="left" vertical="center" wrapText="1" indent="2"/>
    </xf>
    <xf numFmtId="0" fontId="24" fillId="0" borderId="1" xfId="16" applyFont="1" applyFill="1" applyBorder="1" applyAlignment="1" applyProtection="1">
      <alignment horizontal="left" vertical="center" wrapText="1" indent="2"/>
    </xf>
    <xf numFmtId="0" fontId="27" fillId="0" borderId="1" xfId="18" applyFont="1" applyFill="1" applyBorder="1" applyAlignment="1" applyProtection="1">
      <alignment horizontal="left" vertical="center" wrapText="1" indent="2"/>
    </xf>
    <xf numFmtId="0" fontId="12" fillId="0" borderId="1" xfId="18" applyFont="1" applyFill="1" applyBorder="1" applyAlignment="1" applyProtection="1">
      <alignment horizontal="left" vertical="center" wrapText="1" indent="1"/>
    </xf>
    <xf numFmtId="0" fontId="26" fillId="0" borderId="1" xfId="18" applyFont="1" applyFill="1" applyBorder="1" applyAlignment="1" applyProtection="1">
      <alignment horizontal="left" vertical="center" wrapText="1" indent="2"/>
    </xf>
    <xf numFmtId="0" fontId="26" fillId="0" borderId="1" xfId="17" applyFont="1" applyFill="1" applyBorder="1" applyAlignment="1" applyProtection="1">
      <alignment horizontal="left" vertical="center" wrapText="1" indent="2"/>
    </xf>
    <xf numFmtId="0" fontId="28" fillId="0" borderId="0" xfId="0" applyFont="1" applyFill="1" applyAlignment="1" applyProtection="1">
      <alignment vertical="center"/>
      <protection locked="0"/>
    </xf>
    <xf numFmtId="0" fontId="22" fillId="0" borderId="0" xfId="0" applyFont="1" applyFill="1"/>
    <xf numFmtId="0" fontId="22" fillId="0" borderId="0" xfId="0" applyFont="1" applyFill="1" applyAlignment="1" applyProtection="1">
      <alignment vertical="center"/>
      <protection locked="0"/>
    </xf>
    <xf numFmtId="0" fontId="12" fillId="0" borderId="1" xfId="18" applyFont="1" applyFill="1" applyBorder="1" applyAlignment="1" applyProtection="1">
      <alignment horizontal="left" vertical="center" wrapText="1" indent="2"/>
    </xf>
    <xf numFmtId="0" fontId="13" fillId="0" borderId="1" xfId="18" applyFont="1" applyFill="1" applyBorder="1" applyAlignment="1" applyProtection="1">
      <alignment horizontal="left" vertical="center" wrapText="1" indent="2"/>
    </xf>
    <xf numFmtId="0" fontId="13" fillId="0" borderId="1" xfId="17" applyFont="1" applyFill="1" applyBorder="1" applyAlignment="1" applyProtection="1">
      <alignment horizontal="left" vertical="center" wrapText="1" indent="2"/>
    </xf>
    <xf numFmtId="0" fontId="13" fillId="0" borderId="1" xfId="17" quotePrefix="1" applyFont="1" applyFill="1" applyBorder="1" applyAlignment="1" applyProtection="1">
      <alignment horizontal="left" vertical="center" wrapText="1" indent="2"/>
    </xf>
    <xf numFmtId="0" fontId="12" fillId="0" borderId="1" xfId="17" applyFont="1" applyFill="1" applyBorder="1" applyAlignment="1" applyProtection="1">
      <alignment horizontal="left" vertical="center" wrapText="1" indent="2"/>
    </xf>
    <xf numFmtId="0" fontId="28" fillId="0" borderId="0" xfId="0" applyFont="1" applyFill="1"/>
    <xf numFmtId="3" fontId="10" fillId="0" borderId="1" xfId="0" applyNumberFormat="1" applyFont="1" applyFill="1" applyBorder="1" applyAlignment="1" applyProtection="1">
      <alignment horizontal="right" vertical="center"/>
    </xf>
    <xf numFmtId="0" fontId="25" fillId="0" borderId="1" xfId="18" applyFont="1" applyFill="1" applyBorder="1" applyAlignment="1" applyProtection="1">
      <alignment horizontal="left" vertical="center" wrapText="1" indent="2"/>
    </xf>
    <xf numFmtId="3" fontId="10" fillId="0" borderId="1" xfId="0" applyNumberFormat="1" applyFont="1" applyFill="1" applyBorder="1" applyAlignment="1" applyProtection="1">
      <alignment horizontal="right" vertical="center"/>
      <protection locked="0"/>
    </xf>
    <xf numFmtId="3" fontId="16" fillId="0" borderId="1" xfId="0" applyNumberFormat="1" applyFont="1" applyFill="1" applyBorder="1" applyAlignment="1" applyProtection="1">
      <alignment horizontal="right" vertical="center"/>
      <protection locked="0"/>
    </xf>
    <xf numFmtId="3" fontId="10" fillId="0" borderId="1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Alignment="1" applyProtection="1">
      <alignment vertical="center"/>
      <protection locked="0"/>
    </xf>
    <xf numFmtId="0" fontId="1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3" fontId="16" fillId="0" borderId="1" xfId="0" applyNumberFormat="1" applyFont="1" applyFill="1" applyBorder="1" applyAlignment="1" applyProtection="1">
      <alignment vertical="center"/>
    </xf>
    <xf numFmtId="3" fontId="10" fillId="0" borderId="1" xfId="0" applyNumberFormat="1" applyFont="1" applyFill="1" applyBorder="1" applyAlignment="1">
      <alignment horizontal="right" vertical="center"/>
    </xf>
    <xf numFmtId="10" fontId="10" fillId="0" borderId="1" xfId="0" applyNumberFormat="1" applyFont="1" applyFill="1" applyBorder="1" applyAlignment="1" applyProtection="1">
      <alignment horizontal="right" vertical="center"/>
    </xf>
    <xf numFmtId="10" fontId="16" fillId="0" borderId="1" xfId="0" applyNumberFormat="1" applyFont="1" applyFill="1" applyBorder="1" applyAlignment="1" applyProtection="1">
      <alignment horizontal="right" vertical="center"/>
    </xf>
    <xf numFmtId="10" fontId="10" fillId="0" borderId="1" xfId="0" applyNumberFormat="1" applyFont="1" applyFill="1" applyBorder="1" applyAlignment="1" applyProtection="1">
      <alignment horizontal="right" vertical="center"/>
      <protection locked="0"/>
    </xf>
    <xf numFmtId="10" fontId="16" fillId="0" borderId="1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Alignment="1">
      <alignment horizontal="center" vertical="center"/>
    </xf>
    <xf numFmtId="0" fontId="15" fillId="2" borderId="1" xfId="18" applyFont="1" applyFill="1" applyBorder="1" applyAlignment="1" applyProtection="1">
      <alignment horizontal="left" vertical="center" wrapText="1" indent="1"/>
    </xf>
    <xf numFmtId="0" fontId="36" fillId="0" borderId="1" xfId="18" applyFont="1" applyFill="1" applyBorder="1" applyAlignment="1" applyProtection="1">
      <alignment horizontal="left" vertical="center" wrapText="1" indent="3"/>
    </xf>
    <xf numFmtId="0" fontId="37" fillId="0" borderId="1" xfId="17" applyFont="1" applyFill="1" applyBorder="1" applyAlignment="1" applyProtection="1">
      <alignment horizontal="left" vertical="center" wrapText="1" indent="3"/>
    </xf>
    <xf numFmtId="0" fontId="37" fillId="0" borderId="1" xfId="17" applyFont="1" applyFill="1" applyBorder="1" applyAlignment="1" applyProtection="1">
      <alignment horizontal="left" vertical="center" wrapText="1" indent="4"/>
    </xf>
    <xf numFmtId="0" fontId="24" fillId="0" borderId="1" xfId="18" applyFont="1" applyFill="1" applyBorder="1" applyAlignment="1" applyProtection="1">
      <alignment horizontal="left" vertical="center" wrapText="1"/>
    </xf>
    <xf numFmtId="0" fontId="36" fillId="0" borderId="1" xfId="18" applyFont="1" applyFill="1" applyBorder="1" applyAlignment="1" applyProtection="1">
      <alignment horizontal="left" vertical="center" wrapText="1"/>
    </xf>
    <xf numFmtId="0" fontId="25" fillId="0" borderId="1" xfId="18" applyFont="1" applyFill="1" applyBorder="1" applyAlignment="1" applyProtection="1">
      <alignment horizontal="left" vertical="center" wrapText="1"/>
    </xf>
    <xf numFmtId="0" fontId="26" fillId="0" borderId="1" xfId="18" applyFont="1" applyFill="1" applyBorder="1" applyAlignment="1" applyProtection="1">
      <alignment horizontal="left" vertical="center" wrapText="1"/>
    </xf>
    <xf numFmtId="0" fontId="12" fillId="0" borderId="1" xfId="18" applyFont="1" applyFill="1" applyBorder="1" applyAlignment="1" applyProtection="1">
      <alignment horizontal="left" vertical="center" wrapText="1"/>
    </xf>
    <xf numFmtId="0" fontId="37" fillId="0" borderId="1" xfId="18" applyFont="1" applyFill="1" applyBorder="1" applyAlignment="1" applyProtection="1">
      <alignment horizontal="left" vertical="center" wrapText="1"/>
    </xf>
    <xf numFmtId="0" fontId="6" fillId="2" borderId="1" xfId="18" applyFont="1" applyFill="1" applyBorder="1" applyAlignment="1" applyProtection="1">
      <alignment horizontal="left" vertical="center" wrapText="1"/>
      <protection locked="0"/>
    </xf>
    <xf numFmtId="0" fontId="13" fillId="0" borderId="1" xfId="18" applyFont="1" applyFill="1" applyBorder="1" applyAlignment="1" applyProtection="1">
      <alignment horizontal="left" vertical="center" wrapText="1"/>
    </xf>
    <xf numFmtId="0" fontId="13" fillId="0" borderId="1" xfId="18" quotePrefix="1" applyFont="1" applyFill="1" applyBorder="1" applyAlignment="1" applyProtection="1">
      <alignment horizontal="left" vertical="center" wrapText="1"/>
    </xf>
    <xf numFmtId="0" fontId="6" fillId="0" borderId="1" xfId="18" applyFont="1" applyFill="1" applyBorder="1" applyAlignment="1" applyProtection="1">
      <alignment horizontal="left" vertical="center" wrapText="1"/>
    </xf>
    <xf numFmtId="0" fontId="6" fillId="0" borderId="1" xfId="18" applyFont="1" applyFill="1" applyBorder="1" applyAlignment="1" applyProtection="1">
      <alignment horizontal="left" vertical="center" wrapText="1" indent="2"/>
    </xf>
    <xf numFmtId="0" fontId="38" fillId="0" borderId="1" xfId="18" applyFont="1" applyFill="1" applyBorder="1" applyAlignment="1" applyProtection="1">
      <alignment horizontal="left" vertical="center" wrapText="1"/>
    </xf>
    <xf numFmtId="0" fontId="38" fillId="0" borderId="1" xfId="18" applyFont="1" applyFill="1" applyBorder="1" applyAlignment="1" applyProtection="1">
      <alignment horizontal="left" vertical="center" wrapText="1" indent="3"/>
    </xf>
    <xf numFmtId="0" fontId="15" fillId="0" borderId="1" xfId="18" applyFont="1" applyFill="1" applyBorder="1" applyAlignment="1" applyProtection="1">
      <alignment horizontal="left" vertical="center" wrapText="1"/>
    </xf>
    <xf numFmtId="0" fontId="15" fillId="0" borderId="1" xfId="18" applyFont="1" applyFill="1" applyBorder="1" applyAlignment="1" applyProtection="1">
      <alignment horizontal="left" vertical="center" wrapText="1" indent="2"/>
    </xf>
    <xf numFmtId="0" fontId="6" fillId="0" borderId="1" xfId="16" applyFont="1" applyFill="1" applyBorder="1" applyAlignment="1" applyProtection="1">
      <alignment horizontal="left" vertical="center" wrapText="1" indent="2"/>
    </xf>
    <xf numFmtId="0" fontId="33" fillId="0" borderId="1" xfId="18" applyFont="1" applyFill="1" applyBorder="1" applyAlignment="1" applyProtection="1">
      <alignment horizontal="left" vertical="center" wrapText="1"/>
    </xf>
    <xf numFmtId="0" fontId="33" fillId="0" borderId="1" xfId="17" applyFont="1" applyFill="1" applyBorder="1" applyAlignment="1" applyProtection="1">
      <alignment horizontal="left" vertical="center" wrapText="1" indent="3"/>
    </xf>
    <xf numFmtId="0" fontId="33" fillId="0" borderId="1" xfId="17" applyFont="1" applyFill="1" applyBorder="1" applyAlignment="1" applyProtection="1">
      <alignment horizontal="left" vertical="center" wrapText="1" indent="4"/>
    </xf>
    <xf numFmtId="0" fontId="22" fillId="0" borderId="0" xfId="0" applyFont="1" applyFill="1" applyBorder="1" applyAlignment="1" applyProtection="1">
      <alignment vertical="center"/>
      <protection locked="0"/>
    </xf>
    <xf numFmtId="168" fontId="35" fillId="0" borderId="0" xfId="19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3" fontId="14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10" fontId="14" fillId="0" borderId="1" xfId="0" applyNumberFormat="1" applyFont="1" applyFill="1" applyBorder="1" applyAlignment="1">
      <alignment horizontal="right" vertical="center"/>
    </xf>
    <xf numFmtId="0" fontId="23" fillId="0" borderId="1" xfId="17" applyFont="1" applyFill="1" applyBorder="1" applyAlignment="1" applyProtection="1">
      <alignment horizontal="left" vertical="center" wrapText="1"/>
    </xf>
    <xf numFmtId="0" fontId="23" fillId="0" borderId="1" xfId="17" applyFont="1" applyFill="1" applyBorder="1" applyAlignment="1" applyProtection="1">
      <alignment horizontal="left" vertical="center" wrapText="1" indent="1"/>
    </xf>
    <xf numFmtId="0" fontId="11" fillId="2" borderId="1" xfId="16" applyFont="1" applyFill="1" applyBorder="1" applyAlignment="1" applyProtection="1">
      <alignment horizontal="center" vertical="center" wrapText="1"/>
    </xf>
    <xf numFmtId="3" fontId="32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3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16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23" fillId="2" borderId="1" xfId="18" applyFont="1" applyFill="1" applyBorder="1" applyAlignment="1" applyProtection="1">
      <alignment horizontal="left" vertical="center" wrapText="1"/>
    </xf>
    <xf numFmtId="0" fontId="23" fillId="2" borderId="1" xfId="18" applyFont="1" applyFill="1" applyBorder="1" applyAlignment="1" applyProtection="1">
      <alignment horizontal="left" vertical="center" wrapText="1" indent="1"/>
    </xf>
    <xf numFmtId="3" fontId="14" fillId="2" borderId="1" xfId="0" applyNumberFormat="1" applyFont="1" applyFill="1" applyBorder="1" applyAlignment="1">
      <alignment horizontal="right" vertical="center"/>
    </xf>
    <xf numFmtId="10" fontId="14" fillId="2" borderId="1" xfId="0" applyNumberFormat="1" applyFont="1" applyFill="1" applyBorder="1" applyAlignment="1">
      <alignment horizontal="right" vertical="center"/>
    </xf>
    <xf numFmtId="0" fontId="23" fillId="2" borderId="1" xfId="18" quotePrefix="1" applyFont="1" applyFill="1" applyBorder="1" applyAlignment="1" applyProtection="1">
      <alignment horizontal="left" vertical="center" wrapText="1"/>
    </xf>
    <xf numFmtId="0" fontId="23" fillId="2" borderId="1" xfId="18" quotePrefix="1" applyFont="1" applyFill="1" applyBorder="1" applyAlignment="1" applyProtection="1">
      <alignment horizontal="left" vertical="center" wrapText="1" indent="1"/>
    </xf>
    <xf numFmtId="3" fontId="14" fillId="2" borderId="1" xfId="0" applyNumberFormat="1" applyFont="1" applyFill="1" applyBorder="1" applyAlignment="1" applyProtection="1">
      <alignment vertical="center"/>
      <protection locked="0"/>
    </xf>
    <xf numFmtId="3" fontId="14" fillId="2" borderId="1" xfId="0" applyNumberFormat="1" applyFont="1" applyFill="1" applyBorder="1" applyAlignment="1" applyProtection="1">
      <alignment horizontal="right" vertical="center"/>
      <protection locked="0"/>
    </xf>
    <xf numFmtId="10" fontId="14" fillId="2" borderId="1" xfId="0" applyNumberFormat="1" applyFont="1" applyFill="1" applyBorder="1" applyAlignment="1" applyProtection="1">
      <alignment vertical="center"/>
      <protection locked="0"/>
    </xf>
    <xf numFmtId="0" fontId="12" fillId="2" borderId="1" xfId="18" applyFont="1" applyFill="1" applyBorder="1" applyAlignment="1" applyProtection="1">
      <alignment horizontal="left" vertical="center" wrapText="1"/>
    </xf>
    <xf numFmtId="0" fontId="13" fillId="2" borderId="1" xfId="18" applyFont="1" applyFill="1" applyBorder="1" applyAlignment="1" applyProtection="1">
      <alignment horizontal="left" vertical="center" wrapText="1" indent="2"/>
    </xf>
    <xf numFmtId="3" fontId="16" fillId="2" borderId="1" xfId="0" applyNumberFormat="1" applyFont="1" applyFill="1" applyBorder="1" applyAlignment="1">
      <alignment horizontal="right" vertical="center"/>
    </xf>
    <xf numFmtId="10" fontId="16" fillId="2" borderId="1" xfId="0" applyNumberFormat="1" applyFont="1" applyFill="1" applyBorder="1" applyAlignment="1">
      <alignment horizontal="right" vertical="center"/>
    </xf>
    <xf numFmtId="0" fontId="13" fillId="2" borderId="1" xfId="18" applyFont="1" applyFill="1" applyBorder="1" applyAlignment="1" applyProtection="1">
      <alignment horizontal="left" vertical="center" wrapText="1"/>
    </xf>
    <xf numFmtId="0" fontId="12" fillId="2" borderId="1" xfId="18" applyFont="1" applyFill="1" applyBorder="1" applyAlignment="1" applyProtection="1">
      <alignment horizontal="left" vertical="center" wrapText="1" indent="1"/>
    </xf>
    <xf numFmtId="0" fontId="23" fillId="2" borderId="1" xfId="17" applyFont="1" applyFill="1" applyBorder="1" applyAlignment="1" applyProtection="1">
      <alignment horizontal="left" vertical="center" wrapText="1"/>
    </xf>
    <xf numFmtId="0" fontId="23" fillId="2" borderId="1" xfId="17" applyFont="1" applyFill="1" applyBorder="1" applyAlignment="1" applyProtection="1">
      <alignment horizontal="left" vertical="center" wrapText="1" indent="1"/>
    </xf>
    <xf numFmtId="0" fontId="23" fillId="2" borderId="2" xfId="18" applyFont="1" applyFill="1" applyBorder="1" applyAlignment="1" applyProtection="1">
      <alignment horizontal="left" vertical="center" wrapText="1" indent="1"/>
    </xf>
    <xf numFmtId="3" fontId="17" fillId="2" borderId="1" xfId="0" applyNumberFormat="1" applyFont="1" applyFill="1" applyBorder="1" applyAlignment="1">
      <alignment horizontal="right" vertical="center"/>
    </xf>
    <xf numFmtId="10" fontId="17" fillId="2" borderId="1" xfId="0" applyNumberFormat="1" applyFont="1" applyFill="1" applyBorder="1" applyAlignment="1">
      <alignment horizontal="right" vertical="center"/>
    </xf>
    <xf numFmtId="0" fontId="23" fillId="2" borderId="2" xfId="17" applyFont="1" applyFill="1" applyBorder="1" applyAlignment="1" applyProtection="1">
      <alignment horizontal="left" vertical="center" wrapText="1" indent="1"/>
    </xf>
    <xf numFmtId="3" fontId="14" fillId="2" borderId="1" xfId="0" applyNumberFormat="1" applyFont="1" applyFill="1" applyBorder="1" applyAlignment="1">
      <alignment vertical="center"/>
    </xf>
    <xf numFmtId="168" fontId="17" fillId="2" borderId="1" xfId="0" applyNumberFormat="1" applyFont="1" applyFill="1" applyBorder="1" applyAlignment="1">
      <alignment horizontal="right" vertical="center"/>
    </xf>
    <xf numFmtId="0" fontId="13" fillId="2" borderId="1" xfId="18" applyFont="1" applyFill="1" applyBorder="1" applyAlignment="1" applyProtection="1">
      <alignment horizontal="left" vertical="center" wrapText="1"/>
      <protection locked="0"/>
    </xf>
    <xf numFmtId="0" fontId="13" fillId="2" borderId="1" xfId="18" applyFont="1" applyFill="1" applyBorder="1" applyAlignment="1" applyProtection="1">
      <alignment horizontal="left" vertical="center" wrapText="1" indent="1"/>
    </xf>
    <xf numFmtId="10" fontId="14" fillId="2" borderId="1" xfId="0" applyNumberFormat="1" applyFont="1" applyFill="1" applyBorder="1" applyAlignment="1" applyProtection="1">
      <alignment horizontal="right" vertical="center"/>
      <protection locked="0"/>
    </xf>
    <xf numFmtId="3" fontId="14" fillId="2" borderId="1" xfId="0" applyNumberFormat="1" applyFont="1" applyFill="1" applyBorder="1" applyAlignment="1" applyProtection="1">
      <alignment vertical="center"/>
    </xf>
    <xf numFmtId="10" fontId="14" fillId="2" borderId="1" xfId="0" applyNumberFormat="1" applyFont="1" applyFill="1" applyBorder="1" applyAlignment="1" applyProtection="1">
      <alignment horizontal="right" vertical="center"/>
    </xf>
    <xf numFmtId="3" fontId="19" fillId="0" borderId="0" xfId="0" applyNumberFormat="1" applyFont="1" applyFill="1"/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Alignment="1" applyProtection="1">
      <alignment horizontal="left" vertical="center" wrapText="1"/>
      <protection locked="0"/>
    </xf>
  </cellXfs>
  <cellStyles count="21">
    <cellStyle name="_PERSONAL" xfId="1"/>
    <cellStyle name="_PERSONAL_1" xfId="2"/>
    <cellStyle name="_PERSONAL_1_dialKartaDziałkiczI (2)" xfId="3"/>
    <cellStyle name="_PERSONAL_1_dialTabelaIDSP (2)" xfId="4"/>
    <cellStyle name="_PERSONAL_1_dialTabelaIIAIWO (2)" xfId="5"/>
    <cellStyle name="_PERSONAL_1_EDUKACJA" xfId="6"/>
    <cellStyle name="_PERSONAL_1_Tabela wskaźników" xfId="7"/>
    <cellStyle name="_PERSONAL_1_Zeszyt3" xfId="8"/>
    <cellStyle name="Comma [0]_laroux" xfId="9"/>
    <cellStyle name="Comma_laroux" xfId="10"/>
    <cellStyle name="Currency [0]_laroux" xfId="11"/>
    <cellStyle name="Currency_laroux" xfId="12"/>
    <cellStyle name="Dziesiętny 2" xfId="13"/>
    <cellStyle name="Normal_laroux" xfId="14"/>
    <cellStyle name="normální_laroux" xfId="15"/>
    <cellStyle name="Normalny" xfId="0" builtinId="0"/>
    <cellStyle name="Normalny_03PlFin_0403" xfId="16"/>
    <cellStyle name="Normalny_WfMgkr1" xfId="17"/>
    <cellStyle name="Normalny_Wzór z 09.10.2001" xfId="18"/>
    <cellStyle name="Procentowy" xfId="19" builtinId="5"/>
    <cellStyle name="Styl 1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17P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katarzyna.sadowska\Ustawienia%20lokalne\Temporary%20Internet%20Files\OLK78\Baza%20Danych%201999\Plany%20Finansowe\Ok\17P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01p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dyta\2017\Zmiana%20planu%20xx.11.2017%20-%20dotacja%20na%20leczenie%20niep&#322;odno&#347;ci\Zmiana%20planu%20xx.11.2017%20-%20leczenie%20nip&#322;odno&#347;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01pw"/>
      <sheetName val="01pw.xls"/>
    </sheetNames>
    <definedNames>
      <definedName name="PETLA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FZ"/>
      <sheetName val="CENTRALA"/>
      <sheetName val="Razem OW"/>
      <sheetName val="Dolnośląski"/>
      <sheetName val="KujawskoPomorski"/>
      <sheetName val="Lubelski"/>
      <sheetName val="Lubuski"/>
      <sheetName val="Łódzki"/>
      <sheetName val="Małopolski"/>
      <sheetName val="Mazowiecki"/>
      <sheetName val="Opolski"/>
      <sheetName val="Podkarpacki"/>
      <sheetName val="Podlaski"/>
      <sheetName val="Pomorski"/>
      <sheetName val="Śląski"/>
      <sheetName val="Świętokrzyski"/>
      <sheetName val="WarmińskoMazurski"/>
      <sheetName val="Wielkopolski"/>
      <sheetName val="Zachodniopomorski"/>
      <sheetName val="Łącznie"/>
      <sheetName val="Plan po zm. łącznie  NFZ"/>
    </sheetNames>
    <sheetDataSet>
      <sheetData sheetId="0">
        <row r="7">
          <cell r="A7" t="str">
            <v>1.1</v>
          </cell>
          <cell r="B7" t="str">
            <v>od ZUS</v>
          </cell>
          <cell r="C7">
            <v>71435346</v>
          </cell>
          <cell r="D7">
            <v>71435346</v>
          </cell>
        </row>
        <row r="8">
          <cell r="A8" t="str">
            <v>1.2</v>
          </cell>
          <cell r="B8" t="str">
            <v>od KRUS</v>
          </cell>
          <cell r="C8">
            <v>3310683</v>
          </cell>
          <cell r="D8">
            <v>3310683</v>
          </cell>
        </row>
        <row r="9">
          <cell r="A9">
            <v>2</v>
          </cell>
          <cell r="B9" t="str">
            <v>Planowany odpis aktualizujący składkę należną (2.1 + 2.2)</v>
          </cell>
          <cell r="C9">
            <v>0</v>
          </cell>
          <cell r="D9">
            <v>0</v>
          </cell>
        </row>
        <row r="10">
          <cell r="A10" t="str">
            <v>2.1</v>
          </cell>
          <cell r="B10" t="str">
            <v>w stosunku do ZUS</v>
          </cell>
          <cell r="C10">
            <v>0</v>
          </cell>
          <cell r="D10">
            <v>0</v>
          </cell>
        </row>
        <row r="11">
          <cell r="A11" t="str">
            <v>2.2</v>
          </cell>
          <cell r="B11" t="str">
            <v>w stosunku do KRUS</v>
          </cell>
          <cell r="C11">
            <v>0</v>
          </cell>
          <cell r="D11">
            <v>0</v>
          </cell>
        </row>
        <row r="12">
          <cell r="A12">
            <v>3</v>
          </cell>
          <cell r="B12" t="str">
            <v>Przychody ze składek z lat ubiegłych (3.1+3.2)</v>
          </cell>
          <cell r="C12">
            <v>135000</v>
          </cell>
          <cell r="D12">
            <v>135000</v>
          </cell>
        </row>
        <row r="13">
          <cell r="A13" t="str">
            <v>3.1</v>
          </cell>
          <cell r="B13" t="str">
            <v>od ZUS</v>
          </cell>
          <cell r="C13">
            <v>150000</v>
          </cell>
          <cell r="D13">
            <v>150000</v>
          </cell>
        </row>
        <row r="14">
          <cell r="A14" t="str">
            <v>3.2</v>
          </cell>
          <cell r="B14" t="str">
            <v>od KRUS</v>
          </cell>
          <cell r="C14">
            <v>-15000</v>
          </cell>
          <cell r="D14">
            <v>-15000</v>
          </cell>
        </row>
        <row r="15">
          <cell r="A15">
            <v>4</v>
          </cell>
          <cell r="B15" t="str">
            <v>Koszt poboru i ewidencjonowania składek (4.1 + 4.2)</v>
          </cell>
          <cell r="C15">
            <v>145768</v>
          </cell>
          <cell r="D15">
            <v>145768</v>
          </cell>
        </row>
        <row r="16">
          <cell r="A16" t="str">
            <v>4.1</v>
          </cell>
          <cell r="B16" t="str">
            <v>koszty poboru i ewidencjonowania składek przez ZUS</v>
          </cell>
          <cell r="C16">
            <v>142871</v>
          </cell>
          <cell r="D16">
            <v>142871</v>
          </cell>
        </row>
        <row r="17">
          <cell r="A17" t="str">
            <v>4.2</v>
          </cell>
          <cell r="B17" t="str">
            <v>koszty poboru i ewidencjonowania składek przez KRUS</v>
          </cell>
          <cell r="C17">
            <v>2897</v>
          </cell>
          <cell r="D17">
            <v>2897</v>
          </cell>
        </row>
        <row r="18">
          <cell r="A18">
            <v>5</v>
          </cell>
          <cell r="B18" t="str">
            <v>Odpis na taryfikację świdczeń, o którym mowa w art. 31t ust. 5-8 ustawy</v>
          </cell>
          <cell r="C18">
            <v>43848</v>
          </cell>
          <cell r="D18">
            <v>43848</v>
          </cell>
        </row>
        <row r="19">
          <cell r="A19" t="str">
            <v>A</v>
          </cell>
          <cell r="B19" t="str">
            <v>Przychody netto z działalności
(1-2+3-4-5) + A1 + A2 + A3 + A4</v>
          </cell>
          <cell r="C19">
            <v>78147968</v>
          </cell>
          <cell r="D19">
            <v>78150772</v>
          </cell>
        </row>
        <row r="20">
          <cell r="A20" t="str">
            <v>A1</v>
          </cell>
          <cell r="B20" t="str">
            <v>przychody wynikające z przepisów o koordynacji</v>
          </cell>
          <cell r="C20">
            <v>199555</v>
          </cell>
          <cell r="D20">
            <v>199555</v>
          </cell>
        </row>
        <row r="21">
          <cell r="A21" t="str">
            <v>A2</v>
          </cell>
          <cell r="B21" t="str">
            <v>przychody z tytułu realizacji zadań zleconych</v>
          </cell>
          <cell r="C21">
            <v>0</v>
          </cell>
          <cell r="D21">
            <v>2804</v>
          </cell>
        </row>
        <row r="22">
          <cell r="A22" t="str">
            <v>A3</v>
          </cell>
          <cell r="B22" t="str">
            <v>dotacje z budżetu państwa na finansowanie zadań, o których mowa w art. 97 ust. 3
pkt 2a-2c, 3 i 3b ustawy</v>
          </cell>
          <cell r="C22">
            <v>1333558</v>
          </cell>
          <cell r="D22">
            <v>1333558</v>
          </cell>
        </row>
        <row r="23">
          <cell r="A23" t="str">
            <v>A4</v>
          </cell>
          <cell r="B23" t="str">
            <v>dotacja z budżetu państwa na realizację zadań zespołów ratownictwa medycznego</v>
          </cell>
          <cell r="C23">
            <v>1923442</v>
          </cell>
          <cell r="D23">
            <v>1923442</v>
          </cell>
        </row>
        <row r="24">
          <cell r="A24" t="str">
            <v>B</v>
          </cell>
          <cell r="B24" t="str">
            <v>Koszty realizacji zadań (B1 + B2 + B3 + B4 + B5)</v>
          </cell>
          <cell r="C24">
            <v>78887210</v>
          </cell>
          <cell r="D24">
            <v>78890014</v>
          </cell>
        </row>
        <row r="25">
          <cell r="A25" t="str">
            <v>B1</v>
          </cell>
          <cell r="B25" t="str">
            <v>Obowiazkowy odpis na rezerwę ogólną</v>
          </cell>
          <cell r="C25">
            <v>0</v>
          </cell>
          <cell r="D25">
            <v>0</v>
          </cell>
        </row>
        <row r="26">
          <cell r="A26" t="str">
            <v>B2</v>
          </cell>
          <cell r="B26" t="str">
            <v>Koszty świadczeń opieki zdrowotnej  (B2.1 + … + B2.20)</v>
          </cell>
          <cell r="C26">
            <v>76399468</v>
          </cell>
          <cell r="D26">
            <v>76399468</v>
          </cell>
        </row>
        <row r="27">
          <cell r="A27" t="str">
            <v>B2.1</v>
          </cell>
          <cell r="B27" t="str">
            <v>podstawowa opieka zdrowotna</v>
          </cell>
          <cell r="C27">
            <v>10170509</v>
          </cell>
          <cell r="D27">
            <v>10170509</v>
          </cell>
        </row>
        <row r="28">
          <cell r="A28" t="str">
            <v>B2.2</v>
          </cell>
          <cell r="B28" t="str">
            <v>ambulatoryjna opieka specjalistyczna</v>
          </cell>
          <cell r="C28">
            <v>5636323</v>
          </cell>
          <cell r="D28">
            <v>5636323</v>
          </cell>
        </row>
        <row r="29">
          <cell r="A29" t="str">
            <v>B2.3</v>
          </cell>
          <cell r="B29" t="str">
            <v>leczenie szpitalne, w tym:</v>
          </cell>
          <cell r="C29">
            <v>38480221</v>
          </cell>
          <cell r="D29">
            <v>38480221</v>
          </cell>
        </row>
        <row r="30">
          <cell r="A30" t="str">
            <v>B2.3.1</v>
          </cell>
          <cell r="B30" t="str">
            <v>programy terapeutyczne (lekowe), w tym:</v>
          </cell>
          <cell r="C30">
            <v>3624798</v>
          </cell>
          <cell r="D30">
            <v>3624798</v>
          </cell>
        </row>
        <row r="31">
          <cell r="A31" t="str">
            <v>B2.3.1.1</v>
          </cell>
          <cell r="B31" t="str">
            <v>leki, środki spożywcze specjalnego przeznaczenia żywieniowego objęte programami lekowymi</v>
          </cell>
          <cell r="C31">
            <v>3294212</v>
          </cell>
          <cell r="D31">
            <v>3294212</v>
          </cell>
        </row>
        <row r="32">
          <cell r="A32" t="str">
            <v>B2.3.2</v>
          </cell>
          <cell r="B32" t="str">
            <v>chemioterapia, w tym:</v>
          </cell>
          <cell r="C32">
            <v>1438758</v>
          </cell>
          <cell r="D32">
            <v>1438758</v>
          </cell>
        </row>
        <row r="33">
          <cell r="A33" t="str">
            <v>B2.3.2.1</v>
          </cell>
          <cell r="B33" t="str">
            <v>leki stosowane w chemioterapii</v>
          </cell>
          <cell r="C33">
            <v>675753</v>
          </cell>
          <cell r="D33">
            <v>675753</v>
          </cell>
        </row>
        <row r="34">
          <cell r="A34" t="str">
            <v>B2.4</v>
          </cell>
          <cell r="B34" t="str">
            <v>opieka psychiatryczna i leczenie uzależnień</v>
          </cell>
          <cell r="C34">
            <v>2685552</v>
          </cell>
          <cell r="D34">
            <v>2685552</v>
          </cell>
        </row>
        <row r="35">
          <cell r="A35" t="str">
            <v>B2.5</v>
          </cell>
          <cell r="B35" t="str">
            <v>rehabilitacja lecznicza</v>
          </cell>
          <cell r="C35">
            <v>2319811</v>
          </cell>
          <cell r="D35">
            <v>2319811</v>
          </cell>
        </row>
        <row r="36">
          <cell r="A36" t="str">
            <v>B2.6</v>
          </cell>
          <cell r="B36" t="str">
            <v>świadczenia pielęgnacyjne i opiekuńcze w ramach opieki długoterminowej</v>
          </cell>
          <cell r="C36">
            <v>1437581</v>
          </cell>
          <cell r="D36">
            <v>1437581</v>
          </cell>
        </row>
        <row r="37">
          <cell r="A37" t="str">
            <v>B2.7</v>
          </cell>
          <cell r="B37" t="str">
            <v>opieka paliatywna i hospicyjna</v>
          </cell>
          <cell r="C37">
            <v>663523</v>
          </cell>
          <cell r="D37">
            <v>663523</v>
          </cell>
        </row>
        <row r="38">
          <cell r="A38" t="str">
            <v>B2.8</v>
          </cell>
          <cell r="B38" t="str">
            <v>leczenie stomatologiczne</v>
          </cell>
          <cell r="C38">
            <v>1834124</v>
          </cell>
          <cell r="D38">
            <v>1834124</v>
          </cell>
        </row>
        <row r="39">
          <cell r="A39" t="str">
            <v>B2.9</v>
          </cell>
          <cell r="B39" t="str">
            <v>lecznictwo uzdrowiskowe</v>
          </cell>
          <cell r="C39">
            <v>660225</v>
          </cell>
          <cell r="D39">
            <v>660225</v>
          </cell>
        </row>
        <row r="40">
          <cell r="A40" t="str">
            <v>B2.10</v>
          </cell>
          <cell r="B40" t="str">
            <v>pomoc doraźna i transport sanitarny</v>
          </cell>
          <cell r="C40">
            <v>49282</v>
          </cell>
          <cell r="D40">
            <v>49282</v>
          </cell>
        </row>
        <row r="41">
          <cell r="A41" t="str">
            <v>B2.11</v>
          </cell>
          <cell r="B41" t="str">
            <v>koszty profilaktycznych programów zdrowotnych finansowanych ze środków własnych Funduszu</v>
          </cell>
          <cell r="C41">
            <v>196199</v>
          </cell>
          <cell r="D41">
            <v>196199</v>
          </cell>
        </row>
        <row r="42">
          <cell r="A42" t="str">
            <v>B2.12</v>
          </cell>
          <cell r="B42" t="str">
            <v>świadczenia opieki zdrowotnej kontraktowane odrębnie</v>
          </cell>
          <cell r="C42">
            <v>2098096</v>
          </cell>
          <cell r="D42">
            <v>2098096</v>
          </cell>
        </row>
        <row r="43">
          <cell r="A43" t="str">
            <v>B2.13</v>
          </cell>
          <cell r="B43" t="str">
            <v>zaopatrzenie w wyroby medyczne oraz ich naprawa, o których mowa w ustawie o refundacji</v>
          </cell>
          <cell r="C43">
            <v>1029387</v>
          </cell>
          <cell r="D43">
            <v>1029387</v>
          </cell>
        </row>
        <row r="44">
          <cell r="A44" t="str">
            <v>B2.14</v>
          </cell>
          <cell r="B44" t="str">
            <v>refundacja, z tego:</v>
          </cell>
          <cell r="C44">
            <v>8286218</v>
          </cell>
          <cell r="D44">
            <v>8286218</v>
          </cell>
        </row>
        <row r="45">
          <cell r="A45" t="str">
            <v>B2.14.1</v>
          </cell>
          <cell r="B45" t="str">
            <v>refundacja leków, środków spożywczych specjalnego przeznaczenia żywieniowego oraz wyrobów medycznych dostępnych w aptece na receptę</v>
          </cell>
          <cell r="C45">
            <v>8251475</v>
          </cell>
          <cell r="D45">
            <v>8251475</v>
          </cell>
        </row>
        <row r="46">
          <cell r="A46" t="str">
            <v>B2.14.2</v>
          </cell>
          <cell r="B46" t="str">
            <v>refundacja leków, o których mowa w art. 15 ust. 2 pkt 17 ustawy</v>
          </cell>
          <cell r="C46">
            <v>20477</v>
          </cell>
          <cell r="D46">
            <v>20477</v>
          </cell>
        </row>
        <row r="47">
          <cell r="A47" t="str">
            <v>B2.14.3</v>
          </cell>
          <cell r="B47" t="str">
            <v>refundacja środków spożywczych specjalnego przeznaczenia żywieniowego, o których mowa w art. 15 ust. 2 pkt 18 ustawy</v>
          </cell>
          <cell r="C47">
            <v>14266</v>
          </cell>
          <cell r="D47">
            <v>14266</v>
          </cell>
        </row>
        <row r="48">
          <cell r="A48" t="str">
            <v>B2.15</v>
          </cell>
          <cell r="B48" t="str">
            <v>rezerwa na koszty realizacji zadań wynikajacych z przepisów o koordynacji</v>
          </cell>
          <cell r="C48">
            <v>545092</v>
          </cell>
          <cell r="D48">
            <v>545092</v>
          </cell>
        </row>
        <row r="49">
          <cell r="A49" t="str">
            <v>B2.16</v>
          </cell>
          <cell r="B49" t="str">
            <v>rezerwa na pokrycie kosztów świadczeń opieki zdrowotnej oraz refundacji leków, w tym:</v>
          </cell>
          <cell r="C49">
            <v>0</v>
          </cell>
          <cell r="D49">
            <v>0</v>
          </cell>
        </row>
        <row r="50">
          <cell r="A50" t="str">
            <v>B2.16.1</v>
          </cell>
          <cell r="B50" t="str">
            <v>rezerwa, o której mowa w art. 118 ust. 2 pkt 2 lit. c ustawy</v>
          </cell>
          <cell r="C50">
            <v>0</v>
          </cell>
          <cell r="D50">
            <v>0</v>
          </cell>
        </row>
        <row r="51">
          <cell r="A51" t="str">
            <v>B2.17</v>
          </cell>
          <cell r="B51" t="str">
            <v>rezerwa na koszty świadczeń opieki zdrowotnej w ramach migracji ubezpieczonych</v>
          </cell>
          <cell r="C51">
            <v>0</v>
          </cell>
          <cell r="D51">
            <v>0</v>
          </cell>
        </row>
        <row r="52">
          <cell r="A52" t="str">
            <v>B2.18</v>
          </cell>
          <cell r="B52" t="str">
            <v>koszty świadczeń opieki zdrowotnej z lat ubiegłych</v>
          </cell>
          <cell r="C52">
            <v>221495</v>
          </cell>
          <cell r="D52">
            <v>221495</v>
          </cell>
        </row>
        <row r="53">
          <cell r="A53" t="str">
            <v>B2.19</v>
          </cell>
          <cell r="B53" t="str">
            <v>rezerwa na koszty świadczeń opieki zdrowotnej udzielone w ramach transgranicznej opieki zdrowotnej</v>
          </cell>
          <cell r="C53">
            <v>50000</v>
          </cell>
          <cell r="D53">
            <v>50000</v>
          </cell>
        </row>
        <row r="54">
          <cell r="A54" t="str">
            <v>B2.20</v>
          </cell>
          <cell r="B54" t="str">
            <v>rezerwa na dofinansowanie programów polityki zdrowotnej na podstawie art. 48d ustawy</v>
          </cell>
          <cell r="C54">
            <v>35830</v>
          </cell>
          <cell r="D54">
            <v>35830</v>
          </cell>
        </row>
        <row r="55">
          <cell r="A55" t="str">
            <v>B3</v>
          </cell>
          <cell r="B55" t="str">
            <v>Koszty programów polityki zdrowotnej realizowanych na zlecenie</v>
          </cell>
          <cell r="C55">
            <v>0</v>
          </cell>
          <cell r="D55">
            <v>2804</v>
          </cell>
        </row>
        <row r="56">
          <cell r="A56" t="str">
            <v>B4</v>
          </cell>
          <cell r="B56" t="str">
            <v>Koszty realizacji zadań zespołów ratownictwa medycznego</v>
          </cell>
          <cell r="C56">
            <v>1923442</v>
          </cell>
          <cell r="D56">
            <v>1923442</v>
          </cell>
        </row>
        <row r="57">
          <cell r="A57" t="str">
            <v>B5</v>
          </cell>
          <cell r="B57" t="str">
            <v>Koszty finansowania leku, środka spożywczego specjalnego przeznaczenia żywieniowego oraz wyrobu medycznego w części finansowanej z budżetu państwa zgodnie z art. 43a ust. 3 ustawy</v>
          </cell>
          <cell r="C57">
            <v>564300</v>
          </cell>
          <cell r="D57">
            <v>564300</v>
          </cell>
        </row>
        <row r="58">
          <cell r="A58" t="str">
            <v>Bn</v>
          </cell>
          <cell r="B58" t="str">
            <v>Całkowity budżet na refundację
(B2.3.1.1+B2.3.2.1+B2.14+B2.16.1)</v>
          </cell>
          <cell r="C58">
            <v>12256183</v>
          </cell>
          <cell r="D58">
            <v>12256183</v>
          </cell>
        </row>
        <row r="59">
          <cell r="A59" t="str">
            <v>C</v>
          </cell>
          <cell r="B59" t="str">
            <v>WYNIK NA DZIAŁALNOŚCI (A - B)</v>
          </cell>
          <cell r="C59">
            <v>-739242</v>
          </cell>
          <cell r="D59">
            <v>-739242</v>
          </cell>
        </row>
        <row r="60">
          <cell r="A60" t="str">
            <v>D</v>
          </cell>
          <cell r="B60" t="str">
            <v>Koszty administracyjne (D1 + … + D8)</v>
          </cell>
          <cell r="C60">
            <v>753162</v>
          </cell>
          <cell r="D60">
            <v>753162</v>
          </cell>
        </row>
        <row r="61">
          <cell r="A61" t="str">
            <v>D1</v>
          </cell>
          <cell r="B61" t="str">
            <v>zużycie materiałów i energii</v>
          </cell>
          <cell r="C61">
            <v>25837</v>
          </cell>
          <cell r="D61">
            <v>25837</v>
          </cell>
        </row>
        <row r="62">
          <cell r="A62" t="str">
            <v>D2</v>
          </cell>
          <cell r="B62" t="str">
            <v>usługi obce</v>
          </cell>
          <cell r="C62">
            <v>185633</v>
          </cell>
          <cell r="D62">
            <v>185633</v>
          </cell>
        </row>
        <row r="63">
          <cell r="A63" t="str">
            <v>D3</v>
          </cell>
          <cell r="B63" t="str">
            <v>podatki i opłaty, z tego:</v>
          </cell>
          <cell r="C63">
            <v>4682</v>
          </cell>
          <cell r="D63">
            <v>4682</v>
          </cell>
        </row>
        <row r="64">
          <cell r="A64" t="str">
            <v>D3.1</v>
          </cell>
          <cell r="B64" t="str">
            <v>podatki stanowiące dochody własne jednostek samorządu terytorialnego, w tym:</v>
          </cell>
          <cell r="C64">
            <v>614</v>
          </cell>
          <cell r="D64">
            <v>614</v>
          </cell>
        </row>
        <row r="65">
          <cell r="A65" t="str">
            <v>D3.1.1</v>
          </cell>
          <cell r="B65" t="str">
            <v>podatek od nieruchomości</v>
          </cell>
          <cell r="C65">
            <v>611</v>
          </cell>
          <cell r="D65">
            <v>611</v>
          </cell>
        </row>
        <row r="66">
          <cell r="A66" t="str">
            <v>D3.2</v>
          </cell>
          <cell r="B66" t="str">
            <v>opłaty stanowiące dochody własne jednostek samorządu terytorialnego</v>
          </cell>
          <cell r="C66">
            <v>680</v>
          </cell>
          <cell r="D66">
            <v>680</v>
          </cell>
        </row>
        <row r="67">
          <cell r="A67" t="str">
            <v>D3.3</v>
          </cell>
          <cell r="B67" t="str">
            <v>VAT</v>
          </cell>
          <cell r="C67">
            <v>27</v>
          </cell>
          <cell r="D67">
            <v>27</v>
          </cell>
        </row>
        <row r="68">
          <cell r="A68" t="str">
            <v>D3.4</v>
          </cell>
          <cell r="B68" t="str">
            <v>podatek akcyzowy</v>
          </cell>
          <cell r="C68">
            <v>0</v>
          </cell>
          <cell r="D68">
            <v>0</v>
          </cell>
        </row>
        <row r="69">
          <cell r="A69" t="str">
            <v>D3.5</v>
          </cell>
          <cell r="B69" t="str">
            <v>wpłaty na PFRON</v>
          </cell>
          <cell r="C69">
            <v>2973</v>
          </cell>
          <cell r="D69">
            <v>2973</v>
          </cell>
        </row>
        <row r="70">
          <cell r="A70" t="str">
            <v>D3.6</v>
          </cell>
          <cell r="B70" t="str">
            <v>inne</v>
          </cell>
          <cell r="C70">
            <v>388</v>
          </cell>
          <cell r="D70">
            <v>388</v>
          </cell>
        </row>
        <row r="71">
          <cell r="A71" t="str">
            <v>D4</v>
          </cell>
          <cell r="B71" t="str">
            <v>wynagrodzenia, w tym:</v>
          </cell>
          <cell r="C71">
            <v>341092</v>
          </cell>
          <cell r="D71">
            <v>341092</v>
          </cell>
        </row>
        <row r="72">
          <cell r="A72" t="str">
            <v>D4.1</v>
          </cell>
          <cell r="B72" t="str">
            <v>wynagrodzenia bezosobowe</v>
          </cell>
          <cell r="C72">
            <v>1183</v>
          </cell>
          <cell r="D72">
            <v>1183</v>
          </cell>
        </row>
        <row r="73">
          <cell r="A73" t="str">
            <v>D5</v>
          </cell>
          <cell r="B73" t="str">
            <v>ubezpieczenie społeczne i inne świadczenia, z tego:</v>
          </cell>
          <cell r="C73">
            <v>77635</v>
          </cell>
          <cell r="D73">
            <v>77635</v>
          </cell>
        </row>
        <row r="74">
          <cell r="A74" t="str">
            <v>D5.1</v>
          </cell>
          <cell r="B74" t="str">
            <v>składki na Fundusz Ubezpieczeń Społecznych</v>
          </cell>
          <cell r="C74">
            <v>58390</v>
          </cell>
          <cell r="D74">
            <v>58390</v>
          </cell>
        </row>
        <row r="75">
          <cell r="A75" t="str">
            <v>D5.2</v>
          </cell>
          <cell r="B75" t="str">
            <v>składki na Fundusz Pracy</v>
          </cell>
          <cell r="C75">
            <v>8165</v>
          </cell>
          <cell r="D75">
            <v>8165</v>
          </cell>
        </row>
        <row r="76">
          <cell r="A76" t="str">
            <v>D5.3</v>
          </cell>
          <cell r="B76" t="str">
            <v>składki na Fundusz Gwarantowanych Świadczeń Pracowniczych</v>
          </cell>
          <cell r="C76">
            <v>0</v>
          </cell>
          <cell r="D76">
            <v>0</v>
          </cell>
        </row>
        <row r="77">
          <cell r="A77" t="str">
            <v>D5.4</v>
          </cell>
          <cell r="B77" t="str">
            <v>pozostałe świadczenia</v>
          </cell>
          <cell r="C77">
            <v>11080</v>
          </cell>
          <cell r="D77">
            <v>11080</v>
          </cell>
        </row>
        <row r="78">
          <cell r="A78" t="str">
            <v>D6</v>
          </cell>
          <cell r="B78" t="str">
            <v>koszty funkcjonowania Rady Funduszu</v>
          </cell>
          <cell r="C78">
            <v>50</v>
          </cell>
          <cell r="D78">
            <v>50</v>
          </cell>
        </row>
        <row r="79">
          <cell r="A79" t="str">
            <v>D7</v>
          </cell>
          <cell r="B79" t="str">
            <v>amortyzacja środków trwałych oraz wartości niematerialnych i prawnych</v>
          </cell>
          <cell r="C79">
            <v>112061</v>
          </cell>
          <cell r="D79">
            <v>112061</v>
          </cell>
        </row>
        <row r="80">
          <cell r="A80" t="str">
            <v>D8</v>
          </cell>
          <cell r="B80" t="str">
            <v>pozostałe koszty administracyjne</v>
          </cell>
          <cell r="C80">
            <v>6172</v>
          </cell>
          <cell r="D80">
            <v>6172</v>
          </cell>
        </row>
        <row r="81">
          <cell r="A81" t="str">
            <v>E</v>
          </cell>
          <cell r="B81" t="str">
            <v>Pozostałe przychody</v>
          </cell>
          <cell r="C81">
            <v>186891</v>
          </cell>
          <cell r="D81">
            <v>186891</v>
          </cell>
        </row>
        <row r="82">
          <cell r="A82" t="str">
            <v>F</v>
          </cell>
          <cell r="B82" t="str">
            <v>Pozostałe koszty (F1+ … +F4)</v>
          </cell>
          <cell r="C82">
            <v>233676</v>
          </cell>
          <cell r="D82">
            <v>233676</v>
          </cell>
        </row>
        <row r="83">
          <cell r="A83" t="str">
            <v>F1</v>
          </cell>
          <cell r="B83" t="str">
            <v>wydanie i utrzymanie kart ubezpieczenia (w tym części stałych i zamiennych książeczek usług medycznych) oraz recept</v>
          </cell>
          <cell r="C83">
            <v>1269</v>
          </cell>
          <cell r="D83">
            <v>1269</v>
          </cell>
        </row>
        <row r="84">
          <cell r="A84" t="str">
            <v>F2</v>
          </cell>
          <cell r="B84" t="str">
            <v>rezerwa na zobowiązania wynikające z postępowań sądowych</v>
          </cell>
          <cell r="C84">
            <v>192338</v>
          </cell>
          <cell r="D84">
            <v>192338</v>
          </cell>
        </row>
        <row r="85">
          <cell r="A85" t="str">
            <v>F3</v>
          </cell>
          <cell r="B85" t="str">
            <v>inne rezerwy</v>
          </cell>
          <cell r="C85">
            <v>0</v>
          </cell>
          <cell r="D85">
            <v>0</v>
          </cell>
        </row>
        <row r="86">
          <cell r="A86" t="str">
            <v>F4</v>
          </cell>
          <cell r="B86" t="str">
            <v>inne koszty</v>
          </cell>
          <cell r="C86">
            <v>40069</v>
          </cell>
          <cell r="D86">
            <v>40069</v>
          </cell>
        </row>
        <row r="87">
          <cell r="A87" t="str">
            <v>G</v>
          </cell>
          <cell r="B87" t="str">
            <v>Przychody finansowe (G1 + G2)</v>
          </cell>
          <cell r="C87">
            <v>52142</v>
          </cell>
          <cell r="D87">
            <v>52142</v>
          </cell>
        </row>
        <row r="88">
          <cell r="A88" t="str">
            <v>G1</v>
          </cell>
          <cell r="B88" t="str">
            <v xml:space="preserve">odsetki uzyskane z lokat </v>
          </cell>
          <cell r="C88">
            <v>44370</v>
          </cell>
          <cell r="D88">
            <v>44370</v>
          </cell>
        </row>
        <row r="89">
          <cell r="A89" t="str">
            <v>G2</v>
          </cell>
          <cell r="B89" t="str">
            <v>inne przychody finansowe</v>
          </cell>
          <cell r="C89">
            <v>7772</v>
          </cell>
          <cell r="D89">
            <v>7772</v>
          </cell>
        </row>
        <row r="90">
          <cell r="A90" t="str">
            <v>H</v>
          </cell>
          <cell r="B90" t="str">
            <v>Koszty finansowe</v>
          </cell>
          <cell r="C90">
            <v>86053</v>
          </cell>
          <cell r="D90">
            <v>86053</v>
          </cell>
        </row>
        <row r="91">
          <cell r="A91" t="str">
            <v>I</v>
          </cell>
          <cell r="B91" t="str">
            <v>WYNIK FINANSOWY OGÓŁEM NETTO
(C - D + E - F + G - H)</v>
          </cell>
          <cell r="C91">
            <v>-1573100</v>
          </cell>
          <cell r="D91">
            <v>-1573100</v>
          </cell>
        </row>
        <row r="92">
          <cell r="A92" t="str">
            <v>J</v>
          </cell>
          <cell r="B92" t="str">
            <v xml:space="preserve"> PRZYCHODY - ogółem</v>
          </cell>
          <cell r="C92">
            <v>78532769</v>
          </cell>
          <cell r="D92">
            <v>78535573</v>
          </cell>
        </row>
        <row r="93">
          <cell r="A93" t="str">
            <v>K</v>
          </cell>
          <cell r="B93" t="str">
            <v xml:space="preserve"> KOSZTY - ogółem</v>
          </cell>
          <cell r="C93">
            <v>80105869</v>
          </cell>
          <cell r="D93">
            <v>80108673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</sheetData>
      <sheetData sheetId="1">
        <row r="7">
          <cell r="A7" t="str">
            <v>B2.1</v>
          </cell>
          <cell r="B7" t="str">
            <v>podstawowa opieka zdrowotna</v>
          </cell>
          <cell r="C7">
            <v>0</v>
          </cell>
          <cell r="D7">
            <v>0</v>
          </cell>
        </row>
        <row r="8">
          <cell r="A8" t="str">
            <v>B2.2</v>
          </cell>
          <cell r="B8" t="str">
            <v>ambulatoryjna opieka specjalistyczna</v>
          </cell>
          <cell r="C8">
            <v>0</v>
          </cell>
          <cell r="D8">
            <v>0</v>
          </cell>
        </row>
        <row r="9">
          <cell r="A9" t="str">
            <v>B2.3</v>
          </cell>
          <cell r="B9" t="str">
            <v>leczenie szpitalne, w tym:</v>
          </cell>
          <cell r="C9">
            <v>0</v>
          </cell>
          <cell r="D9">
            <v>0</v>
          </cell>
        </row>
        <row r="10">
          <cell r="A10" t="str">
            <v>B2.3.1</v>
          </cell>
          <cell r="B10" t="str">
            <v>programy terapeutyczne (lekowe), w tym:</v>
          </cell>
          <cell r="C10">
            <v>0</v>
          </cell>
          <cell r="D10">
            <v>0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0</v>
          </cell>
          <cell r="D11">
            <v>0</v>
          </cell>
        </row>
        <row r="12">
          <cell r="A12" t="str">
            <v>B2.3.2</v>
          </cell>
          <cell r="B12" t="str">
            <v>chemioterapia, w tym:</v>
          </cell>
          <cell r="C12">
            <v>0</v>
          </cell>
          <cell r="D12">
            <v>0</v>
          </cell>
        </row>
        <row r="13">
          <cell r="A13" t="str">
            <v>B2.3.2.1</v>
          </cell>
          <cell r="B13" t="str">
            <v>leki stosowane w chemioterapii</v>
          </cell>
          <cell r="C13">
            <v>0</v>
          </cell>
          <cell r="D13">
            <v>0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0</v>
          </cell>
          <cell r="D14">
            <v>0</v>
          </cell>
        </row>
        <row r="15">
          <cell r="A15" t="str">
            <v>B2.5</v>
          </cell>
          <cell r="B15" t="str">
            <v>rehabilitacja lecznicza</v>
          </cell>
          <cell r="C15">
            <v>0</v>
          </cell>
          <cell r="D15">
            <v>0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0</v>
          </cell>
          <cell r="D16">
            <v>0</v>
          </cell>
        </row>
        <row r="17">
          <cell r="A17" t="str">
            <v>B2.7</v>
          </cell>
          <cell r="B17" t="str">
            <v>opieka paliatywna i hospicyjna</v>
          </cell>
          <cell r="C17">
            <v>0</v>
          </cell>
          <cell r="D17">
            <v>0</v>
          </cell>
        </row>
        <row r="18">
          <cell r="A18" t="str">
            <v>B2.8</v>
          </cell>
          <cell r="B18" t="str">
            <v>leczenie stomatologiczne</v>
          </cell>
          <cell r="C18">
            <v>0</v>
          </cell>
          <cell r="D18">
            <v>0</v>
          </cell>
        </row>
        <row r="19">
          <cell r="A19" t="str">
            <v>B2.9</v>
          </cell>
          <cell r="B19" t="str">
            <v>lecznictwo uzdrowiskowe</v>
          </cell>
          <cell r="C19">
            <v>0</v>
          </cell>
          <cell r="D19">
            <v>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0</v>
          </cell>
          <cell r="D20">
            <v>0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0</v>
          </cell>
          <cell r="D21">
            <v>0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0</v>
          </cell>
          <cell r="D22">
            <v>0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0</v>
          </cell>
          <cell r="D23">
            <v>0</v>
          </cell>
        </row>
        <row r="24">
          <cell r="A24" t="str">
            <v>B2.14</v>
          </cell>
          <cell r="B24" t="str">
            <v>refundacja, z tego:</v>
          </cell>
          <cell r="C24">
            <v>0</v>
          </cell>
          <cell r="D24">
            <v>0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0</v>
          </cell>
          <cell r="D25">
            <v>0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0</v>
          </cell>
          <cell r="D26">
            <v>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0</v>
          </cell>
          <cell r="D27">
            <v>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545092</v>
          </cell>
          <cell r="D28">
            <v>545092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0</v>
          </cell>
          <cell r="D32">
            <v>0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50000</v>
          </cell>
          <cell r="D33">
            <v>50000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0</v>
          </cell>
          <cell r="D34">
            <v>0</v>
          </cell>
        </row>
        <row r="35">
          <cell r="A35" t="str">
            <v>B3</v>
          </cell>
          <cell r="B35" t="str">
            <v xml:space="preserve">Koszty programów polityki zdrowotnej realizowanych na zlecenie </v>
          </cell>
          <cell r="C35">
            <v>0</v>
          </cell>
          <cell r="D35">
            <v>0</v>
          </cell>
        </row>
        <row r="36">
          <cell r="A36" t="str">
            <v>B4</v>
          </cell>
          <cell r="B36" t="str">
            <v>Koszty realizacji zadań zespołów ratownictwa medycznego</v>
          </cell>
          <cell r="C36">
            <v>0</v>
          </cell>
          <cell r="D36">
            <v>0</v>
          </cell>
        </row>
        <row r="37">
          <cell r="A37" t="str">
            <v>B5</v>
          </cell>
          <cell r="B37" t="str">
            <v>Koszty finansowania leku, środka spożywczego specjalnego przeznaczenia żywieniowego oraz wyrobu medycznego w części finansowanej z budżetu państwa zgodnie z art. 43a ust. 3 ustawy</v>
          </cell>
          <cell r="C37">
            <v>0</v>
          </cell>
          <cell r="D37">
            <v>0</v>
          </cell>
        </row>
        <row r="38">
          <cell r="A38" t="str">
            <v>Bn</v>
          </cell>
          <cell r="B38" t="str">
            <v>Całkowity budżet na refundację
(B2.3.1.1+B2.3.2.1+B2.14+B2.16.1)</v>
          </cell>
          <cell r="C38">
            <v>0</v>
          </cell>
          <cell r="D38">
            <v>0</v>
          </cell>
        </row>
        <row r="39">
          <cell r="A39" t="str">
            <v>D.</v>
          </cell>
          <cell r="B39" t="str">
            <v>Koszty administracyjne ( D1+...+D8 )</v>
          </cell>
          <cell r="C39">
            <v>233968</v>
          </cell>
          <cell r="D39">
            <v>233968</v>
          </cell>
        </row>
        <row r="40">
          <cell r="A40" t="str">
            <v>D1</v>
          </cell>
          <cell r="B40" t="str">
            <v>zużycie materiałów i energii</v>
          </cell>
          <cell r="C40">
            <v>3632</v>
          </cell>
          <cell r="D40">
            <v>3632</v>
          </cell>
        </row>
        <row r="41">
          <cell r="A41" t="str">
            <v>D2</v>
          </cell>
          <cell r="B41" t="str">
            <v>usługi obce</v>
          </cell>
          <cell r="C41">
            <v>116349</v>
          </cell>
          <cell r="D41">
            <v>116349</v>
          </cell>
        </row>
        <row r="42">
          <cell r="A42" t="str">
            <v>D3</v>
          </cell>
          <cell r="B42" t="str">
            <v>podatki i opłaty, z tego</v>
          </cell>
          <cell r="C42">
            <v>713</v>
          </cell>
          <cell r="D42">
            <v>713</v>
          </cell>
        </row>
        <row r="43">
          <cell r="A43" t="str">
            <v>D3.1</v>
          </cell>
          <cell r="B43" t="str">
            <v>podatki stanowiące dochody własne jednostek samorządu terytorialnego, w tym:</v>
          </cell>
          <cell r="C43">
            <v>100</v>
          </cell>
          <cell r="D43">
            <v>100</v>
          </cell>
        </row>
        <row r="44">
          <cell r="A44" t="str">
            <v>D3.1.1</v>
          </cell>
          <cell r="B44" t="str">
            <v>podatek od nieruchomości</v>
          </cell>
          <cell r="C44">
            <v>100</v>
          </cell>
          <cell r="D44">
            <v>100</v>
          </cell>
        </row>
        <row r="45">
          <cell r="A45" t="str">
            <v>D3.2</v>
          </cell>
          <cell r="B45" t="str">
            <v>opłaty stanowiące dochody własne jednostek samorządu terytorialnego</v>
          </cell>
          <cell r="C45">
            <v>94</v>
          </cell>
          <cell r="D45">
            <v>94</v>
          </cell>
        </row>
        <row r="46">
          <cell r="A46" t="str">
            <v>D3.3</v>
          </cell>
          <cell r="B46" t="str">
            <v>VAT</v>
          </cell>
          <cell r="C46">
            <v>22</v>
          </cell>
          <cell r="D46">
            <v>22</v>
          </cell>
        </row>
        <row r="47">
          <cell r="A47" t="str">
            <v>D3.4</v>
          </cell>
          <cell r="B47" t="str">
            <v>podatek akcyzowy</v>
          </cell>
          <cell r="C47">
            <v>0</v>
          </cell>
          <cell r="D47">
            <v>0</v>
          </cell>
        </row>
        <row r="48">
          <cell r="A48" t="str">
            <v>D3.5</v>
          </cell>
          <cell r="B48" t="str">
            <v>wpłaty na PFRON</v>
          </cell>
          <cell r="C48">
            <v>382</v>
          </cell>
          <cell r="D48">
            <v>382</v>
          </cell>
        </row>
        <row r="49">
          <cell r="A49" t="str">
            <v>D3.6</v>
          </cell>
          <cell r="B49" t="str">
            <v>inne</v>
          </cell>
          <cell r="C49">
            <v>115</v>
          </cell>
          <cell r="D49">
            <v>115</v>
          </cell>
        </row>
        <row r="50">
          <cell r="A50" t="str">
            <v>D4</v>
          </cell>
          <cell r="B50" t="str">
            <v>wynagrodzenia, w tym:</v>
          </cell>
          <cell r="C50">
            <v>37918</v>
          </cell>
          <cell r="D50">
            <v>37918</v>
          </cell>
        </row>
        <row r="51">
          <cell r="A51" t="str">
            <v>D4.1</v>
          </cell>
          <cell r="B51" t="str">
            <v>wynagrodzenia bezosobowe</v>
          </cell>
          <cell r="C51">
            <v>358</v>
          </cell>
          <cell r="D51">
            <v>358</v>
          </cell>
        </row>
        <row r="52">
          <cell r="A52" t="str">
            <v>D5</v>
          </cell>
          <cell r="B52" t="str">
            <v>ubezpieczenie społeczne i inne świadczenia, z tego:</v>
          </cell>
          <cell r="C52">
            <v>9399</v>
          </cell>
          <cell r="D52">
            <v>9399</v>
          </cell>
        </row>
        <row r="53">
          <cell r="A53" t="str">
            <v>D5.1</v>
          </cell>
          <cell r="B53" t="str">
            <v>składki na Fundusz Ubezpieczeń Społecznych</v>
          </cell>
          <cell r="C53">
            <v>6519</v>
          </cell>
          <cell r="D53">
            <v>6519</v>
          </cell>
        </row>
        <row r="54">
          <cell r="A54" t="str">
            <v>D5.2</v>
          </cell>
          <cell r="B54" t="str">
            <v>składki na Fundusz Pracy</v>
          </cell>
          <cell r="C54">
            <v>930</v>
          </cell>
          <cell r="D54">
            <v>930</v>
          </cell>
        </row>
        <row r="55">
          <cell r="A55" t="str">
            <v>D5.3</v>
          </cell>
          <cell r="B55" t="str">
            <v>składki na Fundusz Gwarantowanych Świadczeń Pracowniczych</v>
          </cell>
          <cell r="C55">
            <v>0</v>
          </cell>
          <cell r="D55">
            <v>0</v>
          </cell>
        </row>
        <row r="56">
          <cell r="A56" t="str">
            <v>D5.4</v>
          </cell>
          <cell r="B56" t="str">
            <v>pozostałe świadczenia</v>
          </cell>
          <cell r="C56">
            <v>1950</v>
          </cell>
          <cell r="D56">
            <v>1950</v>
          </cell>
        </row>
        <row r="57">
          <cell r="A57" t="str">
            <v>D6</v>
          </cell>
          <cell r="B57" t="str">
            <v>koszty funkcjonowania Rady Funduszu</v>
          </cell>
          <cell r="C57">
            <v>50</v>
          </cell>
          <cell r="D57">
            <v>50</v>
          </cell>
        </row>
        <row r="58">
          <cell r="A58" t="str">
            <v>D7</v>
          </cell>
          <cell r="B58" t="str">
            <v>amortyzacja środków trwałych oraz wartości niematerialnych i prawnych</v>
          </cell>
          <cell r="C58">
            <v>64000</v>
          </cell>
          <cell r="D58">
            <v>64000</v>
          </cell>
        </row>
        <row r="59">
          <cell r="A59" t="str">
            <v>D8</v>
          </cell>
          <cell r="B59" t="str">
            <v>pozostałe koszty administracyjne</v>
          </cell>
          <cell r="C59">
            <v>1907</v>
          </cell>
          <cell r="D59">
            <v>1907</v>
          </cell>
        </row>
        <row r="60">
          <cell r="A60" t="str">
            <v>F</v>
          </cell>
          <cell r="B60" t="str">
            <v>Pozostałe koszty (F1+...+F4)</v>
          </cell>
          <cell r="C60">
            <v>7555</v>
          </cell>
          <cell r="D60">
            <v>7555</v>
          </cell>
        </row>
        <row r="61">
          <cell r="A61" t="str">
            <v>F1</v>
          </cell>
          <cell r="B61" t="str">
            <v>wydanie i utrzymanie kart ubezpieczenia (w tym części stałych i zamiennych książeczek usług medycznych) oraz recept</v>
          </cell>
          <cell r="C61">
            <v>875</v>
          </cell>
          <cell r="D61">
            <v>875</v>
          </cell>
        </row>
        <row r="62">
          <cell r="A62" t="str">
            <v>F2</v>
          </cell>
          <cell r="B62" t="str">
            <v>rezerwa na zobowiązania wynikające z postępowań sądowych</v>
          </cell>
          <cell r="C62">
            <v>1180</v>
          </cell>
          <cell r="D62">
            <v>1180</v>
          </cell>
        </row>
        <row r="63">
          <cell r="A63" t="str">
            <v>F3</v>
          </cell>
          <cell r="B63" t="str">
            <v>inne rezerwy</v>
          </cell>
          <cell r="C63">
            <v>0</v>
          </cell>
          <cell r="D63">
            <v>0</v>
          </cell>
        </row>
        <row r="64">
          <cell r="A64" t="str">
            <v>F4</v>
          </cell>
          <cell r="B64" t="str">
            <v>inne koszty</v>
          </cell>
          <cell r="C64">
            <v>5500</v>
          </cell>
          <cell r="D64">
            <v>5500</v>
          </cell>
        </row>
        <row r="65">
          <cell r="A65" t="str">
            <v>H</v>
          </cell>
          <cell r="B65" t="str">
            <v>Koszty finansowe</v>
          </cell>
          <cell r="C65">
            <v>30182</v>
          </cell>
          <cell r="D65">
            <v>30182</v>
          </cell>
        </row>
        <row r="71">
          <cell r="C71">
            <v>0</v>
          </cell>
        </row>
      </sheetData>
      <sheetData sheetId="2"/>
      <sheetData sheetId="3">
        <row r="7">
          <cell r="A7" t="str">
            <v>B2.1</v>
          </cell>
          <cell r="B7" t="str">
            <v>podstawowa opieka zdrowotna</v>
          </cell>
          <cell r="C7">
            <v>762998</v>
          </cell>
          <cell r="D7">
            <v>762998</v>
          </cell>
        </row>
        <row r="8">
          <cell r="A8" t="str">
            <v>B2.2</v>
          </cell>
          <cell r="B8" t="str">
            <v>ambulatoryjna opieka specjalistyczna</v>
          </cell>
          <cell r="C8">
            <v>423209</v>
          </cell>
          <cell r="D8">
            <v>423209</v>
          </cell>
        </row>
        <row r="9">
          <cell r="A9" t="str">
            <v>B2.3</v>
          </cell>
          <cell r="B9" t="str">
            <v>leczenie szpitalne, w tym:</v>
          </cell>
          <cell r="C9">
            <v>2875226</v>
          </cell>
          <cell r="D9">
            <v>2875226</v>
          </cell>
        </row>
        <row r="10">
          <cell r="A10" t="str">
            <v>B2.3.1</v>
          </cell>
          <cell r="B10" t="str">
            <v>programy terapeutyczne (lekowe), w tym:</v>
          </cell>
          <cell r="C10">
            <v>281712</v>
          </cell>
          <cell r="D10">
            <v>281712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257192</v>
          </cell>
          <cell r="D11">
            <v>257192</v>
          </cell>
        </row>
        <row r="12">
          <cell r="A12" t="str">
            <v>B2.3.2</v>
          </cell>
          <cell r="B12" t="str">
            <v>chemioterapia, w tym:</v>
          </cell>
          <cell r="C12">
            <v>116591</v>
          </cell>
          <cell r="D12">
            <v>116591</v>
          </cell>
        </row>
        <row r="13">
          <cell r="A13" t="str">
            <v>B2.3.2.1</v>
          </cell>
          <cell r="B13" t="str">
            <v>leki stosowane w chemioterapii</v>
          </cell>
          <cell r="C13">
            <v>50995</v>
          </cell>
          <cell r="D13">
            <v>50995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209651</v>
          </cell>
          <cell r="D14">
            <v>209651</v>
          </cell>
        </row>
        <row r="15">
          <cell r="A15" t="str">
            <v>B2.5</v>
          </cell>
          <cell r="B15" t="str">
            <v>rehabilitacja lecznicza</v>
          </cell>
          <cell r="C15">
            <v>180579</v>
          </cell>
          <cell r="D15">
            <v>180579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120014</v>
          </cell>
          <cell r="D16">
            <v>120014</v>
          </cell>
        </row>
        <row r="17">
          <cell r="A17" t="str">
            <v>B2.7</v>
          </cell>
          <cell r="B17" t="str">
            <v>opieka paliatywna i hospicyjna</v>
          </cell>
          <cell r="C17">
            <v>62744</v>
          </cell>
          <cell r="D17">
            <v>62744</v>
          </cell>
        </row>
        <row r="18">
          <cell r="A18" t="str">
            <v>B2.8</v>
          </cell>
          <cell r="B18" t="str">
            <v>leczenie stomatologiczne</v>
          </cell>
          <cell r="C18">
            <v>122937</v>
          </cell>
          <cell r="D18">
            <v>122937</v>
          </cell>
        </row>
        <row r="19">
          <cell r="A19" t="str">
            <v>B2.9</v>
          </cell>
          <cell r="B19" t="str">
            <v>lecznictwo uzdrowiskowe</v>
          </cell>
          <cell r="C19">
            <v>64571</v>
          </cell>
          <cell r="D19">
            <v>64571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4782</v>
          </cell>
          <cell r="D20">
            <v>4782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15204</v>
          </cell>
          <cell r="D21">
            <v>15204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141045</v>
          </cell>
          <cell r="D22">
            <v>141045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84300</v>
          </cell>
          <cell r="D23">
            <v>84300</v>
          </cell>
        </row>
        <row r="24">
          <cell r="A24" t="str">
            <v>B2.14</v>
          </cell>
          <cell r="B24" t="str">
            <v>refundacja, z tego:</v>
          </cell>
          <cell r="C24">
            <v>610761</v>
          </cell>
          <cell r="D24">
            <v>610761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608761</v>
          </cell>
          <cell r="D25">
            <v>608761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1000</v>
          </cell>
          <cell r="D26">
            <v>1000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1000</v>
          </cell>
          <cell r="D27">
            <v>1000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8181</v>
          </cell>
          <cell r="D32">
            <v>8181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100</v>
          </cell>
          <cell r="D34">
            <v>100</v>
          </cell>
        </row>
        <row r="35">
          <cell r="A35" t="str">
            <v>B3</v>
          </cell>
          <cell r="B35" t="str">
            <v xml:space="preserve">Koszty programów polityki zdrowotnej realizowanych na zlecenie </v>
          </cell>
          <cell r="C35">
            <v>0</v>
          </cell>
          <cell r="D35">
            <v>0</v>
          </cell>
        </row>
        <row r="36">
          <cell r="A36" t="str">
            <v>B4</v>
          </cell>
          <cell r="B36" t="str">
            <v>Koszty realizacji zadań zespołów ratownictwa medycznego</v>
          </cell>
          <cell r="C36">
            <v>145215</v>
          </cell>
          <cell r="D36">
            <v>145215</v>
          </cell>
        </row>
        <row r="37">
          <cell r="A37" t="str">
            <v>B5</v>
          </cell>
          <cell r="B37" t="str">
            <v>Koszty finansowania leku, środka spożywczego specjalnego przeznaczenia żywieniowego oraz wyrobu medycznego w części finansowanej z budżetu państwa zgodnie z art. 43a ust. 3 ustawy</v>
          </cell>
          <cell r="C37">
            <v>43362</v>
          </cell>
          <cell r="D37">
            <v>43362</v>
          </cell>
        </row>
        <row r="38">
          <cell r="A38" t="str">
            <v>Bn</v>
          </cell>
          <cell r="B38" t="str">
            <v>Całkowity budżet na refundację
(B2.3.1.1+B2.3.2.1+B2.14+B2.16.1)</v>
          </cell>
          <cell r="C38">
            <v>918948</v>
          </cell>
          <cell r="D38">
            <v>918948</v>
          </cell>
        </row>
        <row r="39">
          <cell r="A39" t="str">
            <v>D.</v>
          </cell>
          <cell r="B39" t="str">
            <v>Koszty administracyjne ( D1+...+D8 )</v>
          </cell>
          <cell r="C39">
            <v>36700</v>
          </cell>
          <cell r="D39">
            <v>36700</v>
          </cell>
        </row>
        <row r="40">
          <cell r="A40" t="str">
            <v>D1</v>
          </cell>
          <cell r="B40" t="str">
            <v>zużycie materiałów i energii</v>
          </cell>
          <cell r="C40">
            <v>1397</v>
          </cell>
          <cell r="D40">
            <v>1397</v>
          </cell>
        </row>
        <row r="41">
          <cell r="A41" t="str">
            <v>D2</v>
          </cell>
          <cell r="B41" t="str">
            <v>usługi obce</v>
          </cell>
          <cell r="C41">
            <v>4690</v>
          </cell>
          <cell r="D41">
            <v>4690</v>
          </cell>
        </row>
        <row r="42">
          <cell r="A42" t="str">
            <v>D3</v>
          </cell>
          <cell r="B42" t="str">
            <v>podatki i opłaty, z tego</v>
          </cell>
          <cell r="C42">
            <v>351</v>
          </cell>
          <cell r="D42">
            <v>351</v>
          </cell>
        </row>
        <row r="43">
          <cell r="A43" t="str">
            <v>D3.1</v>
          </cell>
          <cell r="B43" t="str">
            <v>podatki stanowiące dochody własne jednostek samorządu terytorialnego, w tym:</v>
          </cell>
          <cell r="C43">
            <v>54</v>
          </cell>
          <cell r="D43">
            <v>54</v>
          </cell>
        </row>
        <row r="44">
          <cell r="A44" t="str">
            <v>D3.1.1</v>
          </cell>
          <cell r="B44" t="str">
            <v>podatek od nieruchomości</v>
          </cell>
          <cell r="C44">
            <v>54</v>
          </cell>
          <cell r="D44">
            <v>54</v>
          </cell>
        </row>
        <row r="45">
          <cell r="A45" t="str">
            <v>D3.2</v>
          </cell>
          <cell r="B45" t="str">
            <v>opłaty stanowiące dochody własne jednostek samorządu terytorialnego</v>
          </cell>
          <cell r="C45">
            <v>66</v>
          </cell>
          <cell r="D45">
            <v>66</v>
          </cell>
        </row>
        <row r="46">
          <cell r="A46" t="str">
            <v>D3.3</v>
          </cell>
          <cell r="B46" t="str">
            <v>VAT</v>
          </cell>
          <cell r="C46">
            <v>1</v>
          </cell>
          <cell r="D46">
            <v>1</v>
          </cell>
        </row>
        <row r="47">
          <cell r="A47" t="str">
            <v>D3.4</v>
          </cell>
          <cell r="B47" t="str">
            <v>podatek akcyzowy</v>
          </cell>
          <cell r="C47">
            <v>0</v>
          </cell>
          <cell r="D47">
            <v>0</v>
          </cell>
        </row>
        <row r="48">
          <cell r="A48" t="str">
            <v>D3.5</v>
          </cell>
          <cell r="B48" t="str">
            <v>wpłaty na PFRON</v>
          </cell>
          <cell r="C48">
            <v>228</v>
          </cell>
          <cell r="D48">
            <v>228</v>
          </cell>
        </row>
        <row r="49">
          <cell r="A49" t="str">
            <v>D3.6</v>
          </cell>
          <cell r="B49" t="str">
            <v>inne</v>
          </cell>
          <cell r="C49">
            <v>2</v>
          </cell>
          <cell r="D49">
            <v>2</v>
          </cell>
        </row>
        <row r="50">
          <cell r="A50" t="str">
            <v>D4</v>
          </cell>
          <cell r="B50" t="str">
            <v>wynagrodzenia, w tym:</v>
          </cell>
          <cell r="C50">
            <v>21910</v>
          </cell>
          <cell r="D50">
            <v>21910</v>
          </cell>
        </row>
        <row r="51">
          <cell r="A51" t="str">
            <v>D4.1</v>
          </cell>
          <cell r="B51" t="str">
            <v>wynagrodzenia bezosobowe</v>
          </cell>
          <cell r="C51">
            <v>100</v>
          </cell>
          <cell r="D51">
            <v>100</v>
          </cell>
        </row>
        <row r="52">
          <cell r="A52" t="str">
            <v>D5</v>
          </cell>
          <cell r="B52" t="str">
            <v>ubezpieczenie społeczne i inne świadczenia, z tego:</v>
          </cell>
          <cell r="C52">
            <v>4925</v>
          </cell>
          <cell r="D52">
            <v>4925</v>
          </cell>
        </row>
        <row r="53">
          <cell r="A53" t="str">
            <v>D5.1</v>
          </cell>
          <cell r="B53" t="str">
            <v>składki na Fundusz Ubezpieczeń Społecznych</v>
          </cell>
          <cell r="C53">
            <v>3659</v>
          </cell>
          <cell r="D53">
            <v>3659</v>
          </cell>
        </row>
        <row r="54">
          <cell r="A54" t="str">
            <v>D5.2</v>
          </cell>
          <cell r="B54" t="str">
            <v>składki na Fundusz Pracy</v>
          </cell>
          <cell r="C54">
            <v>441</v>
          </cell>
          <cell r="D54">
            <v>441</v>
          </cell>
        </row>
        <row r="55">
          <cell r="A55" t="str">
            <v>D5.3</v>
          </cell>
          <cell r="B55" t="str">
            <v>składki na Fundusz Gwarantowanych Świadczeń Pracowniczych</v>
          </cell>
          <cell r="C55">
            <v>0</v>
          </cell>
          <cell r="D55">
            <v>0</v>
          </cell>
        </row>
        <row r="56">
          <cell r="A56" t="str">
            <v>D5.4</v>
          </cell>
          <cell r="B56" t="str">
            <v>pozostałe świadczenia</v>
          </cell>
          <cell r="C56">
            <v>825</v>
          </cell>
          <cell r="D56">
            <v>825</v>
          </cell>
        </row>
        <row r="57">
          <cell r="A57" t="str">
            <v>D6</v>
          </cell>
          <cell r="B57" t="str">
            <v>koszty funkcjonowania Rady Funduszu</v>
          </cell>
          <cell r="C57">
            <v>0</v>
          </cell>
          <cell r="D57">
            <v>0</v>
          </cell>
        </row>
        <row r="58">
          <cell r="A58" t="str">
            <v>D7</v>
          </cell>
          <cell r="B58" t="str">
            <v>amortyzacja środków trwałych oraz wartości niematerialnych i prawnych</v>
          </cell>
          <cell r="C58">
            <v>3232</v>
          </cell>
          <cell r="D58">
            <v>3232</v>
          </cell>
        </row>
        <row r="59">
          <cell r="A59" t="str">
            <v>D8</v>
          </cell>
          <cell r="B59" t="str">
            <v>pozostałe koszty administracyjne</v>
          </cell>
          <cell r="C59">
            <v>195</v>
          </cell>
          <cell r="D59">
            <v>195</v>
          </cell>
        </row>
        <row r="60">
          <cell r="A60" t="str">
            <v>F</v>
          </cell>
          <cell r="B60" t="str">
            <v>Pozostałe koszty (F1+...+F4)</v>
          </cell>
          <cell r="C60">
            <v>16705</v>
          </cell>
          <cell r="D60">
            <v>16705</v>
          </cell>
        </row>
        <row r="61">
          <cell r="A61" t="str">
            <v>F1</v>
          </cell>
          <cell r="B61" t="str">
            <v>wydanie i utrzymanie kart ubezpieczenia (w tym części stałych i zamiennych książeczek usług medycznych) oraz recept</v>
          </cell>
          <cell r="C61">
            <v>0</v>
          </cell>
          <cell r="D61">
            <v>0</v>
          </cell>
        </row>
        <row r="62">
          <cell r="A62" t="str">
            <v>F2</v>
          </cell>
          <cell r="B62" t="str">
            <v>rezerwa na zobowiązania wynikające z postępowań sądowych</v>
          </cell>
          <cell r="C62">
            <v>15045</v>
          </cell>
          <cell r="D62">
            <v>15045</v>
          </cell>
        </row>
        <row r="63">
          <cell r="A63" t="str">
            <v>F3</v>
          </cell>
          <cell r="B63" t="str">
            <v>inne rezerwy</v>
          </cell>
          <cell r="C63">
            <v>0</v>
          </cell>
          <cell r="D63">
            <v>0</v>
          </cell>
        </row>
        <row r="64">
          <cell r="A64" t="str">
            <v>F4</v>
          </cell>
          <cell r="B64" t="str">
            <v>inne koszty</v>
          </cell>
          <cell r="C64">
            <v>1660</v>
          </cell>
          <cell r="D64">
            <v>1660</v>
          </cell>
        </row>
        <row r="65">
          <cell r="A65" t="str">
            <v>H</v>
          </cell>
          <cell r="B65" t="str">
            <v>Koszty finansowe</v>
          </cell>
          <cell r="C65">
            <v>1981</v>
          </cell>
          <cell r="D65">
            <v>1981</v>
          </cell>
        </row>
      </sheetData>
      <sheetData sheetId="4">
        <row r="7">
          <cell r="A7" t="str">
            <v>B2.1</v>
          </cell>
          <cell r="B7" t="str">
            <v>podstawowa opieka zdrowotna</v>
          </cell>
          <cell r="C7">
            <v>549600</v>
          </cell>
          <cell r="D7">
            <v>549600</v>
          </cell>
        </row>
        <row r="8">
          <cell r="A8" t="str">
            <v>B2.2</v>
          </cell>
          <cell r="B8" t="str">
            <v>ambulatoryjna opieka specjalistyczna</v>
          </cell>
          <cell r="C8">
            <v>284581</v>
          </cell>
          <cell r="D8">
            <v>284581</v>
          </cell>
        </row>
        <row r="9">
          <cell r="A9" t="str">
            <v>B2.3</v>
          </cell>
          <cell r="B9" t="str">
            <v>leczenie szpitalne, w tym:</v>
          </cell>
          <cell r="C9">
            <v>2073217</v>
          </cell>
          <cell r="D9">
            <v>2073217</v>
          </cell>
        </row>
        <row r="10">
          <cell r="A10" t="str">
            <v>B2.3.1</v>
          </cell>
          <cell r="B10" t="str">
            <v>programy terapeutyczne (lekowe), w tym:</v>
          </cell>
          <cell r="C10">
            <v>170807</v>
          </cell>
          <cell r="D10">
            <v>170807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154647</v>
          </cell>
          <cell r="D11">
            <v>154647</v>
          </cell>
        </row>
        <row r="12">
          <cell r="A12" t="str">
            <v>B2.3.2</v>
          </cell>
          <cell r="B12" t="str">
            <v>chemioterapia, w tym:</v>
          </cell>
          <cell r="C12">
            <v>69836</v>
          </cell>
          <cell r="D12">
            <v>69836</v>
          </cell>
        </row>
        <row r="13">
          <cell r="A13" t="str">
            <v>B2.3.2.1</v>
          </cell>
          <cell r="B13" t="str">
            <v>leki stosowane w chemioterapii</v>
          </cell>
          <cell r="C13">
            <v>33838</v>
          </cell>
          <cell r="D13">
            <v>33838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141017</v>
          </cell>
          <cell r="D14">
            <v>141017</v>
          </cell>
        </row>
        <row r="15">
          <cell r="A15" t="str">
            <v>B2.5</v>
          </cell>
          <cell r="B15" t="str">
            <v>rehabilitacja lecznicza</v>
          </cell>
          <cell r="C15">
            <v>105153</v>
          </cell>
          <cell r="D15">
            <v>105153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64633</v>
          </cell>
          <cell r="D16">
            <v>64633</v>
          </cell>
        </row>
        <row r="17">
          <cell r="A17" t="str">
            <v>B2.7</v>
          </cell>
          <cell r="B17" t="str">
            <v>opieka paliatywna i hospicyjna</v>
          </cell>
          <cell r="C17">
            <v>42467</v>
          </cell>
          <cell r="D17">
            <v>42467</v>
          </cell>
        </row>
        <row r="18">
          <cell r="A18" t="str">
            <v>B2.8</v>
          </cell>
          <cell r="B18" t="str">
            <v>leczenie stomatologiczne</v>
          </cell>
          <cell r="C18">
            <v>98133</v>
          </cell>
          <cell r="D18">
            <v>98133</v>
          </cell>
        </row>
        <row r="19">
          <cell r="A19" t="str">
            <v>B2.9</v>
          </cell>
          <cell r="B19" t="str">
            <v>lecznictwo uzdrowiskowe</v>
          </cell>
          <cell r="C19">
            <v>35327</v>
          </cell>
          <cell r="D19">
            <v>35327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2977</v>
          </cell>
          <cell r="D20">
            <v>2977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11930</v>
          </cell>
          <cell r="D21">
            <v>11930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109824</v>
          </cell>
          <cell r="D22">
            <v>109824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54546</v>
          </cell>
          <cell r="D23">
            <v>54546</v>
          </cell>
        </row>
        <row r="24">
          <cell r="A24" t="str">
            <v>B2.14</v>
          </cell>
          <cell r="B24" t="str">
            <v>refundacja, z tego:</v>
          </cell>
          <cell r="C24">
            <v>475111</v>
          </cell>
          <cell r="D24">
            <v>475111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474078</v>
          </cell>
          <cell r="D25">
            <v>474078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600</v>
          </cell>
          <cell r="D26">
            <v>600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433</v>
          </cell>
          <cell r="D27">
            <v>433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23110</v>
          </cell>
          <cell r="D32">
            <v>23110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100</v>
          </cell>
          <cell r="D34">
            <v>100</v>
          </cell>
        </row>
        <row r="35">
          <cell r="A35" t="str">
            <v>B3</v>
          </cell>
          <cell r="B35" t="str">
            <v xml:space="preserve">Koszty programów polityki zdrowotnej realizowanych na zlecenie </v>
          </cell>
          <cell r="C35">
            <v>0</v>
          </cell>
          <cell r="D35">
            <v>0</v>
          </cell>
        </row>
        <row r="36">
          <cell r="A36" t="str">
            <v>B4</v>
          </cell>
          <cell r="B36" t="str">
            <v>Koszty realizacji zadań zespołów ratownictwa medycznego</v>
          </cell>
          <cell r="C36">
            <v>112602</v>
          </cell>
          <cell r="D36">
            <v>112602</v>
          </cell>
        </row>
        <row r="37">
          <cell r="A37" t="str">
            <v>B5</v>
          </cell>
          <cell r="B37" t="str">
            <v>Koszty finansowania leku, środka spożywczego specjalnego przeznaczenia żywieniowego oraz wyrobu medycznego w części finansowanej z budżetu państwa zgodnie z art. 43a ust. 3 ustawy</v>
          </cell>
          <cell r="C37">
            <v>32592</v>
          </cell>
          <cell r="D37">
            <v>32592</v>
          </cell>
        </row>
        <row r="38">
          <cell r="A38" t="str">
            <v>Bn</v>
          </cell>
          <cell r="B38" t="str">
            <v>Całkowity budżet na refundację
(B2.3.1.1+B2.3.2.1+B2.14+B2.16.1)</v>
          </cell>
          <cell r="C38">
            <v>663596</v>
          </cell>
          <cell r="D38">
            <v>663596</v>
          </cell>
        </row>
        <row r="39">
          <cell r="A39" t="str">
            <v>D.</v>
          </cell>
          <cell r="B39" t="str">
            <v>Koszty administracyjne ( D1+...+D8 )</v>
          </cell>
          <cell r="C39">
            <v>31600</v>
          </cell>
          <cell r="D39">
            <v>31600</v>
          </cell>
        </row>
        <row r="40">
          <cell r="A40" t="str">
            <v>D1</v>
          </cell>
          <cell r="B40" t="str">
            <v>zużycie materiałów i energii</v>
          </cell>
          <cell r="C40">
            <v>2740</v>
          </cell>
          <cell r="D40">
            <v>2740</v>
          </cell>
        </row>
        <row r="41">
          <cell r="A41" t="str">
            <v>D2</v>
          </cell>
          <cell r="B41" t="str">
            <v>usługi obce</v>
          </cell>
          <cell r="C41">
            <v>4502</v>
          </cell>
          <cell r="D41">
            <v>4502</v>
          </cell>
        </row>
        <row r="42">
          <cell r="A42" t="str">
            <v>D3</v>
          </cell>
          <cell r="B42" t="str">
            <v>podatki i opłaty, z tego</v>
          </cell>
          <cell r="C42">
            <v>236</v>
          </cell>
          <cell r="D42">
            <v>236</v>
          </cell>
        </row>
        <row r="43">
          <cell r="A43" t="str">
            <v>D3.1</v>
          </cell>
          <cell r="B43" t="str">
            <v>podatki stanowiące dochody własne jednostek samorządu terytorialnego, w tym:</v>
          </cell>
          <cell r="C43">
            <v>33</v>
          </cell>
          <cell r="D43">
            <v>33</v>
          </cell>
        </row>
        <row r="44">
          <cell r="A44" t="str">
            <v>D3.1.1</v>
          </cell>
          <cell r="B44" t="str">
            <v>podatek od nieruchomości</v>
          </cell>
          <cell r="C44">
            <v>33</v>
          </cell>
          <cell r="D44">
            <v>33</v>
          </cell>
        </row>
        <row r="45">
          <cell r="A45" t="str">
            <v>D3.2</v>
          </cell>
          <cell r="B45" t="str">
            <v>opłaty stanowiące dochody własne jednostek samorządu terytorialnego</v>
          </cell>
          <cell r="C45">
            <v>26</v>
          </cell>
          <cell r="D45">
            <v>26</v>
          </cell>
        </row>
        <row r="46">
          <cell r="A46" t="str">
            <v>D3.3</v>
          </cell>
          <cell r="B46" t="str">
            <v>VAT</v>
          </cell>
          <cell r="C46">
            <v>0</v>
          </cell>
          <cell r="D46">
            <v>0</v>
          </cell>
        </row>
        <row r="47">
          <cell r="A47" t="str">
            <v>D3.4</v>
          </cell>
          <cell r="B47" t="str">
            <v>podatek akcyzowy</v>
          </cell>
          <cell r="C47">
            <v>0</v>
          </cell>
          <cell r="D47">
            <v>0</v>
          </cell>
        </row>
        <row r="48">
          <cell r="A48" t="str">
            <v>D3.5</v>
          </cell>
          <cell r="B48" t="str">
            <v>wpłaty na PFRON</v>
          </cell>
          <cell r="C48">
            <v>167</v>
          </cell>
          <cell r="D48">
            <v>167</v>
          </cell>
        </row>
        <row r="49">
          <cell r="A49" t="str">
            <v>D3.6</v>
          </cell>
          <cell r="B49" t="str">
            <v>inne</v>
          </cell>
          <cell r="C49">
            <v>10</v>
          </cell>
          <cell r="D49">
            <v>10</v>
          </cell>
        </row>
        <row r="50">
          <cell r="A50" t="str">
            <v>D4</v>
          </cell>
          <cell r="B50" t="str">
            <v>wynagrodzenia, w tym:</v>
          </cell>
          <cell r="C50">
            <v>15346</v>
          </cell>
          <cell r="D50">
            <v>15346</v>
          </cell>
        </row>
        <row r="51">
          <cell r="A51" t="str">
            <v>D4.1</v>
          </cell>
          <cell r="B51" t="str">
            <v>wynagrodzenia bezosobowe</v>
          </cell>
          <cell r="C51">
            <v>0</v>
          </cell>
          <cell r="D51">
            <v>0</v>
          </cell>
        </row>
        <row r="52">
          <cell r="A52" t="str">
            <v>D5</v>
          </cell>
          <cell r="B52" t="str">
            <v>ubezpieczenie społeczne i inne świadczenia, z tego:</v>
          </cell>
          <cell r="C52">
            <v>3453</v>
          </cell>
          <cell r="D52">
            <v>3453</v>
          </cell>
        </row>
        <row r="53">
          <cell r="A53" t="str">
            <v>D5.1</v>
          </cell>
          <cell r="B53" t="str">
            <v>składki na Fundusz Ubezpieczeń Społecznych</v>
          </cell>
          <cell r="C53">
            <v>2576</v>
          </cell>
          <cell r="D53">
            <v>2576</v>
          </cell>
        </row>
        <row r="54">
          <cell r="A54" t="str">
            <v>D5.2</v>
          </cell>
          <cell r="B54" t="str">
            <v>składki na Fundusz Pracy</v>
          </cell>
          <cell r="C54">
            <v>297</v>
          </cell>
          <cell r="D54">
            <v>297</v>
          </cell>
        </row>
        <row r="55">
          <cell r="A55" t="str">
            <v>D5.3</v>
          </cell>
          <cell r="B55" t="str">
            <v>składki na Fundusz Gwarantowanych Świadczeń Pracowniczych</v>
          </cell>
          <cell r="C55">
            <v>0</v>
          </cell>
          <cell r="D55">
            <v>0</v>
          </cell>
        </row>
        <row r="56">
          <cell r="A56" t="str">
            <v>D5.4</v>
          </cell>
          <cell r="B56" t="str">
            <v>pozostałe świadczenia</v>
          </cell>
          <cell r="C56">
            <v>580</v>
          </cell>
          <cell r="D56">
            <v>580</v>
          </cell>
        </row>
        <row r="57">
          <cell r="A57" t="str">
            <v>D6</v>
          </cell>
          <cell r="B57" t="str">
            <v>koszty funkcjonowania Rady Funduszu</v>
          </cell>
          <cell r="C57">
            <v>0</v>
          </cell>
          <cell r="D57">
            <v>0</v>
          </cell>
        </row>
        <row r="58">
          <cell r="A58" t="str">
            <v>D7</v>
          </cell>
          <cell r="B58" t="str">
            <v>amortyzacja środków trwałych oraz wartości niematerialnych i prawnych</v>
          </cell>
          <cell r="C58">
            <v>5025</v>
          </cell>
          <cell r="D58">
            <v>5025</v>
          </cell>
        </row>
        <row r="59">
          <cell r="A59" t="str">
            <v>D8</v>
          </cell>
          <cell r="B59" t="str">
            <v>pozostałe koszty administracyjne</v>
          </cell>
          <cell r="C59">
            <v>298</v>
          </cell>
          <cell r="D59">
            <v>298</v>
          </cell>
        </row>
        <row r="60">
          <cell r="A60" t="str">
            <v>F</v>
          </cell>
          <cell r="B60" t="str">
            <v>Pozostałe koszty (F1+...+F4)</v>
          </cell>
          <cell r="C60">
            <v>45501</v>
          </cell>
          <cell r="D60">
            <v>45501</v>
          </cell>
        </row>
        <row r="61">
          <cell r="A61" t="str">
            <v>F1</v>
          </cell>
          <cell r="B61" t="str">
            <v>wydanie i utrzymanie kart ubezpieczenia (w tym części stałych i zamiennych książeczek usług medycznych) oraz recept</v>
          </cell>
          <cell r="C61">
            <v>0</v>
          </cell>
          <cell r="D61">
            <v>0</v>
          </cell>
        </row>
        <row r="62">
          <cell r="A62" t="str">
            <v>F2</v>
          </cell>
          <cell r="B62" t="str">
            <v>rezerwa na zobowiązania wynikające z postępowań sądowych</v>
          </cell>
          <cell r="C62">
            <v>38601</v>
          </cell>
          <cell r="D62">
            <v>38601</v>
          </cell>
        </row>
        <row r="63">
          <cell r="A63" t="str">
            <v>F3</v>
          </cell>
          <cell r="B63" t="str">
            <v>inne rezerwy</v>
          </cell>
          <cell r="C63">
            <v>0</v>
          </cell>
          <cell r="D63">
            <v>0</v>
          </cell>
        </row>
        <row r="64">
          <cell r="A64" t="str">
            <v>F4</v>
          </cell>
          <cell r="B64" t="str">
            <v>inne koszty</v>
          </cell>
          <cell r="C64">
            <v>6900</v>
          </cell>
          <cell r="D64">
            <v>6900</v>
          </cell>
        </row>
        <row r="65">
          <cell r="A65" t="str">
            <v>H</v>
          </cell>
          <cell r="B65" t="str">
            <v>Koszty finansowe</v>
          </cell>
          <cell r="C65">
            <v>18259</v>
          </cell>
          <cell r="D65">
            <v>18259</v>
          </cell>
        </row>
      </sheetData>
      <sheetData sheetId="5">
        <row r="7">
          <cell r="A7" t="str">
            <v>B2.1</v>
          </cell>
          <cell r="B7" t="str">
            <v>podstawowa opieka zdrowotna</v>
          </cell>
          <cell r="C7">
            <v>558216</v>
          </cell>
          <cell r="D7">
            <v>558216</v>
          </cell>
        </row>
        <row r="8">
          <cell r="A8" t="str">
            <v>B2.2</v>
          </cell>
          <cell r="B8" t="str">
            <v>ambulatoryjna opieka specjalistyczna</v>
          </cell>
          <cell r="C8">
            <v>291428</v>
          </cell>
          <cell r="D8">
            <v>291428</v>
          </cell>
        </row>
        <row r="9">
          <cell r="A9" t="str">
            <v>B2.3</v>
          </cell>
          <cell r="B9" t="str">
            <v>leczenie szpitalne, w tym:</v>
          </cell>
          <cell r="C9">
            <v>2166002</v>
          </cell>
          <cell r="D9">
            <v>2166002</v>
          </cell>
        </row>
        <row r="10">
          <cell r="A10" t="str">
            <v>B2.3.1</v>
          </cell>
          <cell r="B10" t="str">
            <v>programy terapeutyczne (lekowe), w tym:</v>
          </cell>
          <cell r="C10">
            <v>177352</v>
          </cell>
          <cell r="D10">
            <v>177352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159770</v>
          </cell>
          <cell r="D11">
            <v>159770</v>
          </cell>
        </row>
        <row r="12">
          <cell r="A12" t="str">
            <v>B2.3.2</v>
          </cell>
          <cell r="B12" t="str">
            <v>chemioterapia, w tym:</v>
          </cell>
          <cell r="C12">
            <v>93461</v>
          </cell>
          <cell r="D12">
            <v>93461</v>
          </cell>
        </row>
        <row r="13">
          <cell r="A13" t="str">
            <v>B2.3.2.1</v>
          </cell>
          <cell r="B13" t="str">
            <v>leki stosowane w chemioterapii</v>
          </cell>
          <cell r="C13">
            <v>40723</v>
          </cell>
          <cell r="D13">
            <v>40723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163626</v>
          </cell>
          <cell r="D14">
            <v>163626</v>
          </cell>
        </row>
        <row r="15">
          <cell r="A15" t="str">
            <v>B2.5</v>
          </cell>
          <cell r="B15" t="str">
            <v>rehabilitacja lecznicza</v>
          </cell>
          <cell r="C15">
            <v>125328</v>
          </cell>
          <cell r="D15">
            <v>125328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78482</v>
          </cell>
          <cell r="D16">
            <v>78482</v>
          </cell>
        </row>
        <row r="17">
          <cell r="A17" t="str">
            <v>B2.7</v>
          </cell>
          <cell r="B17" t="str">
            <v>opieka paliatywna i hospicyjna</v>
          </cell>
          <cell r="C17">
            <v>28947</v>
          </cell>
          <cell r="D17">
            <v>28947</v>
          </cell>
        </row>
        <row r="18">
          <cell r="A18" t="str">
            <v>B2.8</v>
          </cell>
          <cell r="B18" t="str">
            <v>leczenie stomatologiczne</v>
          </cell>
          <cell r="C18">
            <v>127230</v>
          </cell>
          <cell r="D18">
            <v>127230</v>
          </cell>
        </row>
        <row r="19">
          <cell r="A19" t="str">
            <v>B2.9</v>
          </cell>
          <cell r="B19" t="str">
            <v>lecznictwo uzdrowiskowe</v>
          </cell>
          <cell r="C19">
            <v>42042</v>
          </cell>
          <cell r="D19">
            <v>42042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3387</v>
          </cell>
          <cell r="D20">
            <v>3387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10183</v>
          </cell>
          <cell r="D21">
            <v>10183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136438</v>
          </cell>
          <cell r="D22">
            <v>136438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54913</v>
          </cell>
          <cell r="D23">
            <v>54913</v>
          </cell>
        </row>
        <row r="24">
          <cell r="A24" t="str">
            <v>B2.14</v>
          </cell>
          <cell r="B24" t="str">
            <v>refundacja, z tego:</v>
          </cell>
          <cell r="C24">
            <v>462588</v>
          </cell>
          <cell r="D24">
            <v>462588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460088</v>
          </cell>
          <cell r="D25">
            <v>460088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2000</v>
          </cell>
          <cell r="D26">
            <v>2000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500</v>
          </cell>
          <cell r="D27">
            <v>500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15510</v>
          </cell>
          <cell r="D32">
            <v>15510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1000</v>
          </cell>
          <cell r="D34">
            <v>1000</v>
          </cell>
        </row>
        <row r="35">
          <cell r="A35" t="str">
            <v>B3</v>
          </cell>
          <cell r="B35" t="str">
            <v xml:space="preserve">Koszty programów polityki zdrowotnej realizowanych na zlecenie </v>
          </cell>
          <cell r="C35">
            <v>0</v>
          </cell>
          <cell r="D35">
            <v>0</v>
          </cell>
        </row>
        <row r="36">
          <cell r="A36" t="str">
            <v>B4</v>
          </cell>
          <cell r="B36" t="str">
            <v>Koszty realizacji zadań zespołów ratownictwa medycznego</v>
          </cell>
          <cell r="C36">
            <v>118011</v>
          </cell>
          <cell r="D36">
            <v>118011</v>
          </cell>
        </row>
        <row r="37">
          <cell r="A37" t="str">
            <v>B5</v>
          </cell>
          <cell r="B37" t="str">
            <v>Koszty finansowania leku, środka spożywczego specjalnego przeznaczenia żywieniowego oraz wyrobu medycznego w części finansowanej z budżetu państwa zgodnie z art. 43a ust. 3 ustawy</v>
          </cell>
          <cell r="C37">
            <v>29357</v>
          </cell>
          <cell r="D37">
            <v>29357</v>
          </cell>
        </row>
        <row r="38">
          <cell r="A38" t="str">
            <v>Bn</v>
          </cell>
          <cell r="B38" t="str">
            <v>Całkowity budżet na refundację
(B2.3.1.1+B2.3.2.1+B2.14+B2.16.1)</v>
          </cell>
          <cell r="C38">
            <v>663081</v>
          </cell>
          <cell r="D38">
            <v>663081</v>
          </cell>
        </row>
        <row r="39">
          <cell r="A39" t="str">
            <v>D.</v>
          </cell>
          <cell r="B39" t="str">
            <v>Koszty administracyjne ( D1+...+D8 )</v>
          </cell>
          <cell r="C39">
            <v>25683</v>
          </cell>
          <cell r="D39">
            <v>25683</v>
          </cell>
        </row>
        <row r="40">
          <cell r="A40" t="str">
            <v>D1</v>
          </cell>
          <cell r="B40" t="str">
            <v>zużycie materiałów i energii</v>
          </cell>
          <cell r="C40">
            <v>903</v>
          </cell>
          <cell r="D40">
            <v>903</v>
          </cell>
        </row>
        <row r="41">
          <cell r="A41" t="str">
            <v>D2</v>
          </cell>
          <cell r="B41" t="str">
            <v>usługi obce</v>
          </cell>
          <cell r="C41">
            <v>2803</v>
          </cell>
          <cell r="D41">
            <v>2803</v>
          </cell>
        </row>
        <row r="42">
          <cell r="A42" t="str">
            <v>D3</v>
          </cell>
          <cell r="B42" t="str">
            <v>podatki i opłaty, z tego</v>
          </cell>
          <cell r="C42">
            <v>265</v>
          </cell>
          <cell r="D42">
            <v>265</v>
          </cell>
        </row>
        <row r="43">
          <cell r="A43" t="str">
            <v>D3.1</v>
          </cell>
          <cell r="B43" t="str">
            <v>podatki stanowiące dochody własne jednostek samorządu terytorialnego, w tym:</v>
          </cell>
          <cell r="C43">
            <v>31</v>
          </cell>
          <cell r="D43">
            <v>31</v>
          </cell>
        </row>
        <row r="44">
          <cell r="A44" t="str">
            <v>D3.1.1</v>
          </cell>
          <cell r="B44" t="str">
            <v>podatek od nieruchomości</v>
          </cell>
          <cell r="C44">
            <v>31</v>
          </cell>
          <cell r="D44">
            <v>31</v>
          </cell>
        </row>
        <row r="45">
          <cell r="A45" t="str">
            <v>D3.2</v>
          </cell>
          <cell r="B45" t="str">
            <v>opłaty stanowiące dochody własne jednostek samorządu terytorialnego</v>
          </cell>
          <cell r="C45">
            <v>0</v>
          </cell>
          <cell r="D45">
            <v>0</v>
          </cell>
        </row>
        <row r="46">
          <cell r="A46" t="str">
            <v>D3.3</v>
          </cell>
          <cell r="B46" t="str">
            <v>VAT</v>
          </cell>
          <cell r="C46">
            <v>0</v>
          </cell>
          <cell r="D46">
            <v>0</v>
          </cell>
        </row>
        <row r="47">
          <cell r="A47" t="str">
            <v>D3.4</v>
          </cell>
          <cell r="B47" t="str">
            <v>podatek akcyzowy</v>
          </cell>
          <cell r="C47">
            <v>0</v>
          </cell>
          <cell r="D47">
            <v>0</v>
          </cell>
        </row>
        <row r="48">
          <cell r="A48" t="str">
            <v>D3.5</v>
          </cell>
          <cell r="B48" t="str">
            <v>wpłaty na PFRON</v>
          </cell>
          <cell r="C48">
            <v>220</v>
          </cell>
          <cell r="D48">
            <v>220</v>
          </cell>
        </row>
        <row r="49">
          <cell r="A49" t="str">
            <v>D3.6</v>
          </cell>
          <cell r="B49" t="str">
            <v>inne</v>
          </cell>
          <cell r="C49">
            <v>14</v>
          </cell>
          <cell r="D49">
            <v>14</v>
          </cell>
        </row>
        <row r="50">
          <cell r="A50" t="str">
            <v>D4</v>
          </cell>
          <cell r="B50" t="str">
            <v>wynagrodzenia, w tym:</v>
          </cell>
          <cell r="C50">
            <v>16033</v>
          </cell>
          <cell r="D50">
            <v>16033</v>
          </cell>
        </row>
        <row r="51">
          <cell r="A51" t="str">
            <v>D4.1</v>
          </cell>
          <cell r="B51" t="str">
            <v>wynagrodzenia bezosobowe</v>
          </cell>
          <cell r="C51">
            <v>144</v>
          </cell>
          <cell r="D51">
            <v>144</v>
          </cell>
        </row>
        <row r="52">
          <cell r="A52" t="str">
            <v>D5</v>
          </cell>
          <cell r="B52" t="str">
            <v>ubezpieczenie społeczne i inne świadczenia, z tego:</v>
          </cell>
          <cell r="C52">
            <v>3604</v>
          </cell>
          <cell r="D52">
            <v>3604</v>
          </cell>
        </row>
        <row r="53">
          <cell r="A53" t="str">
            <v>D5.1</v>
          </cell>
          <cell r="B53" t="str">
            <v>składki na Fundusz Ubezpieczeń Społecznych</v>
          </cell>
          <cell r="C53">
            <v>2753</v>
          </cell>
          <cell r="D53">
            <v>2753</v>
          </cell>
        </row>
        <row r="54">
          <cell r="A54" t="str">
            <v>D5.2</v>
          </cell>
          <cell r="B54" t="str">
            <v>składki na Fundusz Pracy</v>
          </cell>
          <cell r="C54">
            <v>393</v>
          </cell>
          <cell r="D54">
            <v>393</v>
          </cell>
        </row>
        <row r="55">
          <cell r="A55" t="str">
            <v>D5.3</v>
          </cell>
          <cell r="B55" t="str">
            <v>składki na Fundusz Gwarantowanych Świadczeń Pracowniczych</v>
          </cell>
          <cell r="C55">
            <v>0</v>
          </cell>
          <cell r="D55">
            <v>0</v>
          </cell>
        </row>
        <row r="56">
          <cell r="A56" t="str">
            <v>D5.4</v>
          </cell>
          <cell r="B56" t="str">
            <v>pozostałe świadczenia</v>
          </cell>
          <cell r="C56">
            <v>458</v>
          </cell>
          <cell r="D56">
            <v>458</v>
          </cell>
        </row>
        <row r="57">
          <cell r="A57" t="str">
            <v>D6</v>
          </cell>
          <cell r="B57" t="str">
            <v>koszty funkcjonowania Rady Funduszu</v>
          </cell>
          <cell r="C57">
            <v>0</v>
          </cell>
          <cell r="D57">
            <v>0</v>
          </cell>
        </row>
        <row r="58">
          <cell r="A58" t="str">
            <v>D7</v>
          </cell>
          <cell r="B58" t="str">
            <v>amortyzacja środków trwałych oraz wartości niematerialnych i prawnych</v>
          </cell>
          <cell r="C58">
            <v>1730</v>
          </cell>
          <cell r="D58">
            <v>1730</v>
          </cell>
        </row>
        <row r="59">
          <cell r="A59" t="str">
            <v>D8</v>
          </cell>
          <cell r="B59" t="str">
            <v>pozostałe koszty administracyjne</v>
          </cell>
          <cell r="C59">
            <v>345</v>
          </cell>
          <cell r="D59">
            <v>345</v>
          </cell>
        </row>
        <row r="60">
          <cell r="A60" t="str">
            <v>F</v>
          </cell>
          <cell r="B60" t="str">
            <v>Pozostałe koszty (F1+...+F4)</v>
          </cell>
          <cell r="C60">
            <v>41705</v>
          </cell>
          <cell r="D60">
            <v>41705</v>
          </cell>
        </row>
        <row r="61">
          <cell r="A61" t="str">
            <v>F1</v>
          </cell>
          <cell r="B61" t="str">
            <v>wydanie i utrzymanie kart ubezpieczenia (w tym części stałych i zamiennych książeczek usług medycznych) oraz recept</v>
          </cell>
          <cell r="C61">
            <v>5</v>
          </cell>
          <cell r="D61">
            <v>5</v>
          </cell>
        </row>
        <row r="62">
          <cell r="A62" t="str">
            <v>F2</v>
          </cell>
          <cell r="B62" t="str">
            <v>rezerwa na zobowiązania wynikające z postępowań sądowych</v>
          </cell>
          <cell r="C62">
            <v>40500</v>
          </cell>
          <cell r="D62">
            <v>40500</v>
          </cell>
        </row>
        <row r="63">
          <cell r="A63" t="str">
            <v>F3</v>
          </cell>
          <cell r="B63" t="str">
            <v>inne rezerwy</v>
          </cell>
          <cell r="C63">
            <v>0</v>
          </cell>
          <cell r="D63">
            <v>0</v>
          </cell>
        </row>
        <row r="64">
          <cell r="A64" t="str">
            <v>F4</v>
          </cell>
          <cell r="B64" t="str">
            <v>inne koszty</v>
          </cell>
          <cell r="C64">
            <v>1200</v>
          </cell>
          <cell r="D64">
            <v>1200</v>
          </cell>
        </row>
        <row r="65">
          <cell r="A65" t="str">
            <v>H</v>
          </cell>
          <cell r="B65" t="str">
            <v>Koszty finansowe</v>
          </cell>
          <cell r="C65">
            <v>5000</v>
          </cell>
          <cell r="D65">
            <v>5000</v>
          </cell>
        </row>
      </sheetData>
      <sheetData sheetId="6">
        <row r="7">
          <cell r="A7" t="str">
            <v>B2.1</v>
          </cell>
          <cell r="B7" t="str">
            <v>podstawowa opieka zdrowotna</v>
          </cell>
          <cell r="C7">
            <v>265273</v>
          </cell>
          <cell r="D7">
            <v>265273</v>
          </cell>
        </row>
        <row r="8">
          <cell r="A8" t="str">
            <v>B2.2</v>
          </cell>
          <cell r="B8" t="str">
            <v>ambulatoryjna opieka specjalistyczna</v>
          </cell>
          <cell r="C8">
            <v>150351</v>
          </cell>
          <cell r="D8">
            <v>150351</v>
          </cell>
        </row>
        <row r="9">
          <cell r="A9" t="str">
            <v>B2.3</v>
          </cell>
          <cell r="B9" t="str">
            <v>leczenie szpitalne, w tym:</v>
          </cell>
          <cell r="C9">
            <v>965541</v>
          </cell>
          <cell r="D9">
            <v>965541</v>
          </cell>
        </row>
        <row r="10">
          <cell r="A10" t="str">
            <v>B2.3.1</v>
          </cell>
          <cell r="B10" t="str">
            <v>programy terapeutyczne (lekowe), w tym:</v>
          </cell>
          <cell r="C10">
            <v>86838</v>
          </cell>
          <cell r="D10">
            <v>86838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80231</v>
          </cell>
          <cell r="D11">
            <v>80231</v>
          </cell>
        </row>
        <row r="12">
          <cell r="A12" t="str">
            <v>B2.3.2</v>
          </cell>
          <cell r="B12" t="str">
            <v>chemioterapia, w tym:</v>
          </cell>
          <cell r="C12">
            <v>37566</v>
          </cell>
          <cell r="D12">
            <v>37566</v>
          </cell>
        </row>
        <row r="13">
          <cell r="A13" t="str">
            <v>B2.3.2.1</v>
          </cell>
          <cell r="B13" t="str">
            <v>leki stosowane w chemioterapii</v>
          </cell>
          <cell r="C13">
            <v>15501</v>
          </cell>
          <cell r="D13">
            <v>15501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100600</v>
          </cell>
          <cell r="D14">
            <v>100600</v>
          </cell>
        </row>
        <row r="15">
          <cell r="A15" t="str">
            <v>B2.5</v>
          </cell>
          <cell r="B15" t="str">
            <v>rehabilitacja lecznicza</v>
          </cell>
          <cell r="C15">
            <v>55567</v>
          </cell>
          <cell r="D15">
            <v>55567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29314</v>
          </cell>
          <cell r="D16">
            <v>29314</v>
          </cell>
        </row>
        <row r="17">
          <cell r="A17" t="str">
            <v>B2.7</v>
          </cell>
          <cell r="B17" t="str">
            <v>opieka paliatywna i hospicyjna</v>
          </cell>
          <cell r="C17">
            <v>16918</v>
          </cell>
          <cell r="D17">
            <v>16918</v>
          </cell>
        </row>
        <row r="18">
          <cell r="A18" t="str">
            <v>B2.8</v>
          </cell>
          <cell r="B18" t="str">
            <v>leczenie stomatologiczne</v>
          </cell>
          <cell r="C18">
            <v>40702</v>
          </cell>
          <cell r="D18">
            <v>40702</v>
          </cell>
        </row>
        <row r="19">
          <cell r="A19" t="str">
            <v>B2.9</v>
          </cell>
          <cell r="B19" t="str">
            <v>lecznictwo uzdrowiskowe</v>
          </cell>
          <cell r="C19">
            <v>14300</v>
          </cell>
          <cell r="D19">
            <v>14300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1655</v>
          </cell>
          <cell r="D20">
            <v>1655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5429</v>
          </cell>
          <cell r="D21">
            <v>5429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55869</v>
          </cell>
          <cell r="D22">
            <v>55869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27300</v>
          </cell>
          <cell r="D23">
            <v>27300</v>
          </cell>
        </row>
        <row r="24">
          <cell r="A24" t="str">
            <v>B2.14</v>
          </cell>
          <cell r="B24" t="str">
            <v>refundacja, z tego:</v>
          </cell>
          <cell r="C24">
            <v>201000</v>
          </cell>
          <cell r="D24">
            <v>201000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200500</v>
          </cell>
          <cell r="D25">
            <v>200500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300</v>
          </cell>
          <cell r="D26">
            <v>300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200</v>
          </cell>
          <cell r="D27">
            <v>200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10238</v>
          </cell>
          <cell r="D32">
            <v>10238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1000</v>
          </cell>
          <cell r="D34">
            <v>1000</v>
          </cell>
        </row>
        <row r="35">
          <cell r="A35" t="str">
            <v>B3</v>
          </cell>
          <cell r="B35" t="str">
            <v xml:space="preserve">Koszty programów polityki zdrowotnej realizowanych na zlecenie </v>
          </cell>
          <cell r="C35">
            <v>0</v>
          </cell>
          <cell r="D35">
            <v>0</v>
          </cell>
        </row>
        <row r="36">
          <cell r="A36" t="str">
            <v>B4</v>
          </cell>
          <cell r="B36" t="str">
            <v>Koszty realizacji zadań zespołów ratownictwa medycznego</v>
          </cell>
          <cell r="C36">
            <v>66857</v>
          </cell>
          <cell r="D36">
            <v>66857</v>
          </cell>
        </row>
        <row r="37">
          <cell r="A37" t="str">
            <v>B5</v>
          </cell>
          <cell r="B37" t="str">
            <v>Koszty finansowania leku, środka spożywczego specjalnego przeznaczenia żywieniowego oraz wyrobu medycznego w części finansowanej z budżetu państwa zgodnie z art. 43a ust. 3 ustawy</v>
          </cell>
          <cell r="C37">
            <v>13137</v>
          </cell>
          <cell r="D37">
            <v>13137</v>
          </cell>
        </row>
        <row r="38">
          <cell r="A38" t="str">
            <v>Bn</v>
          </cell>
          <cell r="B38" t="str">
            <v>Całkowity budżet na refundację
(B2.3.1.1+B2.3.2.1+B2.14+B2.16.1)</v>
          </cell>
          <cell r="C38">
            <v>296732</v>
          </cell>
          <cell r="D38">
            <v>296732</v>
          </cell>
        </row>
        <row r="39">
          <cell r="A39" t="str">
            <v>D.</v>
          </cell>
          <cell r="B39" t="str">
            <v>Koszty administracyjne ( D1+...+D8 )</v>
          </cell>
          <cell r="C39">
            <v>17516</v>
          </cell>
          <cell r="D39">
            <v>17516</v>
          </cell>
        </row>
        <row r="40">
          <cell r="A40" t="str">
            <v>D1</v>
          </cell>
          <cell r="B40" t="str">
            <v>zużycie materiałów i energii</v>
          </cell>
          <cell r="C40">
            <v>810</v>
          </cell>
          <cell r="D40">
            <v>810</v>
          </cell>
        </row>
        <row r="41">
          <cell r="A41" t="str">
            <v>D2</v>
          </cell>
          <cell r="B41" t="str">
            <v>usługi obce</v>
          </cell>
          <cell r="C41">
            <v>2103</v>
          </cell>
          <cell r="D41">
            <v>2103</v>
          </cell>
        </row>
        <row r="42">
          <cell r="A42" t="str">
            <v>D3</v>
          </cell>
          <cell r="B42" t="str">
            <v>podatki i opłaty, z tego</v>
          </cell>
          <cell r="C42">
            <v>78</v>
          </cell>
          <cell r="D42">
            <v>78</v>
          </cell>
        </row>
        <row r="43">
          <cell r="A43" t="str">
            <v>D3.1</v>
          </cell>
          <cell r="B43" t="str">
            <v>podatki stanowiące dochody własne jednostek samorządu terytorialnego, w tym:</v>
          </cell>
          <cell r="C43">
            <v>15</v>
          </cell>
          <cell r="D43">
            <v>15</v>
          </cell>
        </row>
        <row r="44">
          <cell r="A44" t="str">
            <v>D3.1.1</v>
          </cell>
          <cell r="B44" t="str">
            <v>podatek od nieruchomości</v>
          </cell>
          <cell r="C44">
            <v>15</v>
          </cell>
          <cell r="D44">
            <v>15</v>
          </cell>
        </row>
        <row r="45">
          <cell r="A45" t="str">
            <v>D3.2</v>
          </cell>
          <cell r="B45" t="str">
            <v>opłaty stanowiące dochody własne jednostek samorządu terytorialnego</v>
          </cell>
          <cell r="C45">
            <v>0</v>
          </cell>
          <cell r="D45">
            <v>0</v>
          </cell>
        </row>
        <row r="46">
          <cell r="A46" t="str">
            <v>D3.3</v>
          </cell>
          <cell r="B46" t="str">
            <v>VAT</v>
          </cell>
          <cell r="C46">
            <v>0</v>
          </cell>
          <cell r="D46">
            <v>0</v>
          </cell>
        </row>
        <row r="47">
          <cell r="A47" t="str">
            <v>D3.4</v>
          </cell>
          <cell r="B47" t="str">
            <v>podatek akcyzowy</v>
          </cell>
          <cell r="C47">
            <v>0</v>
          </cell>
          <cell r="D47">
            <v>0</v>
          </cell>
        </row>
        <row r="48">
          <cell r="A48" t="str">
            <v>D3.5</v>
          </cell>
          <cell r="B48" t="str">
            <v>wpłaty na PFRON</v>
          </cell>
          <cell r="C48">
            <v>40</v>
          </cell>
          <cell r="D48">
            <v>40</v>
          </cell>
        </row>
        <row r="49">
          <cell r="A49" t="str">
            <v>D3.6</v>
          </cell>
          <cell r="B49" t="str">
            <v>inne</v>
          </cell>
          <cell r="C49">
            <v>23</v>
          </cell>
          <cell r="D49">
            <v>23</v>
          </cell>
        </row>
        <row r="50">
          <cell r="A50" t="str">
            <v>D4</v>
          </cell>
          <cell r="B50" t="str">
            <v>wynagrodzenia, w tym:</v>
          </cell>
          <cell r="C50">
            <v>9106</v>
          </cell>
          <cell r="D50">
            <v>9106</v>
          </cell>
        </row>
        <row r="51">
          <cell r="A51" t="str">
            <v>D4.1</v>
          </cell>
          <cell r="B51" t="str">
            <v>wynagrodzenia bezosobowe</v>
          </cell>
          <cell r="C51">
            <v>0</v>
          </cell>
          <cell r="D51">
            <v>0</v>
          </cell>
        </row>
        <row r="52">
          <cell r="A52" t="str">
            <v>D5</v>
          </cell>
          <cell r="B52" t="str">
            <v>ubezpieczenie społeczne i inne świadczenia, z tego:</v>
          </cell>
          <cell r="C52">
            <v>2112</v>
          </cell>
          <cell r="D52">
            <v>2112</v>
          </cell>
        </row>
        <row r="53">
          <cell r="A53" t="str">
            <v>D5.1</v>
          </cell>
          <cell r="B53" t="str">
            <v>składki na Fundusz Ubezpieczeń Społecznych</v>
          </cell>
          <cell r="C53">
            <v>1562</v>
          </cell>
          <cell r="D53">
            <v>1562</v>
          </cell>
        </row>
        <row r="54">
          <cell r="A54" t="str">
            <v>D5.2</v>
          </cell>
          <cell r="B54" t="str">
            <v>składki na Fundusz Pracy</v>
          </cell>
          <cell r="C54">
            <v>222</v>
          </cell>
          <cell r="D54">
            <v>222</v>
          </cell>
        </row>
        <row r="55">
          <cell r="A55" t="str">
            <v>D5.3</v>
          </cell>
          <cell r="B55" t="str">
            <v>składki na Fundusz Gwarantowanych Świadczeń Pracowniczych</v>
          </cell>
          <cell r="C55">
            <v>0</v>
          </cell>
          <cell r="D55">
            <v>0</v>
          </cell>
        </row>
        <row r="56">
          <cell r="A56" t="str">
            <v>D5.4</v>
          </cell>
          <cell r="B56" t="str">
            <v>pozostałe świadczenia</v>
          </cell>
          <cell r="C56">
            <v>328</v>
          </cell>
          <cell r="D56">
            <v>328</v>
          </cell>
        </row>
        <row r="57">
          <cell r="A57" t="str">
            <v>D6</v>
          </cell>
          <cell r="B57" t="str">
            <v>koszty funkcjonowania Rady Funduszu</v>
          </cell>
          <cell r="C57">
            <v>0</v>
          </cell>
          <cell r="D57">
            <v>0</v>
          </cell>
        </row>
        <row r="58">
          <cell r="A58" t="str">
            <v>D7</v>
          </cell>
          <cell r="B58" t="str">
            <v>amortyzacja środków trwałych oraz wartości niematerialnych i prawnych</v>
          </cell>
          <cell r="C58">
            <v>3000</v>
          </cell>
          <cell r="D58">
            <v>3000</v>
          </cell>
        </row>
        <row r="59">
          <cell r="A59" t="str">
            <v>D8</v>
          </cell>
          <cell r="B59" t="str">
            <v>pozostałe koszty administracyjne</v>
          </cell>
          <cell r="C59">
            <v>307</v>
          </cell>
          <cell r="D59">
            <v>307</v>
          </cell>
        </row>
        <row r="60">
          <cell r="A60" t="str">
            <v>F</v>
          </cell>
          <cell r="B60" t="str">
            <v>Pozostałe koszty (F1+...+F4)</v>
          </cell>
          <cell r="C60">
            <v>4590</v>
          </cell>
          <cell r="D60">
            <v>4590</v>
          </cell>
        </row>
        <row r="61">
          <cell r="A61" t="str">
            <v>F1</v>
          </cell>
          <cell r="B61" t="str">
            <v>wydanie i utrzymanie kart ubezpieczenia (w tym części stałych i zamiennych książeczek usług medycznych) oraz recept</v>
          </cell>
          <cell r="C61">
            <v>0</v>
          </cell>
          <cell r="D61">
            <v>0</v>
          </cell>
        </row>
        <row r="62">
          <cell r="A62" t="str">
            <v>F2</v>
          </cell>
          <cell r="B62" t="str">
            <v>rezerwa na zobowiązania wynikające z postępowań sądowych</v>
          </cell>
          <cell r="C62">
            <v>3730</v>
          </cell>
          <cell r="D62">
            <v>3730</v>
          </cell>
        </row>
        <row r="63">
          <cell r="A63" t="str">
            <v>F3</v>
          </cell>
          <cell r="B63" t="str">
            <v>inne rezerwy</v>
          </cell>
          <cell r="C63">
            <v>0</v>
          </cell>
          <cell r="D63">
            <v>0</v>
          </cell>
        </row>
        <row r="64">
          <cell r="A64" t="str">
            <v>F4</v>
          </cell>
          <cell r="B64" t="str">
            <v>inne koszty</v>
          </cell>
          <cell r="C64">
            <v>860</v>
          </cell>
          <cell r="D64">
            <v>860</v>
          </cell>
        </row>
        <row r="65">
          <cell r="A65" t="str">
            <v>H</v>
          </cell>
          <cell r="B65" t="str">
            <v>Koszty finansowe</v>
          </cell>
          <cell r="C65">
            <v>750</v>
          </cell>
          <cell r="D65">
            <v>750</v>
          </cell>
        </row>
      </sheetData>
      <sheetData sheetId="7">
        <row r="7">
          <cell r="A7" t="str">
            <v>B2.1</v>
          </cell>
          <cell r="B7" t="str">
            <v>podstawowa opieka zdrowotna</v>
          </cell>
          <cell r="C7">
            <v>675550</v>
          </cell>
          <cell r="D7">
            <v>675550</v>
          </cell>
        </row>
        <row r="8">
          <cell r="A8" t="str">
            <v>B2.2</v>
          </cell>
          <cell r="B8" t="str">
            <v>ambulatoryjna opieka specjalistyczna</v>
          </cell>
          <cell r="C8">
            <v>365779</v>
          </cell>
          <cell r="D8">
            <v>365779</v>
          </cell>
        </row>
        <row r="9">
          <cell r="A9" t="str">
            <v>B2.3</v>
          </cell>
          <cell r="B9" t="str">
            <v>leczenie szpitalne, w tym:</v>
          </cell>
          <cell r="C9">
            <v>2674060</v>
          </cell>
          <cell r="D9">
            <v>2674060</v>
          </cell>
        </row>
        <row r="10">
          <cell r="A10" t="str">
            <v>B2.3.1</v>
          </cell>
          <cell r="B10" t="str">
            <v>programy terapeutyczne (lekowe), w tym:</v>
          </cell>
          <cell r="C10">
            <v>246896</v>
          </cell>
          <cell r="D10">
            <v>246896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222164</v>
          </cell>
          <cell r="D11">
            <v>222164</v>
          </cell>
        </row>
        <row r="12">
          <cell r="A12" t="str">
            <v>B2.3.2</v>
          </cell>
          <cell r="B12" t="str">
            <v>chemioterapia, w tym:</v>
          </cell>
          <cell r="C12">
            <v>88342</v>
          </cell>
          <cell r="D12">
            <v>88342</v>
          </cell>
        </row>
        <row r="13">
          <cell r="A13" t="str">
            <v>B2.3.2.1</v>
          </cell>
          <cell r="B13" t="str">
            <v>leki stosowane w chemioterapii</v>
          </cell>
          <cell r="C13">
            <v>35975</v>
          </cell>
          <cell r="D13">
            <v>35975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181647</v>
          </cell>
          <cell r="D14">
            <v>181647</v>
          </cell>
        </row>
        <row r="15">
          <cell r="A15" t="str">
            <v>B2.5</v>
          </cell>
          <cell r="B15" t="str">
            <v>rehabilitacja lecznicza</v>
          </cell>
          <cell r="C15">
            <v>137218</v>
          </cell>
          <cell r="D15">
            <v>137218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67429</v>
          </cell>
          <cell r="D16">
            <v>67429</v>
          </cell>
        </row>
        <row r="17">
          <cell r="A17" t="str">
            <v>B2.7</v>
          </cell>
          <cell r="B17" t="str">
            <v>opieka paliatywna i hospicyjna</v>
          </cell>
          <cell r="C17">
            <v>35674</v>
          </cell>
          <cell r="D17">
            <v>35674</v>
          </cell>
        </row>
        <row r="18">
          <cell r="A18" t="str">
            <v>B2.8</v>
          </cell>
          <cell r="B18" t="str">
            <v>leczenie stomatologiczne</v>
          </cell>
          <cell r="C18">
            <v>121656</v>
          </cell>
          <cell r="D18">
            <v>121656</v>
          </cell>
        </row>
        <row r="19">
          <cell r="A19" t="str">
            <v>B2.9</v>
          </cell>
          <cell r="B19" t="str">
            <v>lecznictwo uzdrowiskowe</v>
          </cell>
          <cell r="C19">
            <v>43500</v>
          </cell>
          <cell r="D19">
            <v>43500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3079</v>
          </cell>
          <cell r="D20">
            <v>3079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11626</v>
          </cell>
          <cell r="D21">
            <v>11626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153997</v>
          </cell>
          <cell r="D22">
            <v>153997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67421</v>
          </cell>
          <cell r="D23">
            <v>67421</v>
          </cell>
        </row>
        <row r="24">
          <cell r="A24" t="str">
            <v>B2.14</v>
          </cell>
          <cell r="B24" t="str">
            <v>refundacja, z tego:</v>
          </cell>
          <cell r="C24">
            <v>613783</v>
          </cell>
          <cell r="D24">
            <v>613783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612070</v>
          </cell>
          <cell r="D25">
            <v>612070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889</v>
          </cell>
          <cell r="D26">
            <v>889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824</v>
          </cell>
          <cell r="D27">
            <v>824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14858</v>
          </cell>
          <cell r="D32">
            <v>14858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0</v>
          </cell>
          <cell r="D34">
            <v>0</v>
          </cell>
        </row>
        <row r="35">
          <cell r="A35" t="str">
            <v>B3</v>
          </cell>
          <cell r="B35" t="str">
            <v xml:space="preserve">Koszty programów polityki zdrowotnej realizowanych na zlecenie </v>
          </cell>
          <cell r="C35">
            <v>0</v>
          </cell>
          <cell r="D35">
            <v>159</v>
          </cell>
        </row>
        <row r="36">
          <cell r="A36" t="str">
            <v>B4</v>
          </cell>
          <cell r="B36" t="str">
            <v>Koszty realizacji zadań zespołów ratownictwa medycznego</v>
          </cell>
          <cell r="C36">
            <v>125805</v>
          </cell>
          <cell r="D36">
            <v>125805</v>
          </cell>
        </row>
        <row r="37">
          <cell r="A37" t="str">
            <v>B5</v>
          </cell>
          <cell r="B37" t="str">
            <v>Koszty finansowania leku, środka spożywczego specjalnego przeznaczenia żywieniowego oraz wyrobu medycznego w części finansowanej z budżetu państwa zgodnie z art. 43a ust. 3 ustawy</v>
          </cell>
          <cell r="C37">
            <v>41435</v>
          </cell>
          <cell r="D37">
            <v>41435</v>
          </cell>
        </row>
        <row r="38">
          <cell r="A38" t="str">
            <v>Bn</v>
          </cell>
          <cell r="B38" t="str">
            <v>Całkowity budżet na refundację
(B2.3.1.1+B2.3.2.1+B2.14+B2.16.1)</v>
          </cell>
          <cell r="C38">
            <v>871922</v>
          </cell>
          <cell r="D38">
            <v>871922</v>
          </cell>
        </row>
        <row r="39">
          <cell r="A39" t="str">
            <v>D.</v>
          </cell>
          <cell r="B39" t="str">
            <v>Koszty administracyjne ( D1+...+D8 )</v>
          </cell>
          <cell r="C39">
            <v>31624</v>
          </cell>
          <cell r="D39">
            <v>31624</v>
          </cell>
        </row>
        <row r="40">
          <cell r="A40" t="str">
            <v>D1</v>
          </cell>
          <cell r="B40" t="str">
            <v>zużycie materiałów i energii</v>
          </cell>
          <cell r="C40">
            <v>1256</v>
          </cell>
          <cell r="D40">
            <v>1256</v>
          </cell>
        </row>
        <row r="41">
          <cell r="A41" t="str">
            <v>D2</v>
          </cell>
          <cell r="B41" t="str">
            <v>usługi obce</v>
          </cell>
          <cell r="C41">
            <v>5267</v>
          </cell>
          <cell r="D41">
            <v>5267</v>
          </cell>
        </row>
        <row r="42">
          <cell r="A42" t="str">
            <v>D3</v>
          </cell>
          <cell r="B42" t="str">
            <v>podatki i opłaty, z tego</v>
          </cell>
          <cell r="C42">
            <v>254</v>
          </cell>
          <cell r="D42">
            <v>254</v>
          </cell>
        </row>
        <row r="43">
          <cell r="A43" t="str">
            <v>D3.1</v>
          </cell>
          <cell r="B43" t="str">
            <v>podatki stanowiące dochody własne jednostek samorządu terytorialnego, w tym:</v>
          </cell>
          <cell r="C43">
            <v>11</v>
          </cell>
          <cell r="D43">
            <v>11</v>
          </cell>
        </row>
        <row r="44">
          <cell r="A44" t="str">
            <v>D3.1.1</v>
          </cell>
          <cell r="B44" t="str">
            <v>podatek od nieruchomości</v>
          </cell>
          <cell r="C44">
            <v>11</v>
          </cell>
          <cell r="D44">
            <v>11</v>
          </cell>
        </row>
        <row r="45">
          <cell r="A45" t="str">
            <v>D3.2</v>
          </cell>
          <cell r="B45" t="str">
            <v>opłaty stanowiące dochody własne jednostek samorządu terytorialnego</v>
          </cell>
          <cell r="C45">
            <v>18</v>
          </cell>
          <cell r="D45">
            <v>18</v>
          </cell>
        </row>
        <row r="46">
          <cell r="A46" t="str">
            <v>D3.3</v>
          </cell>
          <cell r="B46" t="str">
            <v>VAT</v>
          </cell>
          <cell r="C46">
            <v>0</v>
          </cell>
          <cell r="D46">
            <v>0</v>
          </cell>
        </row>
        <row r="47">
          <cell r="A47" t="str">
            <v>D3.4</v>
          </cell>
          <cell r="B47" t="str">
            <v>podatek akcyzowy</v>
          </cell>
          <cell r="C47">
            <v>0</v>
          </cell>
          <cell r="D47">
            <v>0</v>
          </cell>
        </row>
        <row r="48">
          <cell r="A48" t="str">
            <v>D3.5</v>
          </cell>
          <cell r="B48" t="str">
            <v>wpłaty na PFRON</v>
          </cell>
          <cell r="C48">
            <v>221</v>
          </cell>
          <cell r="D48">
            <v>221</v>
          </cell>
        </row>
        <row r="49">
          <cell r="A49" t="str">
            <v>D3.6</v>
          </cell>
          <cell r="B49" t="str">
            <v>inne</v>
          </cell>
          <cell r="C49">
            <v>4</v>
          </cell>
          <cell r="D49">
            <v>4</v>
          </cell>
        </row>
        <row r="50">
          <cell r="A50" t="str">
            <v>D4</v>
          </cell>
          <cell r="B50" t="str">
            <v>wynagrodzenia, w tym:</v>
          </cell>
          <cell r="C50">
            <v>18720</v>
          </cell>
          <cell r="D50">
            <v>18720</v>
          </cell>
        </row>
        <row r="51">
          <cell r="A51" t="str">
            <v>D4.1</v>
          </cell>
          <cell r="B51" t="str">
            <v>wynagrodzenia bezosobowe</v>
          </cell>
          <cell r="C51">
            <v>90</v>
          </cell>
          <cell r="D51">
            <v>90</v>
          </cell>
        </row>
        <row r="52">
          <cell r="A52" t="str">
            <v>D5</v>
          </cell>
          <cell r="B52" t="str">
            <v>ubezpieczenie społeczne i inne świadczenia, z tego:</v>
          </cell>
          <cell r="C52">
            <v>4207</v>
          </cell>
          <cell r="D52">
            <v>4207</v>
          </cell>
        </row>
        <row r="53">
          <cell r="A53" t="str">
            <v>D5.1</v>
          </cell>
          <cell r="B53" t="str">
            <v>składki na Fundusz Ubezpieczeń Społecznych</v>
          </cell>
          <cell r="C53">
            <v>3213</v>
          </cell>
          <cell r="D53">
            <v>3213</v>
          </cell>
        </row>
        <row r="54">
          <cell r="A54" t="str">
            <v>D5.2</v>
          </cell>
          <cell r="B54" t="str">
            <v>składki na Fundusz Pracy</v>
          </cell>
          <cell r="C54">
            <v>459</v>
          </cell>
          <cell r="D54">
            <v>459</v>
          </cell>
        </row>
        <row r="55">
          <cell r="A55" t="str">
            <v>D5.3</v>
          </cell>
          <cell r="B55" t="str">
            <v>składki na Fundusz Gwarantowanych Świadczeń Pracowniczych</v>
          </cell>
          <cell r="C55">
            <v>0</v>
          </cell>
          <cell r="D55">
            <v>0</v>
          </cell>
        </row>
        <row r="56">
          <cell r="A56" t="str">
            <v>D5.4</v>
          </cell>
          <cell r="B56" t="str">
            <v>pozostałe świadczenia</v>
          </cell>
          <cell r="C56">
            <v>535</v>
          </cell>
          <cell r="D56">
            <v>535</v>
          </cell>
        </row>
        <row r="57">
          <cell r="A57" t="str">
            <v>D6</v>
          </cell>
          <cell r="B57" t="str">
            <v>koszty funkcjonowania Rady Funduszu</v>
          </cell>
          <cell r="C57">
            <v>0</v>
          </cell>
          <cell r="D57">
            <v>0</v>
          </cell>
        </row>
        <row r="58">
          <cell r="A58" t="str">
            <v>D7</v>
          </cell>
          <cell r="B58" t="str">
            <v>amortyzacja środków trwałych oraz wartości niematerialnych i prawnych</v>
          </cell>
          <cell r="C58">
            <v>1630</v>
          </cell>
          <cell r="D58">
            <v>1630</v>
          </cell>
        </row>
        <row r="59">
          <cell r="A59" t="str">
            <v>D8</v>
          </cell>
          <cell r="B59" t="str">
            <v>pozostałe koszty administracyjne</v>
          </cell>
          <cell r="C59">
            <v>290</v>
          </cell>
          <cell r="D59">
            <v>290</v>
          </cell>
        </row>
        <row r="60">
          <cell r="A60" t="str">
            <v>F</v>
          </cell>
          <cell r="B60" t="str">
            <v>Pozostałe koszty (F1+...+F4)</v>
          </cell>
          <cell r="C60">
            <v>17000</v>
          </cell>
          <cell r="D60">
            <v>17000</v>
          </cell>
        </row>
        <row r="61">
          <cell r="A61" t="str">
            <v>F1</v>
          </cell>
          <cell r="B61" t="str">
            <v>wydanie i utrzymanie kart ubezpieczenia (w tym części stałych i zamiennych książeczek usług medycznych) oraz recept</v>
          </cell>
          <cell r="C61">
            <v>0</v>
          </cell>
          <cell r="D61">
            <v>0</v>
          </cell>
        </row>
        <row r="62">
          <cell r="A62" t="str">
            <v>F2</v>
          </cell>
          <cell r="B62" t="str">
            <v>rezerwa na zobowiązania wynikające z postępowań sądowych</v>
          </cell>
          <cell r="C62">
            <v>15000</v>
          </cell>
          <cell r="D62">
            <v>15000</v>
          </cell>
        </row>
        <row r="63">
          <cell r="A63" t="str">
            <v>F3</v>
          </cell>
          <cell r="B63" t="str">
            <v>inne rezerwy</v>
          </cell>
          <cell r="C63">
            <v>0</v>
          </cell>
          <cell r="D63">
            <v>0</v>
          </cell>
        </row>
        <row r="64">
          <cell r="A64" t="str">
            <v>F4</v>
          </cell>
          <cell r="B64" t="str">
            <v>inne koszty</v>
          </cell>
          <cell r="C64">
            <v>2000</v>
          </cell>
          <cell r="D64">
            <v>2000</v>
          </cell>
        </row>
        <row r="65">
          <cell r="A65" t="str">
            <v>H</v>
          </cell>
          <cell r="B65" t="str">
            <v>Koszty finansowe</v>
          </cell>
          <cell r="C65">
            <v>5000</v>
          </cell>
          <cell r="D65">
            <v>5000</v>
          </cell>
        </row>
      </sheetData>
      <sheetData sheetId="8">
        <row r="7">
          <cell r="A7" t="str">
            <v>B2.1</v>
          </cell>
          <cell r="B7" t="str">
            <v>podstawowa opieka zdrowotna</v>
          </cell>
          <cell r="C7">
            <v>883000</v>
          </cell>
          <cell r="D7">
            <v>883000</v>
          </cell>
        </row>
        <row r="8">
          <cell r="A8" t="str">
            <v>B2.2</v>
          </cell>
          <cell r="B8" t="str">
            <v>ambulatoryjna opieka specjalistyczna</v>
          </cell>
          <cell r="C8">
            <v>494713</v>
          </cell>
          <cell r="D8">
            <v>494713</v>
          </cell>
        </row>
        <row r="9">
          <cell r="A9" t="str">
            <v>B2.3</v>
          </cell>
          <cell r="B9" t="str">
            <v>leczenie szpitalne, w tym:</v>
          </cell>
          <cell r="C9">
            <v>3302116</v>
          </cell>
          <cell r="D9">
            <v>3302116</v>
          </cell>
        </row>
        <row r="10">
          <cell r="A10" t="str">
            <v>B2.3.1</v>
          </cell>
          <cell r="B10" t="str">
            <v>programy terapeutyczne (lekowe), w tym:</v>
          </cell>
          <cell r="C10">
            <v>340469</v>
          </cell>
          <cell r="D10">
            <v>340469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308064</v>
          </cell>
          <cell r="D11">
            <v>308064</v>
          </cell>
        </row>
        <row r="12">
          <cell r="A12" t="str">
            <v>B2.3.2</v>
          </cell>
          <cell r="B12" t="str">
            <v>chemioterapia, w tym:</v>
          </cell>
          <cell r="C12">
            <v>104462</v>
          </cell>
          <cell r="D12">
            <v>104462</v>
          </cell>
        </row>
        <row r="13">
          <cell r="A13" t="str">
            <v>B2.3.2.1</v>
          </cell>
          <cell r="B13" t="str">
            <v>leki stosowane w chemioterapii</v>
          </cell>
          <cell r="C13">
            <v>52342</v>
          </cell>
          <cell r="D13">
            <v>52342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202371</v>
          </cell>
          <cell r="D14">
            <v>202371</v>
          </cell>
        </row>
        <row r="15">
          <cell r="A15" t="str">
            <v>B2.5</v>
          </cell>
          <cell r="B15" t="str">
            <v>rehabilitacja lecznicza</v>
          </cell>
          <cell r="C15">
            <v>207862</v>
          </cell>
          <cell r="D15">
            <v>207862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157959</v>
          </cell>
          <cell r="D16">
            <v>157959</v>
          </cell>
        </row>
        <row r="17">
          <cell r="A17" t="str">
            <v>B2.7</v>
          </cell>
          <cell r="B17" t="str">
            <v>opieka paliatywna i hospicyjna</v>
          </cell>
          <cell r="C17">
            <v>71484</v>
          </cell>
          <cell r="D17">
            <v>71484</v>
          </cell>
        </row>
        <row r="18">
          <cell r="A18" t="str">
            <v>B2.8</v>
          </cell>
          <cell r="B18" t="str">
            <v>leczenie stomatologiczne</v>
          </cell>
          <cell r="C18">
            <v>195517</v>
          </cell>
          <cell r="D18">
            <v>195517</v>
          </cell>
        </row>
        <row r="19">
          <cell r="A19" t="str">
            <v>B2.9</v>
          </cell>
          <cell r="B19" t="str">
            <v>lecznictwo uzdrowiskowe</v>
          </cell>
          <cell r="C19">
            <v>52380</v>
          </cell>
          <cell r="D19">
            <v>52380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1750</v>
          </cell>
          <cell r="D20">
            <v>1750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15077</v>
          </cell>
          <cell r="D21">
            <v>15077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174477</v>
          </cell>
          <cell r="D22">
            <v>174477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79000</v>
          </cell>
          <cell r="D23">
            <v>79000</v>
          </cell>
        </row>
        <row r="24">
          <cell r="A24" t="str">
            <v>B2.14</v>
          </cell>
          <cell r="B24" t="str">
            <v>refundacja, z tego:</v>
          </cell>
          <cell r="C24">
            <v>705973</v>
          </cell>
          <cell r="D24">
            <v>705973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701973</v>
          </cell>
          <cell r="D25">
            <v>701973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3000</v>
          </cell>
          <cell r="D26">
            <v>3000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1000</v>
          </cell>
          <cell r="D27">
            <v>1000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8854</v>
          </cell>
          <cell r="D32">
            <v>8854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3248</v>
          </cell>
          <cell r="D34">
            <v>3248</v>
          </cell>
        </row>
        <row r="35">
          <cell r="A35" t="str">
            <v>B3</v>
          </cell>
          <cell r="B35" t="str">
            <v xml:space="preserve">Koszty programów polityki zdrowotnej realizowanych na zlecenie </v>
          </cell>
          <cell r="C35">
            <v>0</v>
          </cell>
          <cell r="D35">
            <v>590</v>
          </cell>
        </row>
        <row r="36">
          <cell r="A36" t="str">
            <v>B4</v>
          </cell>
          <cell r="B36" t="str">
            <v>Koszty realizacji zadań zespołów ratownictwa medycznego</v>
          </cell>
          <cell r="C36">
            <v>154271</v>
          </cell>
          <cell r="D36">
            <v>154271</v>
          </cell>
        </row>
        <row r="37">
          <cell r="A37" t="str">
            <v>B5</v>
          </cell>
          <cell r="B37" t="str">
            <v>Koszty finansowania leku, środka spożywczego specjalnego przeznaczenia żywieniowego oraz wyrobu medycznego w części finansowanej z budżetu państwa zgodnie z art. 43a ust. 3 ustawy</v>
          </cell>
          <cell r="C37">
            <v>50527</v>
          </cell>
          <cell r="D37">
            <v>50527</v>
          </cell>
        </row>
        <row r="38">
          <cell r="A38" t="str">
            <v>Bn</v>
          </cell>
          <cell r="B38" t="str">
            <v>Całkowity budżet na refundację
(B2.3.1.1+B2.3.2.1+B2.14+B2.16.1)</v>
          </cell>
          <cell r="C38">
            <v>1066379</v>
          </cell>
          <cell r="D38">
            <v>1066379</v>
          </cell>
        </row>
        <row r="39">
          <cell r="A39" t="str">
            <v>D.</v>
          </cell>
          <cell r="B39" t="str">
            <v>Koszty administracyjne ( D1+...+D8 )</v>
          </cell>
          <cell r="C39">
            <v>42539</v>
          </cell>
          <cell r="D39">
            <v>42539</v>
          </cell>
        </row>
        <row r="40">
          <cell r="A40" t="str">
            <v>D1</v>
          </cell>
          <cell r="B40" t="str">
            <v>zużycie materiałów i energii</v>
          </cell>
          <cell r="C40">
            <v>1750</v>
          </cell>
          <cell r="D40">
            <v>1750</v>
          </cell>
        </row>
        <row r="41">
          <cell r="A41" t="str">
            <v>D2</v>
          </cell>
          <cell r="B41" t="str">
            <v>usługi obce</v>
          </cell>
          <cell r="C41">
            <v>5827</v>
          </cell>
          <cell r="D41">
            <v>5827</v>
          </cell>
        </row>
        <row r="42">
          <cell r="A42" t="str">
            <v>D3</v>
          </cell>
          <cell r="B42" t="str">
            <v>podatki i opłaty, z tego</v>
          </cell>
          <cell r="C42">
            <v>290</v>
          </cell>
          <cell r="D42">
            <v>290</v>
          </cell>
        </row>
        <row r="43">
          <cell r="A43" t="str">
            <v>D3.1</v>
          </cell>
          <cell r="B43" t="str">
            <v>podatki stanowiące dochody własne jednostek samorządu terytorialnego, w tym:</v>
          </cell>
          <cell r="C43">
            <v>24</v>
          </cell>
          <cell r="D43">
            <v>24</v>
          </cell>
        </row>
        <row r="44">
          <cell r="A44" t="str">
            <v>D3.1.1</v>
          </cell>
          <cell r="B44" t="str">
            <v>podatek od nieruchomości</v>
          </cell>
          <cell r="C44">
            <v>24</v>
          </cell>
          <cell r="D44">
            <v>24</v>
          </cell>
        </row>
        <row r="45">
          <cell r="A45" t="str">
            <v>D3.2</v>
          </cell>
          <cell r="B45" t="str">
            <v>opłaty stanowiące dochody własne jednostek samorządu terytorialnego</v>
          </cell>
          <cell r="C45">
            <v>54</v>
          </cell>
          <cell r="D45">
            <v>54</v>
          </cell>
        </row>
        <row r="46">
          <cell r="A46" t="str">
            <v>D3.3</v>
          </cell>
          <cell r="B46" t="str">
            <v>VAT</v>
          </cell>
          <cell r="C46">
            <v>0</v>
          </cell>
          <cell r="D46">
            <v>0</v>
          </cell>
        </row>
        <row r="47">
          <cell r="A47" t="str">
            <v>D3.4</v>
          </cell>
          <cell r="B47" t="str">
            <v>podatek akcyzowy</v>
          </cell>
          <cell r="C47">
            <v>0</v>
          </cell>
          <cell r="D47">
            <v>0</v>
          </cell>
        </row>
        <row r="48">
          <cell r="A48" t="str">
            <v>D3.5</v>
          </cell>
          <cell r="B48" t="str">
            <v>wpłaty na PFRON</v>
          </cell>
          <cell r="C48">
            <v>152</v>
          </cell>
          <cell r="D48">
            <v>152</v>
          </cell>
        </row>
        <row r="49">
          <cell r="A49" t="str">
            <v>D3.6</v>
          </cell>
          <cell r="B49" t="str">
            <v>inne</v>
          </cell>
          <cell r="C49">
            <v>60</v>
          </cell>
          <cell r="D49">
            <v>60</v>
          </cell>
        </row>
        <row r="50">
          <cell r="A50" t="str">
            <v>D4</v>
          </cell>
          <cell r="B50" t="str">
            <v>wynagrodzenia, w tym:</v>
          </cell>
          <cell r="C50">
            <v>23725</v>
          </cell>
          <cell r="D50">
            <v>23725</v>
          </cell>
        </row>
        <row r="51">
          <cell r="A51" t="str">
            <v>D4.1</v>
          </cell>
          <cell r="B51" t="str">
            <v>wynagrodzenia bezosobowe</v>
          </cell>
          <cell r="C51">
            <v>24</v>
          </cell>
          <cell r="D51">
            <v>24</v>
          </cell>
        </row>
        <row r="52">
          <cell r="A52" t="str">
            <v>D5</v>
          </cell>
          <cell r="B52" t="str">
            <v>ubezpieczenie społeczne i inne świadczenia, z tego:</v>
          </cell>
          <cell r="C52">
            <v>5338</v>
          </cell>
          <cell r="D52">
            <v>5338</v>
          </cell>
        </row>
        <row r="53">
          <cell r="A53" t="str">
            <v>D5.1</v>
          </cell>
          <cell r="B53" t="str">
            <v>składki na Fundusz Ubezpieczeń Społecznych</v>
          </cell>
          <cell r="C53">
            <v>4071</v>
          </cell>
          <cell r="D53">
            <v>4071</v>
          </cell>
        </row>
        <row r="54">
          <cell r="A54" t="str">
            <v>D5.2</v>
          </cell>
          <cell r="B54" t="str">
            <v>składki na Fundusz Pracy</v>
          </cell>
          <cell r="C54">
            <v>584</v>
          </cell>
          <cell r="D54">
            <v>584</v>
          </cell>
        </row>
        <row r="55">
          <cell r="A55" t="str">
            <v>D5.3</v>
          </cell>
          <cell r="B55" t="str">
            <v>składki na Fundusz Gwarantowanych Świadczeń Pracowniczych</v>
          </cell>
          <cell r="C55">
            <v>0</v>
          </cell>
          <cell r="D55">
            <v>0</v>
          </cell>
        </row>
        <row r="56">
          <cell r="A56" t="str">
            <v>D5.4</v>
          </cell>
          <cell r="B56" t="str">
            <v>pozostałe świadczenia</v>
          </cell>
          <cell r="C56">
            <v>683</v>
          </cell>
          <cell r="D56">
            <v>683</v>
          </cell>
        </row>
        <row r="57">
          <cell r="A57" t="str">
            <v>D6</v>
          </cell>
          <cell r="B57" t="str">
            <v>koszty funkcjonowania Rady Funduszu</v>
          </cell>
          <cell r="C57">
            <v>0</v>
          </cell>
          <cell r="D57">
            <v>0</v>
          </cell>
        </row>
        <row r="58">
          <cell r="A58" t="str">
            <v>D7</v>
          </cell>
          <cell r="B58" t="str">
            <v>amortyzacja środków trwałych oraz wartości niematerialnych i prawnych</v>
          </cell>
          <cell r="C58">
            <v>5300</v>
          </cell>
          <cell r="D58">
            <v>5300</v>
          </cell>
        </row>
        <row r="59">
          <cell r="A59" t="str">
            <v>D8</v>
          </cell>
          <cell r="B59" t="str">
            <v>pozostałe koszty administracyjne</v>
          </cell>
          <cell r="C59">
            <v>309</v>
          </cell>
          <cell r="D59">
            <v>309</v>
          </cell>
        </row>
        <row r="60">
          <cell r="A60" t="str">
            <v>F</v>
          </cell>
          <cell r="B60" t="str">
            <v>Pozostałe koszty (F1+...+F4)</v>
          </cell>
          <cell r="C60">
            <v>19360</v>
          </cell>
          <cell r="D60">
            <v>19360</v>
          </cell>
        </row>
        <row r="61">
          <cell r="A61" t="str">
            <v>F1</v>
          </cell>
          <cell r="B61" t="str">
            <v>wydanie i utrzymanie kart ubezpieczenia (w tym części stałych i zamiennych książeczek usług medycznych) oraz recept</v>
          </cell>
          <cell r="C61">
            <v>0</v>
          </cell>
          <cell r="D61">
            <v>0</v>
          </cell>
        </row>
        <row r="62">
          <cell r="A62" t="str">
            <v>F2</v>
          </cell>
          <cell r="B62" t="str">
            <v>rezerwa na zobowiązania wynikające z postępowań sądowych</v>
          </cell>
          <cell r="C62">
            <v>16095</v>
          </cell>
          <cell r="D62">
            <v>16095</v>
          </cell>
        </row>
        <row r="63">
          <cell r="A63" t="str">
            <v>F3</v>
          </cell>
          <cell r="B63" t="str">
            <v>inne rezerwy</v>
          </cell>
          <cell r="C63">
            <v>0</v>
          </cell>
          <cell r="D63">
            <v>0</v>
          </cell>
        </row>
        <row r="64">
          <cell r="A64" t="str">
            <v>F4</v>
          </cell>
          <cell r="B64" t="str">
            <v>inne koszty</v>
          </cell>
          <cell r="C64">
            <v>3265</v>
          </cell>
          <cell r="D64">
            <v>3265</v>
          </cell>
        </row>
        <row r="65">
          <cell r="A65" t="str">
            <v>H</v>
          </cell>
          <cell r="B65" t="str">
            <v>Koszty finansowe</v>
          </cell>
          <cell r="C65">
            <v>300</v>
          </cell>
          <cell r="D65">
            <v>300</v>
          </cell>
        </row>
      </sheetData>
      <sheetData sheetId="9">
        <row r="7">
          <cell r="A7" t="str">
            <v>B2.1</v>
          </cell>
          <cell r="B7" t="str">
            <v>podstawowa opieka zdrowotna</v>
          </cell>
          <cell r="C7">
            <v>1490323</v>
          </cell>
          <cell r="D7">
            <v>1490323</v>
          </cell>
        </row>
        <row r="8">
          <cell r="A8" t="str">
            <v>B2.2</v>
          </cell>
          <cell r="B8" t="str">
            <v>ambulatoryjna opieka specjalistyczna</v>
          </cell>
          <cell r="C8">
            <v>764334</v>
          </cell>
          <cell r="D8">
            <v>764334</v>
          </cell>
        </row>
        <row r="9">
          <cell r="A9" t="str">
            <v>B2.3</v>
          </cell>
          <cell r="B9" t="str">
            <v>leczenie szpitalne, w tym:</v>
          </cell>
          <cell r="C9">
            <v>5868850</v>
          </cell>
          <cell r="D9">
            <v>5868850</v>
          </cell>
        </row>
        <row r="10">
          <cell r="A10" t="str">
            <v>B2.3.1</v>
          </cell>
          <cell r="B10" t="str">
            <v>programy terapeutyczne (lekowe), w tym:</v>
          </cell>
          <cell r="C10">
            <v>620540</v>
          </cell>
          <cell r="D10">
            <v>620540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563395</v>
          </cell>
          <cell r="D11">
            <v>563395</v>
          </cell>
        </row>
        <row r="12">
          <cell r="A12" t="str">
            <v>B2.3.2</v>
          </cell>
          <cell r="B12" t="str">
            <v>chemioterapia, w tym:</v>
          </cell>
          <cell r="C12">
            <v>223251</v>
          </cell>
          <cell r="D12">
            <v>223251</v>
          </cell>
        </row>
        <row r="13">
          <cell r="A13" t="str">
            <v>B2.3.2.1</v>
          </cell>
          <cell r="B13" t="str">
            <v>leki stosowane w chemioterapii</v>
          </cell>
          <cell r="C13">
            <v>107702</v>
          </cell>
          <cell r="D13">
            <v>107702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385950</v>
          </cell>
          <cell r="D14">
            <v>385950</v>
          </cell>
        </row>
        <row r="15">
          <cell r="A15" t="str">
            <v>B2.5</v>
          </cell>
          <cell r="B15" t="str">
            <v>rehabilitacja lecznicza</v>
          </cell>
          <cell r="C15">
            <v>422141</v>
          </cell>
          <cell r="D15">
            <v>422141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178977</v>
          </cell>
          <cell r="D16">
            <v>178977</v>
          </cell>
        </row>
        <row r="17">
          <cell r="A17" t="str">
            <v>B2.7</v>
          </cell>
          <cell r="B17" t="str">
            <v>opieka paliatywna i hospicyjna</v>
          </cell>
          <cell r="C17">
            <v>70018</v>
          </cell>
          <cell r="D17">
            <v>70018</v>
          </cell>
        </row>
        <row r="18">
          <cell r="A18" t="str">
            <v>B2.8</v>
          </cell>
          <cell r="B18" t="str">
            <v>leczenie stomatologiczne</v>
          </cell>
          <cell r="C18">
            <v>215041</v>
          </cell>
          <cell r="D18">
            <v>215041</v>
          </cell>
        </row>
        <row r="19">
          <cell r="A19" t="str">
            <v>B2.9</v>
          </cell>
          <cell r="B19" t="str">
            <v>lecznictwo uzdrowiskowe</v>
          </cell>
          <cell r="C19">
            <v>102936</v>
          </cell>
          <cell r="D19">
            <v>102936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8554</v>
          </cell>
          <cell r="D20">
            <v>8554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24388</v>
          </cell>
          <cell r="D21">
            <v>24388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232992</v>
          </cell>
          <cell r="D22">
            <v>232992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140000</v>
          </cell>
          <cell r="D23">
            <v>140000</v>
          </cell>
        </row>
        <row r="24">
          <cell r="A24" t="str">
            <v>B2.14</v>
          </cell>
          <cell r="B24" t="str">
            <v>refundacja, z tego:</v>
          </cell>
          <cell r="C24">
            <v>1118984</v>
          </cell>
          <cell r="D24">
            <v>1118984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1111278</v>
          </cell>
          <cell r="D25">
            <v>1111278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3058</v>
          </cell>
          <cell r="D26">
            <v>3058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4648</v>
          </cell>
          <cell r="D27">
            <v>4648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0</v>
          </cell>
          <cell r="D32">
            <v>0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12655</v>
          </cell>
          <cell r="D34">
            <v>12655</v>
          </cell>
        </row>
        <row r="35">
          <cell r="A35" t="str">
            <v>B3</v>
          </cell>
          <cell r="B35" t="str">
            <v xml:space="preserve">Koszty programów polityki zdrowotnej realizowanych na zlecenie </v>
          </cell>
          <cell r="C35">
            <v>0</v>
          </cell>
          <cell r="D35">
            <v>284</v>
          </cell>
        </row>
        <row r="36">
          <cell r="A36" t="str">
            <v>B4</v>
          </cell>
          <cell r="B36" t="str">
            <v>Koszty realizacji zadań zespołów ratownictwa medycznego</v>
          </cell>
          <cell r="C36">
            <v>238333</v>
          </cell>
          <cell r="D36">
            <v>238333</v>
          </cell>
        </row>
        <row r="37">
          <cell r="A37" t="str">
            <v>B5</v>
          </cell>
          <cell r="B37" t="str">
            <v>Koszty finansowania leku, środka spożywczego specjalnego przeznaczenia żywieniowego oraz wyrobu medycznego w części finansowanej z budżetu państwa zgodnie z art. 43a ust. 3 ustawy</v>
          </cell>
          <cell r="C37">
            <v>79276</v>
          </cell>
          <cell r="D37">
            <v>79276</v>
          </cell>
        </row>
        <row r="38">
          <cell r="A38" t="str">
            <v>Bn</v>
          </cell>
          <cell r="B38" t="str">
            <v>Całkowity budżet na refundację
(B2.3.1.1+B2.3.2.1+B2.14+B2.16.1)</v>
          </cell>
          <cell r="C38">
            <v>1790081</v>
          </cell>
          <cell r="D38">
            <v>1790081</v>
          </cell>
        </row>
        <row r="39">
          <cell r="A39" t="str">
            <v>D.</v>
          </cell>
          <cell r="B39" t="str">
            <v>Koszty administracyjne ( D1+...+D8 )</v>
          </cell>
          <cell r="C39">
            <v>70562</v>
          </cell>
          <cell r="D39">
            <v>70562</v>
          </cell>
        </row>
        <row r="40">
          <cell r="A40" t="str">
            <v>D1</v>
          </cell>
          <cell r="B40" t="str">
            <v>zużycie materiałów i energii</v>
          </cell>
          <cell r="C40">
            <v>2026</v>
          </cell>
          <cell r="D40">
            <v>2026</v>
          </cell>
        </row>
        <row r="41">
          <cell r="A41" t="str">
            <v>D2</v>
          </cell>
          <cell r="B41" t="str">
            <v>usługi obce</v>
          </cell>
          <cell r="C41">
            <v>12156</v>
          </cell>
          <cell r="D41">
            <v>12156</v>
          </cell>
        </row>
        <row r="42">
          <cell r="A42" t="str">
            <v>D3</v>
          </cell>
          <cell r="B42" t="str">
            <v>podatki i opłaty, z tego</v>
          </cell>
          <cell r="C42">
            <v>233</v>
          </cell>
          <cell r="D42">
            <v>233</v>
          </cell>
        </row>
        <row r="43">
          <cell r="A43" t="str">
            <v>D3.1</v>
          </cell>
          <cell r="B43" t="str">
            <v>podatki stanowiące dochody własne jednostek samorządu terytorialnego, w tym:</v>
          </cell>
          <cell r="C43">
            <v>20</v>
          </cell>
          <cell r="D43">
            <v>20</v>
          </cell>
        </row>
        <row r="44">
          <cell r="A44" t="str">
            <v>D3.1.1</v>
          </cell>
          <cell r="B44" t="str">
            <v>podatek od nieruchomości</v>
          </cell>
          <cell r="C44">
            <v>20</v>
          </cell>
          <cell r="D44">
            <v>20</v>
          </cell>
        </row>
        <row r="45">
          <cell r="A45" t="str">
            <v>D3.2</v>
          </cell>
          <cell r="B45" t="str">
            <v>opłaty stanowiące dochody własne jednostek samorządu terytorialnego</v>
          </cell>
          <cell r="C45">
            <v>12</v>
          </cell>
          <cell r="D45">
            <v>12</v>
          </cell>
        </row>
        <row r="46">
          <cell r="A46" t="str">
            <v>D3.3</v>
          </cell>
          <cell r="B46" t="str">
            <v>VAT</v>
          </cell>
          <cell r="C46">
            <v>0</v>
          </cell>
          <cell r="D46">
            <v>0</v>
          </cell>
        </row>
        <row r="47">
          <cell r="A47" t="str">
            <v>D3.4</v>
          </cell>
          <cell r="B47" t="str">
            <v>podatek akcyzowy</v>
          </cell>
          <cell r="C47">
            <v>0</v>
          </cell>
          <cell r="D47">
            <v>0</v>
          </cell>
        </row>
        <row r="48">
          <cell r="A48" t="str">
            <v>D3.5</v>
          </cell>
          <cell r="B48" t="str">
            <v>wpłaty na PFRON</v>
          </cell>
          <cell r="C48">
            <v>198</v>
          </cell>
          <cell r="D48">
            <v>198</v>
          </cell>
        </row>
        <row r="49">
          <cell r="A49" t="str">
            <v>D3.6</v>
          </cell>
          <cell r="B49" t="str">
            <v>inne</v>
          </cell>
          <cell r="C49">
            <v>3</v>
          </cell>
          <cell r="D49">
            <v>3</v>
          </cell>
        </row>
        <row r="50">
          <cell r="A50" t="str">
            <v>D4</v>
          </cell>
          <cell r="B50" t="str">
            <v>wynagrodzenia, w tym:</v>
          </cell>
          <cell r="C50">
            <v>43501</v>
          </cell>
          <cell r="D50">
            <v>43501</v>
          </cell>
        </row>
        <row r="51">
          <cell r="A51" t="str">
            <v>D4.1</v>
          </cell>
          <cell r="B51" t="str">
            <v>wynagrodzenia bezosobowe</v>
          </cell>
          <cell r="C51">
            <v>0</v>
          </cell>
          <cell r="D51">
            <v>0</v>
          </cell>
        </row>
        <row r="52">
          <cell r="A52" t="str">
            <v>D5</v>
          </cell>
          <cell r="B52" t="str">
            <v>ubezpieczenie społeczne i inne świadczenia, z tego:</v>
          </cell>
          <cell r="C52">
            <v>9753</v>
          </cell>
          <cell r="D52">
            <v>9753</v>
          </cell>
        </row>
        <row r="53">
          <cell r="A53" t="str">
            <v>D5.1</v>
          </cell>
          <cell r="B53" t="str">
            <v>składki na Fundusz Ubezpieczeń Społecznych</v>
          </cell>
          <cell r="C53">
            <v>7466</v>
          </cell>
          <cell r="D53">
            <v>7466</v>
          </cell>
        </row>
        <row r="54">
          <cell r="A54" t="str">
            <v>D5.2</v>
          </cell>
          <cell r="B54" t="str">
            <v>składki na Fundusz Pracy</v>
          </cell>
          <cell r="C54">
            <v>1066</v>
          </cell>
          <cell r="D54">
            <v>1066</v>
          </cell>
        </row>
        <row r="55">
          <cell r="A55" t="str">
            <v>D5.3</v>
          </cell>
          <cell r="B55" t="str">
            <v>składki na Fundusz Gwarantowanych Świadczeń Pracowniczych</v>
          </cell>
          <cell r="C55">
            <v>0</v>
          </cell>
          <cell r="D55">
            <v>0</v>
          </cell>
        </row>
        <row r="56">
          <cell r="A56" t="str">
            <v>D5.4</v>
          </cell>
          <cell r="B56" t="str">
            <v>pozostałe świadczenia</v>
          </cell>
          <cell r="C56">
            <v>1221</v>
          </cell>
          <cell r="D56">
            <v>1221</v>
          </cell>
        </row>
        <row r="57">
          <cell r="A57" t="str">
            <v>D6</v>
          </cell>
          <cell r="B57" t="str">
            <v>koszty funkcjonowania Rady Funduszu</v>
          </cell>
          <cell r="C57">
            <v>0</v>
          </cell>
          <cell r="D57">
            <v>0</v>
          </cell>
        </row>
        <row r="58">
          <cell r="A58" t="str">
            <v>D7</v>
          </cell>
          <cell r="B58" t="str">
            <v>amortyzacja środków trwałych oraz wartości niematerialnych i prawnych</v>
          </cell>
          <cell r="C58">
            <v>2498</v>
          </cell>
          <cell r="D58">
            <v>2498</v>
          </cell>
        </row>
        <row r="59">
          <cell r="A59" t="str">
            <v>D8</v>
          </cell>
          <cell r="B59" t="str">
            <v>pozostałe koszty administracyjne</v>
          </cell>
          <cell r="C59">
            <v>395</v>
          </cell>
          <cell r="D59">
            <v>395</v>
          </cell>
        </row>
        <row r="60">
          <cell r="A60" t="str">
            <v>F</v>
          </cell>
          <cell r="B60" t="str">
            <v>Pozostałe koszty (F1+...+F4)</v>
          </cell>
          <cell r="C60">
            <v>21960</v>
          </cell>
          <cell r="D60">
            <v>21960</v>
          </cell>
        </row>
        <row r="61">
          <cell r="A61" t="str">
            <v>F1</v>
          </cell>
          <cell r="B61" t="str">
            <v>wydanie i utrzymanie kart ubezpieczenia (w tym części stałych i zamiennych książeczek usług medycznych) oraz recept</v>
          </cell>
          <cell r="C61">
            <v>0</v>
          </cell>
          <cell r="D61">
            <v>0</v>
          </cell>
        </row>
        <row r="62">
          <cell r="A62" t="str">
            <v>F2</v>
          </cell>
          <cell r="B62" t="str">
            <v>rezerwa na zobowiązania wynikające z postępowań sądowych</v>
          </cell>
          <cell r="C62">
            <v>13828</v>
          </cell>
          <cell r="D62">
            <v>13828</v>
          </cell>
        </row>
        <row r="63">
          <cell r="A63" t="str">
            <v>F3</v>
          </cell>
          <cell r="B63" t="str">
            <v>inne rezerwy</v>
          </cell>
          <cell r="C63">
            <v>0</v>
          </cell>
          <cell r="D63">
            <v>0</v>
          </cell>
        </row>
        <row r="64">
          <cell r="A64" t="str">
            <v>F4</v>
          </cell>
          <cell r="B64" t="str">
            <v>inne koszty</v>
          </cell>
          <cell r="C64">
            <v>8132</v>
          </cell>
          <cell r="D64">
            <v>8132</v>
          </cell>
        </row>
        <row r="65">
          <cell r="A65" t="str">
            <v>H</v>
          </cell>
          <cell r="B65" t="str">
            <v>Koszty finansowe</v>
          </cell>
          <cell r="C65">
            <v>9640</v>
          </cell>
          <cell r="D65">
            <v>9640</v>
          </cell>
        </row>
      </sheetData>
      <sheetData sheetId="10">
        <row r="7">
          <cell r="A7" t="str">
            <v>B2.1</v>
          </cell>
          <cell r="B7" t="str">
            <v>podstawowa opieka zdrowotna</v>
          </cell>
          <cell r="C7">
            <v>243249</v>
          </cell>
          <cell r="D7">
            <v>243249</v>
          </cell>
        </row>
        <row r="8">
          <cell r="A8" t="str">
            <v>B2.2</v>
          </cell>
          <cell r="B8" t="str">
            <v>ambulatoryjna opieka specjalistyczna</v>
          </cell>
          <cell r="C8">
            <v>131237</v>
          </cell>
          <cell r="D8">
            <v>131237</v>
          </cell>
        </row>
        <row r="9">
          <cell r="A9" t="str">
            <v>B2.3</v>
          </cell>
          <cell r="B9" t="str">
            <v>leczenie szpitalne, w tym:</v>
          </cell>
          <cell r="C9">
            <v>915362</v>
          </cell>
          <cell r="D9">
            <v>915362</v>
          </cell>
        </row>
        <row r="10">
          <cell r="A10" t="str">
            <v>B2.3.1</v>
          </cell>
          <cell r="B10" t="str">
            <v>programy terapeutyczne (lekowe), w tym:</v>
          </cell>
          <cell r="C10">
            <v>70727</v>
          </cell>
          <cell r="D10">
            <v>70727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64597</v>
          </cell>
          <cell r="D11">
            <v>64597</v>
          </cell>
        </row>
        <row r="12">
          <cell r="A12" t="str">
            <v>B2.3.2</v>
          </cell>
          <cell r="B12" t="str">
            <v>chemioterapia, w tym:</v>
          </cell>
          <cell r="C12">
            <v>34767</v>
          </cell>
          <cell r="D12">
            <v>34767</v>
          </cell>
        </row>
        <row r="13">
          <cell r="A13" t="str">
            <v>B2.3.2.1</v>
          </cell>
          <cell r="B13" t="str">
            <v>leki stosowane w chemioterapii</v>
          </cell>
          <cell r="C13">
            <v>15917</v>
          </cell>
          <cell r="D13">
            <v>15917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66487</v>
          </cell>
          <cell r="D14">
            <v>66487</v>
          </cell>
        </row>
        <row r="15">
          <cell r="A15" t="str">
            <v>B2.5</v>
          </cell>
          <cell r="B15" t="str">
            <v>rehabilitacja lecznicza</v>
          </cell>
          <cell r="C15">
            <v>56783</v>
          </cell>
          <cell r="D15">
            <v>56783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55170</v>
          </cell>
          <cell r="D16">
            <v>55170</v>
          </cell>
        </row>
        <row r="17">
          <cell r="A17" t="str">
            <v>B2.7</v>
          </cell>
          <cell r="B17" t="str">
            <v>opieka paliatywna i hospicyjna</v>
          </cell>
          <cell r="C17">
            <v>18832</v>
          </cell>
          <cell r="D17">
            <v>18832</v>
          </cell>
        </row>
        <row r="18">
          <cell r="A18" t="str">
            <v>B2.8</v>
          </cell>
          <cell r="B18" t="str">
            <v>leczenie stomatologiczne</v>
          </cell>
          <cell r="C18">
            <v>45396</v>
          </cell>
          <cell r="D18">
            <v>45396</v>
          </cell>
        </row>
        <row r="19">
          <cell r="A19" t="str">
            <v>B2.9</v>
          </cell>
          <cell r="B19" t="str">
            <v>lecznictwo uzdrowiskowe</v>
          </cell>
          <cell r="C19">
            <v>12700</v>
          </cell>
          <cell r="D19">
            <v>12700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1349</v>
          </cell>
          <cell r="D20">
            <v>1349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5329</v>
          </cell>
          <cell r="D21">
            <v>5329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49239</v>
          </cell>
          <cell r="D22">
            <v>49239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28375</v>
          </cell>
          <cell r="D23">
            <v>28375</v>
          </cell>
        </row>
        <row r="24">
          <cell r="A24" t="str">
            <v>B2.14</v>
          </cell>
          <cell r="B24" t="str">
            <v>refundacja, z tego:</v>
          </cell>
          <cell r="C24">
            <v>201107</v>
          </cell>
          <cell r="D24">
            <v>201107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200290</v>
          </cell>
          <cell r="D25">
            <v>200290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600</v>
          </cell>
          <cell r="D26">
            <v>600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217</v>
          </cell>
          <cell r="D27">
            <v>217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11955</v>
          </cell>
          <cell r="D32">
            <v>11955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420</v>
          </cell>
          <cell r="D34">
            <v>420</v>
          </cell>
        </row>
        <row r="35">
          <cell r="A35" t="str">
            <v>B3</v>
          </cell>
          <cell r="B35" t="str">
            <v xml:space="preserve">Koszty programów polityki zdrowotnej realizowanych na zlecenie </v>
          </cell>
          <cell r="C35">
            <v>0</v>
          </cell>
          <cell r="D35">
            <v>20</v>
          </cell>
        </row>
        <row r="36">
          <cell r="A36" t="str">
            <v>B4</v>
          </cell>
          <cell r="B36" t="str">
            <v>Koszty realizacji zadań zespołów ratownictwa medycznego</v>
          </cell>
          <cell r="C36">
            <v>54177</v>
          </cell>
          <cell r="D36">
            <v>54177</v>
          </cell>
        </row>
        <row r="37">
          <cell r="A37" t="str">
            <v>B5</v>
          </cell>
          <cell r="B37" t="str">
            <v>Koszty finansowania leku, środka spożywczego specjalnego przeznaczenia żywieniowego oraz wyrobu medycznego w części finansowanej z budżetu państwa zgodnie z art. 43a ust. 3 ustawy</v>
          </cell>
          <cell r="C37">
            <v>16042</v>
          </cell>
          <cell r="D37">
            <v>16042</v>
          </cell>
        </row>
        <row r="38">
          <cell r="A38" t="str">
            <v>Bn</v>
          </cell>
          <cell r="B38" t="str">
            <v>Całkowity budżet na refundację
(B2.3.1.1+B2.3.2.1+B2.14+B2.16.1)</v>
          </cell>
          <cell r="C38">
            <v>281621</v>
          </cell>
          <cell r="D38">
            <v>281621</v>
          </cell>
        </row>
        <row r="39">
          <cell r="A39" t="str">
            <v>D.</v>
          </cell>
          <cell r="B39" t="str">
            <v>Koszty administracyjne ( D1+...+D8 )</v>
          </cell>
          <cell r="C39">
            <v>16136</v>
          </cell>
          <cell r="D39">
            <v>16136</v>
          </cell>
        </row>
        <row r="40">
          <cell r="A40" t="str">
            <v>D1</v>
          </cell>
          <cell r="B40" t="str">
            <v>zużycie materiałów i energii</v>
          </cell>
          <cell r="C40">
            <v>787</v>
          </cell>
          <cell r="D40">
            <v>787</v>
          </cell>
        </row>
        <row r="41">
          <cell r="A41" t="str">
            <v>D2</v>
          </cell>
          <cell r="B41" t="str">
            <v>usługi obce</v>
          </cell>
          <cell r="C41">
            <v>2205</v>
          </cell>
          <cell r="D41">
            <v>2205</v>
          </cell>
        </row>
        <row r="42">
          <cell r="A42" t="str">
            <v>D3</v>
          </cell>
          <cell r="B42" t="str">
            <v>podatki i opłaty, z tego</v>
          </cell>
          <cell r="C42">
            <v>174</v>
          </cell>
          <cell r="D42">
            <v>174</v>
          </cell>
        </row>
        <row r="43">
          <cell r="A43" t="str">
            <v>D3.1</v>
          </cell>
          <cell r="B43" t="str">
            <v>podatki stanowiące dochody własne jednostek samorządu terytorialnego, w tym:</v>
          </cell>
          <cell r="C43">
            <v>0</v>
          </cell>
          <cell r="D43">
            <v>0</v>
          </cell>
        </row>
        <row r="44">
          <cell r="A44" t="str">
            <v>D3.1.1</v>
          </cell>
          <cell r="B44" t="str">
            <v>podatek od nieruchomości</v>
          </cell>
          <cell r="C44">
            <v>0</v>
          </cell>
          <cell r="D44">
            <v>0</v>
          </cell>
        </row>
        <row r="45">
          <cell r="A45" t="str">
            <v>D3.2</v>
          </cell>
          <cell r="B45" t="str">
            <v>opłaty stanowiące dochody własne jednostek samorządu terytorialnego</v>
          </cell>
          <cell r="C45">
            <v>8</v>
          </cell>
          <cell r="D45">
            <v>8</v>
          </cell>
        </row>
        <row r="46">
          <cell r="A46" t="str">
            <v>D3.3</v>
          </cell>
          <cell r="B46" t="str">
            <v>VAT</v>
          </cell>
          <cell r="C46">
            <v>0</v>
          </cell>
          <cell r="D46">
            <v>0</v>
          </cell>
        </row>
        <row r="47">
          <cell r="A47" t="str">
            <v>D3.4</v>
          </cell>
          <cell r="B47" t="str">
            <v>podatek akcyzowy</v>
          </cell>
          <cell r="C47">
            <v>0</v>
          </cell>
          <cell r="D47">
            <v>0</v>
          </cell>
        </row>
        <row r="48">
          <cell r="A48" t="str">
            <v>D3.5</v>
          </cell>
          <cell r="B48" t="str">
            <v>wpłaty na PFRON</v>
          </cell>
          <cell r="C48">
            <v>160</v>
          </cell>
          <cell r="D48">
            <v>160</v>
          </cell>
        </row>
        <row r="49">
          <cell r="A49" t="str">
            <v>D3.6</v>
          </cell>
          <cell r="B49" t="str">
            <v>inne</v>
          </cell>
          <cell r="C49">
            <v>6</v>
          </cell>
          <cell r="D49">
            <v>6</v>
          </cell>
        </row>
        <row r="50">
          <cell r="A50" t="str">
            <v>D4</v>
          </cell>
          <cell r="B50" t="str">
            <v>wynagrodzenia, w tym:</v>
          </cell>
          <cell r="C50">
            <v>9284</v>
          </cell>
          <cell r="D50">
            <v>9284</v>
          </cell>
        </row>
        <row r="51">
          <cell r="A51" t="str">
            <v>D4.1</v>
          </cell>
          <cell r="B51" t="str">
            <v>wynagrodzenia bezosobowe</v>
          </cell>
          <cell r="C51">
            <v>26</v>
          </cell>
          <cell r="D51">
            <v>26</v>
          </cell>
        </row>
        <row r="52">
          <cell r="A52" t="str">
            <v>D5</v>
          </cell>
          <cell r="B52" t="str">
            <v>ubezpieczenie społeczne i inne świadczenia, z tego:</v>
          </cell>
          <cell r="C52">
            <v>2085</v>
          </cell>
          <cell r="D52">
            <v>2085</v>
          </cell>
        </row>
        <row r="53">
          <cell r="A53" t="str">
            <v>D5.1</v>
          </cell>
          <cell r="B53" t="str">
            <v>składki na Fundusz Ubezpieczeń Społecznych</v>
          </cell>
          <cell r="C53">
            <v>1592</v>
          </cell>
          <cell r="D53">
            <v>1592</v>
          </cell>
        </row>
        <row r="54">
          <cell r="A54" t="str">
            <v>D5.2</v>
          </cell>
          <cell r="B54" t="str">
            <v>składki na Fundusz Pracy</v>
          </cell>
          <cell r="C54">
            <v>227</v>
          </cell>
          <cell r="D54">
            <v>227</v>
          </cell>
        </row>
        <row r="55">
          <cell r="A55" t="str">
            <v>D5.3</v>
          </cell>
          <cell r="B55" t="str">
            <v>składki na Fundusz Gwarantowanych Świadczeń Pracowniczych</v>
          </cell>
          <cell r="C55">
            <v>0</v>
          </cell>
          <cell r="D55">
            <v>0</v>
          </cell>
        </row>
        <row r="56">
          <cell r="A56" t="str">
            <v>D5.4</v>
          </cell>
          <cell r="B56" t="str">
            <v>pozostałe świadczenia</v>
          </cell>
          <cell r="C56">
            <v>266</v>
          </cell>
          <cell r="D56">
            <v>266</v>
          </cell>
        </row>
        <row r="57">
          <cell r="A57" t="str">
            <v>D6</v>
          </cell>
          <cell r="B57" t="str">
            <v>koszty funkcjonowania Rady Funduszu</v>
          </cell>
          <cell r="C57">
            <v>0</v>
          </cell>
          <cell r="D57">
            <v>0</v>
          </cell>
        </row>
        <row r="58">
          <cell r="A58" t="str">
            <v>D7</v>
          </cell>
          <cell r="B58" t="str">
            <v>amortyzacja środków trwałych oraz wartości niematerialnych i prawnych</v>
          </cell>
          <cell r="C58">
            <v>1435</v>
          </cell>
          <cell r="D58">
            <v>1435</v>
          </cell>
        </row>
        <row r="59">
          <cell r="A59" t="str">
            <v>D8</v>
          </cell>
          <cell r="B59" t="str">
            <v>pozostałe koszty administracyjne</v>
          </cell>
          <cell r="C59">
            <v>166</v>
          </cell>
          <cell r="D59">
            <v>166</v>
          </cell>
        </row>
        <row r="60">
          <cell r="A60" t="str">
            <v>F</v>
          </cell>
          <cell r="B60" t="str">
            <v>Pozostałe koszty (F1+...+F4)</v>
          </cell>
          <cell r="C60">
            <v>7720</v>
          </cell>
          <cell r="D60">
            <v>7720</v>
          </cell>
        </row>
        <row r="61">
          <cell r="A61" t="str">
            <v>F1</v>
          </cell>
          <cell r="B61" t="str">
            <v>wydanie i utrzymanie kart ubezpieczenia (w tym części stałych i zamiennych książeczek usług medycznych) oraz recept</v>
          </cell>
          <cell r="C61">
            <v>0</v>
          </cell>
          <cell r="D61">
            <v>0</v>
          </cell>
        </row>
        <row r="62">
          <cell r="A62" t="str">
            <v>F2</v>
          </cell>
          <cell r="B62" t="str">
            <v>rezerwa na zobowiązania wynikające z postępowań sądowych</v>
          </cell>
          <cell r="C62">
            <v>5700</v>
          </cell>
          <cell r="D62">
            <v>5700</v>
          </cell>
        </row>
        <row r="63">
          <cell r="A63" t="str">
            <v>F3</v>
          </cell>
          <cell r="B63" t="str">
            <v>inne rezerwy</v>
          </cell>
          <cell r="C63">
            <v>0</v>
          </cell>
          <cell r="D63">
            <v>0</v>
          </cell>
        </row>
        <row r="64">
          <cell r="A64" t="str">
            <v>F4</v>
          </cell>
          <cell r="B64" t="str">
            <v>inne koszty</v>
          </cell>
          <cell r="C64">
            <v>2020</v>
          </cell>
          <cell r="D64">
            <v>2020</v>
          </cell>
        </row>
        <row r="65">
          <cell r="A65" t="str">
            <v>H</v>
          </cell>
          <cell r="B65" t="str">
            <v>Koszty finansowe</v>
          </cell>
          <cell r="C65">
            <v>1238</v>
          </cell>
          <cell r="D65">
            <v>1238</v>
          </cell>
        </row>
      </sheetData>
      <sheetData sheetId="11">
        <row r="7">
          <cell r="A7" t="str">
            <v>B2.1</v>
          </cell>
          <cell r="B7" t="str">
            <v>podstawowa opieka zdrowotna</v>
          </cell>
          <cell r="C7">
            <v>538961</v>
          </cell>
          <cell r="D7">
            <v>538961</v>
          </cell>
        </row>
        <row r="8">
          <cell r="A8" t="str">
            <v>B2.2</v>
          </cell>
          <cell r="B8" t="str">
            <v>ambulatoryjna opieka specjalistyczna</v>
          </cell>
          <cell r="C8">
            <v>293575</v>
          </cell>
          <cell r="D8">
            <v>293575</v>
          </cell>
        </row>
        <row r="9">
          <cell r="A9" t="str">
            <v>B2.3</v>
          </cell>
          <cell r="B9" t="str">
            <v>leczenie szpitalne, w tym:</v>
          </cell>
          <cell r="C9">
            <v>2004594</v>
          </cell>
          <cell r="D9">
            <v>2004594</v>
          </cell>
        </row>
        <row r="10">
          <cell r="A10" t="str">
            <v>B2.3.1</v>
          </cell>
          <cell r="B10" t="str">
            <v>programy terapeutyczne (lekowe), w tym:</v>
          </cell>
          <cell r="C10">
            <v>192335</v>
          </cell>
          <cell r="D10">
            <v>192335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175767</v>
          </cell>
          <cell r="D11">
            <v>175767</v>
          </cell>
        </row>
        <row r="12">
          <cell r="A12" t="str">
            <v>B2.3.2</v>
          </cell>
          <cell r="B12" t="str">
            <v>chemioterapia, w tym:</v>
          </cell>
          <cell r="C12">
            <v>76689</v>
          </cell>
          <cell r="D12">
            <v>76689</v>
          </cell>
        </row>
        <row r="13">
          <cell r="A13" t="str">
            <v>B2.3.2.1</v>
          </cell>
          <cell r="B13" t="str">
            <v>leki stosowane w chemioterapii</v>
          </cell>
          <cell r="C13">
            <v>37646</v>
          </cell>
          <cell r="D13">
            <v>37646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128032</v>
          </cell>
          <cell r="D14">
            <v>128032</v>
          </cell>
        </row>
        <row r="15">
          <cell r="A15" t="str">
            <v>B2.5</v>
          </cell>
          <cell r="B15" t="str">
            <v>rehabilitacja lecznicza</v>
          </cell>
          <cell r="C15">
            <v>149209</v>
          </cell>
          <cell r="D15">
            <v>149209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114313</v>
          </cell>
          <cell r="D16">
            <v>114313</v>
          </cell>
        </row>
        <row r="17">
          <cell r="A17" t="str">
            <v>B2.7</v>
          </cell>
          <cell r="B17" t="str">
            <v>opieka paliatywna i hospicyjna</v>
          </cell>
          <cell r="C17">
            <v>44884</v>
          </cell>
          <cell r="D17">
            <v>44884</v>
          </cell>
        </row>
        <row r="18">
          <cell r="A18" t="str">
            <v>B2.8</v>
          </cell>
          <cell r="B18" t="str">
            <v>leczenie stomatologiczne</v>
          </cell>
          <cell r="C18">
            <v>113344</v>
          </cell>
          <cell r="D18">
            <v>113344</v>
          </cell>
        </row>
        <row r="19">
          <cell r="A19" t="str">
            <v>B2.9</v>
          </cell>
          <cell r="B19" t="str">
            <v>lecznictwo uzdrowiskowe</v>
          </cell>
          <cell r="C19">
            <v>34670</v>
          </cell>
          <cell r="D19">
            <v>34670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3286</v>
          </cell>
          <cell r="D20">
            <v>3286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8056</v>
          </cell>
          <cell r="D21">
            <v>8056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103857</v>
          </cell>
          <cell r="D22">
            <v>103857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56447</v>
          </cell>
          <cell r="D23">
            <v>56447</v>
          </cell>
        </row>
        <row r="24">
          <cell r="A24" t="str">
            <v>B2.14</v>
          </cell>
          <cell r="B24" t="str">
            <v>refundacja, z tego:</v>
          </cell>
          <cell r="C24">
            <v>392552</v>
          </cell>
          <cell r="D24">
            <v>392552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389052</v>
          </cell>
          <cell r="D25">
            <v>389052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2500</v>
          </cell>
          <cell r="D26">
            <v>2500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1000</v>
          </cell>
          <cell r="D27">
            <v>1000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28013</v>
          </cell>
          <cell r="D32">
            <v>28013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6569</v>
          </cell>
          <cell r="D34">
            <v>6569</v>
          </cell>
        </row>
        <row r="35">
          <cell r="A35" t="str">
            <v>B3</v>
          </cell>
          <cell r="B35" t="str">
            <v xml:space="preserve">Koszty programów polityki zdrowotnej realizowanych na zlecenie </v>
          </cell>
          <cell r="C35">
            <v>0</v>
          </cell>
          <cell r="D35">
            <v>0</v>
          </cell>
        </row>
        <row r="36">
          <cell r="A36" t="str">
            <v>B4</v>
          </cell>
          <cell r="B36" t="str">
            <v>Koszty realizacji zadań zespołów ratownictwa medycznego</v>
          </cell>
          <cell r="C36">
            <v>111484</v>
          </cell>
          <cell r="D36">
            <v>111484</v>
          </cell>
        </row>
        <row r="37">
          <cell r="A37" t="str">
            <v>B5</v>
          </cell>
          <cell r="B37" t="str">
            <v>Koszty finansowania leku, środka spożywczego specjalnego przeznaczenia żywieniowego oraz wyrobu medycznego w części finansowanej z budżetu państwa zgodnie z art. 43a ust. 3 ustawy</v>
          </cell>
          <cell r="C37">
            <v>26759</v>
          </cell>
          <cell r="D37">
            <v>26759</v>
          </cell>
        </row>
        <row r="38">
          <cell r="A38" t="str">
            <v>Bn</v>
          </cell>
          <cell r="B38" t="str">
            <v>Całkowity budżet na refundację
(B2.3.1.1+B2.3.2.1+B2.14+B2.16.1)</v>
          </cell>
          <cell r="C38">
            <v>605965</v>
          </cell>
          <cell r="D38">
            <v>605965</v>
          </cell>
        </row>
        <row r="39">
          <cell r="A39" t="str">
            <v>D.</v>
          </cell>
          <cell r="B39" t="str">
            <v>Koszty administracyjne ( D1+...+D8 )</v>
          </cell>
          <cell r="C39">
            <v>25858</v>
          </cell>
          <cell r="D39">
            <v>25858</v>
          </cell>
        </row>
        <row r="40">
          <cell r="A40" t="str">
            <v>D1</v>
          </cell>
          <cell r="B40" t="str">
            <v>zużycie materiałów i energii</v>
          </cell>
          <cell r="C40">
            <v>1350</v>
          </cell>
          <cell r="D40">
            <v>1350</v>
          </cell>
        </row>
        <row r="41">
          <cell r="A41" t="str">
            <v>D2</v>
          </cell>
          <cell r="B41" t="str">
            <v>usługi obce</v>
          </cell>
          <cell r="C41">
            <v>2816</v>
          </cell>
          <cell r="D41">
            <v>2816</v>
          </cell>
        </row>
        <row r="42">
          <cell r="A42" t="str">
            <v>D3</v>
          </cell>
          <cell r="B42" t="str">
            <v>podatki i opłaty, z tego</v>
          </cell>
          <cell r="C42">
            <v>119</v>
          </cell>
          <cell r="D42">
            <v>119</v>
          </cell>
        </row>
        <row r="43">
          <cell r="A43" t="str">
            <v>D3.1</v>
          </cell>
          <cell r="B43" t="str">
            <v>podatki stanowiące dochody własne jednostek samorządu terytorialnego, w tym:</v>
          </cell>
          <cell r="C43">
            <v>27</v>
          </cell>
          <cell r="D43">
            <v>27</v>
          </cell>
        </row>
        <row r="44">
          <cell r="A44" t="str">
            <v>D3.1.1</v>
          </cell>
          <cell r="B44" t="str">
            <v>podatek od nieruchomości</v>
          </cell>
          <cell r="C44">
            <v>27</v>
          </cell>
          <cell r="D44">
            <v>27</v>
          </cell>
        </row>
        <row r="45">
          <cell r="A45" t="str">
            <v>D3.2</v>
          </cell>
          <cell r="B45" t="str">
            <v>opłaty stanowiące dochody własne jednostek samorządu terytorialnego</v>
          </cell>
          <cell r="C45">
            <v>13</v>
          </cell>
          <cell r="D45">
            <v>13</v>
          </cell>
        </row>
        <row r="46">
          <cell r="A46" t="str">
            <v>D3.3</v>
          </cell>
          <cell r="B46" t="str">
            <v>VAT</v>
          </cell>
          <cell r="C46">
            <v>0</v>
          </cell>
          <cell r="D46">
            <v>0</v>
          </cell>
        </row>
        <row r="47">
          <cell r="A47" t="str">
            <v>D3.4</v>
          </cell>
          <cell r="B47" t="str">
            <v>podatek akcyzowy</v>
          </cell>
          <cell r="C47">
            <v>0</v>
          </cell>
          <cell r="D47">
            <v>0</v>
          </cell>
        </row>
        <row r="48">
          <cell r="A48" t="str">
            <v>D3.5</v>
          </cell>
          <cell r="B48" t="str">
            <v>wpłaty na PFRON</v>
          </cell>
          <cell r="C48">
            <v>43</v>
          </cell>
          <cell r="D48">
            <v>43</v>
          </cell>
        </row>
        <row r="49">
          <cell r="A49" t="str">
            <v>D3.6</v>
          </cell>
          <cell r="B49" t="str">
            <v>inne</v>
          </cell>
          <cell r="C49">
            <v>36</v>
          </cell>
          <cell r="D49">
            <v>36</v>
          </cell>
        </row>
        <row r="50">
          <cell r="A50" t="str">
            <v>D4</v>
          </cell>
          <cell r="B50" t="str">
            <v>wynagrodzenia, w tym:</v>
          </cell>
          <cell r="C50">
            <v>14538</v>
          </cell>
          <cell r="D50">
            <v>14538</v>
          </cell>
        </row>
        <row r="51">
          <cell r="A51" t="str">
            <v>D4.1</v>
          </cell>
          <cell r="B51" t="str">
            <v>wynagrodzenia bezosobowe</v>
          </cell>
          <cell r="C51">
            <v>0</v>
          </cell>
          <cell r="D51">
            <v>0</v>
          </cell>
        </row>
        <row r="52">
          <cell r="A52" t="str">
            <v>D5</v>
          </cell>
          <cell r="B52" t="str">
            <v>ubezpieczenie społeczne i inne świadczenia, z tego:</v>
          </cell>
          <cell r="C52">
            <v>3268</v>
          </cell>
          <cell r="D52">
            <v>3268</v>
          </cell>
        </row>
        <row r="53">
          <cell r="A53" t="str">
            <v>D5.1</v>
          </cell>
          <cell r="B53" t="str">
            <v>składki na Fundusz Ubezpieczeń Społecznych</v>
          </cell>
          <cell r="C53">
            <v>2493</v>
          </cell>
          <cell r="D53">
            <v>2493</v>
          </cell>
        </row>
        <row r="54">
          <cell r="A54" t="str">
            <v>D5.2</v>
          </cell>
          <cell r="B54" t="str">
            <v>składki na Fundusz Pracy</v>
          </cell>
          <cell r="C54">
            <v>356</v>
          </cell>
          <cell r="D54">
            <v>356</v>
          </cell>
        </row>
        <row r="55">
          <cell r="A55" t="str">
            <v>D5.3</v>
          </cell>
          <cell r="B55" t="str">
            <v>składki na Fundusz Gwarantowanych Świadczeń Pracowniczych</v>
          </cell>
          <cell r="C55">
            <v>0</v>
          </cell>
          <cell r="D55">
            <v>0</v>
          </cell>
        </row>
        <row r="56">
          <cell r="A56" t="str">
            <v>D5.4</v>
          </cell>
          <cell r="B56" t="str">
            <v>pozostałe świadczenia</v>
          </cell>
          <cell r="C56">
            <v>419</v>
          </cell>
          <cell r="D56">
            <v>419</v>
          </cell>
        </row>
        <row r="57">
          <cell r="A57" t="str">
            <v>D6</v>
          </cell>
          <cell r="B57" t="str">
            <v>koszty funkcjonowania Rady Funduszu</v>
          </cell>
          <cell r="C57">
            <v>0</v>
          </cell>
          <cell r="D57">
            <v>0</v>
          </cell>
        </row>
        <row r="58">
          <cell r="A58" t="str">
            <v>D7</v>
          </cell>
          <cell r="B58" t="str">
            <v>amortyzacja środków trwałych oraz wartości niematerialnych i prawnych</v>
          </cell>
          <cell r="C58">
            <v>3500</v>
          </cell>
          <cell r="D58">
            <v>3500</v>
          </cell>
        </row>
        <row r="59">
          <cell r="A59" t="str">
            <v>D8</v>
          </cell>
          <cell r="B59" t="str">
            <v>pozostałe koszty administracyjne</v>
          </cell>
          <cell r="C59">
            <v>267</v>
          </cell>
          <cell r="D59">
            <v>267</v>
          </cell>
        </row>
        <row r="60">
          <cell r="A60" t="str">
            <v>F</v>
          </cell>
          <cell r="B60" t="str">
            <v>Pozostałe koszty (F1+...+F4)</v>
          </cell>
          <cell r="C60">
            <v>4000</v>
          </cell>
          <cell r="D60">
            <v>4000</v>
          </cell>
        </row>
        <row r="61">
          <cell r="A61" t="str">
            <v>F1</v>
          </cell>
          <cell r="B61" t="str">
            <v>wydanie i utrzymanie kart ubezpieczenia (w tym części stałych i zamiennych książeczek usług medycznych) oraz recept</v>
          </cell>
          <cell r="C61">
            <v>0</v>
          </cell>
          <cell r="D61">
            <v>0</v>
          </cell>
        </row>
        <row r="62">
          <cell r="A62" t="str">
            <v>F2</v>
          </cell>
          <cell r="B62" t="str">
            <v>rezerwa na zobowiązania wynikające z postępowań sądowych</v>
          </cell>
          <cell r="C62">
            <v>3000</v>
          </cell>
          <cell r="D62">
            <v>3000</v>
          </cell>
        </row>
        <row r="63">
          <cell r="A63" t="str">
            <v>F3</v>
          </cell>
          <cell r="B63" t="str">
            <v>inne rezerwy</v>
          </cell>
          <cell r="C63">
            <v>0</v>
          </cell>
          <cell r="D63">
            <v>0</v>
          </cell>
        </row>
        <row r="64">
          <cell r="A64" t="str">
            <v>F4</v>
          </cell>
          <cell r="B64" t="str">
            <v>inne koszty</v>
          </cell>
          <cell r="C64">
            <v>1000</v>
          </cell>
          <cell r="D64">
            <v>1000</v>
          </cell>
        </row>
        <row r="65">
          <cell r="A65" t="str">
            <v>H</v>
          </cell>
          <cell r="B65" t="str">
            <v>Koszty finansowe</v>
          </cell>
          <cell r="C65">
            <v>810</v>
          </cell>
          <cell r="D65">
            <v>810</v>
          </cell>
        </row>
      </sheetData>
      <sheetData sheetId="12">
        <row r="7">
          <cell r="A7" t="str">
            <v>B2.1</v>
          </cell>
          <cell r="B7" t="str">
            <v>podstawowa opieka zdrowotna</v>
          </cell>
          <cell r="C7">
            <v>305100</v>
          </cell>
          <cell r="D7">
            <v>305100</v>
          </cell>
        </row>
        <row r="8">
          <cell r="A8" t="str">
            <v>B2.2</v>
          </cell>
          <cell r="B8" t="str">
            <v>ambulatoryjna opieka specjalistyczna</v>
          </cell>
          <cell r="C8">
            <v>191325</v>
          </cell>
          <cell r="D8">
            <v>191325</v>
          </cell>
        </row>
        <row r="9">
          <cell r="A9" t="str">
            <v>B2.3</v>
          </cell>
          <cell r="B9" t="str">
            <v>leczenie szpitalne, w tym:</v>
          </cell>
          <cell r="C9">
            <v>1170078</v>
          </cell>
          <cell r="D9">
            <v>1170078</v>
          </cell>
        </row>
        <row r="10">
          <cell r="A10" t="str">
            <v>B2.3.1</v>
          </cell>
          <cell r="B10" t="str">
            <v>programy terapeutyczne (lekowe), w tym:</v>
          </cell>
          <cell r="C10">
            <v>93128</v>
          </cell>
          <cell r="D10">
            <v>93128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83965</v>
          </cell>
          <cell r="D11">
            <v>83965</v>
          </cell>
        </row>
        <row r="12">
          <cell r="A12" t="str">
            <v>B2.3.2</v>
          </cell>
          <cell r="B12" t="str">
            <v>chemioterapia, w tym:</v>
          </cell>
          <cell r="C12">
            <v>47056</v>
          </cell>
          <cell r="D12">
            <v>47056</v>
          </cell>
        </row>
        <row r="13">
          <cell r="A13" t="str">
            <v>B2.3.2.1</v>
          </cell>
          <cell r="B13" t="str">
            <v>leki stosowane w chemioterapii</v>
          </cell>
          <cell r="C13">
            <v>24019</v>
          </cell>
          <cell r="D13">
            <v>24019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89200</v>
          </cell>
          <cell r="D14">
            <v>89200</v>
          </cell>
        </row>
        <row r="15">
          <cell r="A15" t="str">
            <v>B2.5</v>
          </cell>
          <cell r="B15" t="str">
            <v>rehabilitacja lecznicza</v>
          </cell>
          <cell r="C15">
            <v>62500</v>
          </cell>
          <cell r="D15">
            <v>62500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36500</v>
          </cell>
          <cell r="D16">
            <v>36500</v>
          </cell>
        </row>
        <row r="17">
          <cell r="A17" t="str">
            <v>B2.7</v>
          </cell>
          <cell r="B17" t="str">
            <v>opieka paliatywna i hospicyjna</v>
          </cell>
          <cell r="C17">
            <v>19400</v>
          </cell>
          <cell r="D17">
            <v>19400</v>
          </cell>
        </row>
        <row r="18">
          <cell r="A18" t="str">
            <v>B2.8</v>
          </cell>
          <cell r="B18" t="str">
            <v>leczenie stomatologiczne</v>
          </cell>
          <cell r="C18">
            <v>63800</v>
          </cell>
          <cell r="D18">
            <v>63800</v>
          </cell>
        </row>
        <row r="19">
          <cell r="A19" t="str">
            <v>B2.9</v>
          </cell>
          <cell r="B19" t="str">
            <v>lecznictwo uzdrowiskowe</v>
          </cell>
          <cell r="C19">
            <v>20500</v>
          </cell>
          <cell r="D19">
            <v>20500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1555</v>
          </cell>
          <cell r="D20">
            <v>1555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4850</v>
          </cell>
          <cell r="D21">
            <v>4850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64800</v>
          </cell>
          <cell r="D22">
            <v>64800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29600</v>
          </cell>
          <cell r="D23">
            <v>29600</v>
          </cell>
        </row>
        <row r="24">
          <cell r="A24" t="str">
            <v>B2.14</v>
          </cell>
          <cell r="B24" t="str">
            <v>refundacja, z tego:</v>
          </cell>
          <cell r="C24">
            <v>226367</v>
          </cell>
          <cell r="D24">
            <v>226367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224257</v>
          </cell>
          <cell r="D25">
            <v>224257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1550</v>
          </cell>
          <cell r="D26">
            <v>1550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560</v>
          </cell>
          <cell r="D27">
            <v>560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300</v>
          </cell>
          <cell r="D32">
            <v>300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0</v>
          </cell>
          <cell r="D34">
            <v>0</v>
          </cell>
        </row>
        <row r="35">
          <cell r="A35" t="str">
            <v>B3</v>
          </cell>
          <cell r="B35" t="str">
            <v xml:space="preserve">Koszty programów polityki zdrowotnej realizowanych na zlecenie </v>
          </cell>
          <cell r="C35">
            <v>0</v>
          </cell>
          <cell r="D35">
            <v>0</v>
          </cell>
        </row>
        <row r="36">
          <cell r="A36" t="str">
            <v>B4</v>
          </cell>
          <cell r="B36" t="str">
            <v>Koszty realizacji zadań zespołów ratownictwa medycznego</v>
          </cell>
          <cell r="C36">
            <v>71925</v>
          </cell>
          <cell r="D36">
            <v>71925</v>
          </cell>
        </row>
        <row r="37">
          <cell r="A37" t="str">
            <v>B5</v>
          </cell>
          <cell r="B37" t="str">
            <v>Koszty finansowania leku, środka spożywczego specjalnego przeznaczenia żywieniowego oraz wyrobu medycznego w części finansowanej z budżetu państwa zgodnie z art. 43a ust. 3 ustawy</v>
          </cell>
          <cell r="C37">
            <v>16771</v>
          </cell>
          <cell r="D37">
            <v>16771</v>
          </cell>
        </row>
        <row r="38">
          <cell r="A38" t="str">
            <v>Bn</v>
          </cell>
          <cell r="B38" t="str">
            <v>Całkowity budżet na refundację
(B2.3.1.1+B2.3.2.1+B2.14+B2.16.1)</v>
          </cell>
          <cell r="C38">
            <v>334351</v>
          </cell>
          <cell r="D38">
            <v>334351</v>
          </cell>
        </row>
        <row r="39">
          <cell r="A39" t="str">
            <v>D.</v>
          </cell>
          <cell r="B39" t="str">
            <v>Koszty administracyjne ( D1+...+D8 )</v>
          </cell>
          <cell r="C39">
            <v>17784</v>
          </cell>
          <cell r="D39">
            <v>17784</v>
          </cell>
        </row>
        <row r="40">
          <cell r="A40" t="str">
            <v>D1</v>
          </cell>
          <cell r="B40" t="str">
            <v>zużycie materiałów i energii</v>
          </cell>
          <cell r="C40">
            <v>599</v>
          </cell>
          <cell r="D40">
            <v>599</v>
          </cell>
        </row>
        <row r="41">
          <cell r="A41" t="str">
            <v>D2</v>
          </cell>
          <cell r="B41" t="str">
            <v>usługi obce</v>
          </cell>
          <cell r="C41">
            <v>1100</v>
          </cell>
          <cell r="D41">
            <v>1100</v>
          </cell>
        </row>
        <row r="42">
          <cell r="A42" t="str">
            <v>D3</v>
          </cell>
          <cell r="B42" t="str">
            <v>podatki i opłaty, z tego</v>
          </cell>
          <cell r="C42">
            <v>246</v>
          </cell>
          <cell r="D42">
            <v>246</v>
          </cell>
        </row>
        <row r="43">
          <cell r="A43" t="str">
            <v>D3.1</v>
          </cell>
          <cell r="B43" t="str">
            <v>podatki stanowiące dochody własne jednostek samorządu terytorialnego, w tym:</v>
          </cell>
          <cell r="C43">
            <v>19</v>
          </cell>
          <cell r="D43">
            <v>19</v>
          </cell>
        </row>
        <row r="44">
          <cell r="A44" t="str">
            <v>D3.1.1</v>
          </cell>
          <cell r="B44" t="str">
            <v>podatek od nieruchomości</v>
          </cell>
          <cell r="C44">
            <v>19</v>
          </cell>
          <cell r="D44">
            <v>19</v>
          </cell>
        </row>
        <row r="45">
          <cell r="A45" t="str">
            <v>D3.2</v>
          </cell>
          <cell r="B45" t="str">
            <v>opłaty stanowiące dochody własne jednostek samorządu terytorialnego</v>
          </cell>
          <cell r="C45">
            <v>54</v>
          </cell>
          <cell r="D45">
            <v>54</v>
          </cell>
        </row>
        <row r="46">
          <cell r="A46" t="str">
            <v>D3.3</v>
          </cell>
          <cell r="B46" t="str">
            <v>VAT</v>
          </cell>
          <cell r="C46">
            <v>0</v>
          </cell>
          <cell r="D46">
            <v>0</v>
          </cell>
        </row>
        <row r="47">
          <cell r="A47" t="str">
            <v>D3.4</v>
          </cell>
          <cell r="B47" t="str">
            <v>podatek akcyzowy</v>
          </cell>
          <cell r="C47">
            <v>0</v>
          </cell>
          <cell r="D47">
            <v>0</v>
          </cell>
        </row>
        <row r="48">
          <cell r="A48" t="str">
            <v>D3.5</v>
          </cell>
          <cell r="B48" t="str">
            <v>wpłaty na PFRON</v>
          </cell>
          <cell r="C48">
            <v>167</v>
          </cell>
          <cell r="D48">
            <v>167</v>
          </cell>
        </row>
        <row r="49">
          <cell r="A49" t="str">
            <v>D3.6</v>
          </cell>
          <cell r="B49" t="str">
            <v>inne</v>
          </cell>
          <cell r="C49">
            <v>6</v>
          </cell>
          <cell r="D49">
            <v>6</v>
          </cell>
        </row>
        <row r="50">
          <cell r="A50" t="str">
            <v>D4</v>
          </cell>
          <cell r="B50" t="str">
            <v>wynagrodzenia, w tym:</v>
          </cell>
          <cell r="C50">
            <v>10289</v>
          </cell>
          <cell r="D50">
            <v>10289</v>
          </cell>
        </row>
        <row r="51">
          <cell r="A51" t="str">
            <v>D4.1</v>
          </cell>
          <cell r="B51" t="str">
            <v>wynagrodzenia bezosobowe</v>
          </cell>
          <cell r="C51">
            <v>0</v>
          </cell>
          <cell r="D51">
            <v>0</v>
          </cell>
        </row>
        <row r="52">
          <cell r="A52" t="str">
            <v>D5</v>
          </cell>
          <cell r="B52" t="str">
            <v>ubezpieczenie społeczne i inne świadczenia, z tego:</v>
          </cell>
          <cell r="C52">
            <v>2317</v>
          </cell>
          <cell r="D52">
            <v>2317</v>
          </cell>
        </row>
        <row r="53">
          <cell r="A53" t="str">
            <v>D5.1</v>
          </cell>
          <cell r="B53" t="str">
            <v>składki na Fundusz Ubezpieczeń Społecznych</v>
          </cell>
          <cell r="C53">
            <v>1760</v>
          </cell>
          <cell r="D53">
            <v>1760</v>
          </cell>
        </row>
        <row r="54">
          <cell r="A54" t="str">
            <v>D5.2</v>
          </cell>
          <cell r="B54" t="str">
            <v>składki na Fundusz Pracy</v>
          </cell>
          <cell r="C54">
            <v>231</v>
          </cell>
          <cell r="D54">
            <v>231</v>
          </cell>
        </row>
        <row r="55">
          <cell r="A55" t="str">
            <v>D5.3</v>
          </cell>
          <cell r="B55" t="str">
            <v>składki na Fundusz Gwarantowanych Świadczeń Pracowniczych</v>
          </cell>
          <cell r="C55">
            <v>0</v>
          </cell>
          <cell r="D55">
            <v>0</v>
          </cell>
        </row>
        <row r="56">
          <cell r="A56" t="str">
            <v>D5.4</v>
          </cell>
          <cell r="B56" t="str">
            <v>pozostałe świadczenia</v>
          </cell>
          <cell r="C56">
            <v>326</v>
          </cell>
          <cell r="D56">
            <v>326</v>
          </cell>
        </row>
        <row r="57">
          <cell r="A57" t="str">
            <v>D6</v>
          </cell>
          <cell r="B57" t="str">
            <v>koszty funkcjonowania Rady Funduszu</v>
          </cell>
          <cell r="C57">
            <v>0</v>
          </cell>
          <cell r="D57">
            <v>0</v>
          </cell>
        </row>
        <row r="58">
          <cell r="A58" t="str">
            <v>D7</v>
          </cell>
          <cell r="B58" t="str">
            <v>amortyzacja środków trwałych oraz wartości niematerialnych i prawnych</v>
          </cell>
          <cell r="C58">
            <v>3088</v>
          </cell>
          <cell r="D58">
            <v>3088</v>
          </cell>
        </row>
        <row r="59">
          <cell r="A59" t="str">
            <v>D8</v>
          </cell>
          <cell r="B59" t="str">
            <v>pozostałe koszty administracyjne</v>
          </cell>
          <cell r="C59">
            <v>145</v>
          </cell>
          <cell r="D59">
            <v>145</v>
          </cell>
        </row>
        <row r="60">
          <cell r="A60" t="str">
            <v>F</v>
          </cell>
          <cell r="B60" t="str">
            <v>Pozostałe koszty (F1+...+F4)</v>
          </cell>
          <cell r="C60">
            <v>2289</v>
          </cell>
          <cell r="D60">
            <v>2289</v>
          </cell>
        </row>
        <row r="61">
          <cell r="A61" t="str">
            <v>F1</v>
          </cell>
          <cell r="B61" t="str">
            <v>wydanie i utrzymanie kart ubezpieczenia (w tym części stałych i zamiennych książeczek usług medycznych) oraz recept</v>
          </cell>
          <cell r="C61">
            <v>0</v>
          </cell>
          <cell r="D61">
            <v>0</v>
          </cell>
        </row>
        <row r="62">
          <cell r="A62" t="str">
            <v>F2</v>
          </cell>
          <cell r="B62" t="str">
            <v>rezerwa na zobowiązania wynikające z postępowań sądowych</v>
          </cell>
          <cell r="C62">
            <v>1110</v>
          </cell>
          <cell r="D62">
            <v>1110</v>
          </cell>
        </row>
        <row r="63">
          <cell r="A63" t="str">
            <v>F3</v>
          </cell>
          <cell r="B63" t="str">
            <v>inne rezerwy</v>
          </cell>
          <cell r="C63">
            <v>0</v>
          </cell>
          <cell r="D63">
            <v>0</v>
          </cell>
        </row>
        <row r="64">
          <cell r="A64" t="str">
            <v>F4</v>
          </cell>
          <cell r="B64" t="str">
            <v>inne koszty</v>
          </cell>
          <cell r="C64">
            <v>1179</v>
          </cell>
          <cell r="D64">
            <v>1179</v>
          </cell>
        </row>
        <row r="65">
          <cell r="A65" t="str">
            <v>H</v>
          </cell>
          <cell r="B65" t="str">
            <v>Koszty finansowe</v>
          </cell>
          <cell r="C65">
            <v>372</v>
          </cell>
          <cell r="D65">
            <v>372</v>
          </cell>
        </row>
      </sheetData>
      <sheetData sheetId="13">
        <row r="7">
          <cell r="A7" t="str">
            <v>B2.1</v>
          </cell>
          <cell r="B7" t="str">
            <v>podstawowa opieka zdrowotna</v>
          </cell>
          <cell r="C7">
            <v>617768</v>
          </cell>
          <cell r="D7">
            <v>617768</v>
          </cell>
        </row>
        <row r="8">
          <cell r="A8" t="str">
            <v>B2.2</v>
          </cell>
          <cell r="B8" t="str">
            <v>ambulatoryjna opieka specjalistyczna</v>
          </cell>
          <cell r="C8">
            <v>339544</v>
          </cell>
          <cell r="D8">
            <v>339544</v>
          </cell>
        </row>
        <row r="9">
          <cell r="A9" t="str">
            <v>B2.3</v>
          </cell>
          <cell r="B9" t="str">
            <v>leczenie szpitalne, w tym:</v>
          </cell>
          <cell r="C9">
            <v>2196114</v>
          </cell>
          <cell r="D9">
            <v>2196114</v>
          </cell>
        </row>
        <row r="10">
          <cell r="A10" t="str">
            <v>B2.3.1</v>
          </cell>
          <cell r="B10" t="str">
            <v>programy terapeutyczne (lekowe), w tym:</v>
          </cell>
          <cell r="C10">
            <v>218332</v>
          </cell>
          <cell r="D10">
            <v>218332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201971</v>
          </cell>
          <cell r="D11">
            <v>201971</v>
          </cell>
        </row>
        <row r="12">
          <cell r="A12" t="str">
            <v>B2.3.2</v>
          </cell>
          <cell r="B12" t="str">
            <v>chemioterapia, w tym:</v>
          </cell>
          <cell r="C12">
            <v>84376</v>
          </cell>
          <cell r="D12">
            <v>84376</v>
          </cell>
        </row>
        <row r="13">
          <cell r="A13" t="str">
            <v>B2.3.2.1</v>
          </cell>
          <cell r="B13" t="str">
            <v>leki stosowane w chemioterapii</v>
          </cell>
          <cell r="C13">
            <v>47986</v>
          </cell>
          <cell r="D13">
            <v>47986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165587</v>
          </cell>
          <cell r="D14">
            <v>165587</v>
          </cell>
        </row>
        <row r="15">
          <cell r="A15" t="str">
            <v>B2.5</v>
          </cell>
          <cell r="B15" t="str">
            <v>rehabilitacja lecznicza</v>
          </cell>
          <cell r="C15">
            <v>121520</v>
          </cell>
          <cell r="D15">
            <v>121520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52831</v>
          </cell>
          <cell r="D16">
            <v>52831</v>
          </cell>
        </row>
        <row r="17">
          <cell r="A17" t="str">
            <v>B2.7</v>
          </cell>
          <cell r="B17" t="str">
            <v>opieka paliatywna i hospicyjna</v>
          </cell>
          <cell r="C17">
            <v>41510</v>
          </cell>
          <cell r="D17">
            <v>41510</v>
          </cell>
        </row>
        <row r="18">
          <cell r="A18" t="str">
            <v>B2.8</v>
          </cell>
          <cell r="B18" t="str">
            <v>leczenie stomatologiczne</v>
          </cell>
          <cell r="C18">
            <v>109535</v>
          </cell>
          <cell r="D18">
            <v>109535</v>
          </cell>
        </row>
        <row r="19">
          <cell r="A19" t="str">
            <v>B2.9</v>
          </cell>
          <cell r="B19" t="str">
            <v>lecznictwo uzdrowiskowe</v>
          </cell>
          <cell r="C19">
            <v>27649</v>
          </cell>
          <cell r="D19">
            <v>27649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1504</v>
          </cell>
          <cell r="D20">
            <v>1504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10359</v>
          </cell>
          <cell r="D21">
            <v>10359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132152</v>
          </cell>
          <cell r="D22">
            <v>132152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58200</v>
          </cell>
          <cell r="D23">
            <v>58200</v>
          </cell>
        </row>
        <row r="24">
          <cell r="A24" t="str">
            <v>B2.14</v>
          </cell>
          <cell r="B24" t="str">
            <v>refundacja, z tego:</v>
          </cell>
          <cell r="C24">
            <v>525512</v>
          </cell>
          <cell r="D24">
            <v>525512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523815</v>
          </cell>
          <cell r="D25">
            <v>523815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931</v>
          </cell>
          <cell r="D26">
            <v>931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766</v>
          </cell>
          <cell r="D27">
            <v>766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1099</v>
          </cell>
          <cell r="D32">
            <v>1099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0</v>
          </cell>
          <cell r="D34">
            <v>0</v>
          </cell>
        </row>
        <row r="35">
          <cell r="A35" t="str">
            <v>B3</v>
          </cell>
          <cell r="B35" t="str">
            <v xml:space="preserve">Koszty programów polityki zdrowotnej realizowanych na zlecenie </v>
          </cell>
          <cell r="C35">
            <v>0</v>
          </cell>
          <cell r="D35">
            <v>0</v>
          </cell>
        </row>
        <row r="36">
          <cell r="A36" t="str">
            <v>B4</v>
          </cell>
          <cell r="B36" t="str">
            <v>Koszty realizacji zadań zespołów ratownictwa medycznego</v>
          </cell>
          <cell r="C36">
            <v>108713</v>
          </cell>
          <cell r="D36">
            <v>108713</v>
          </cell>
        </row>
        <row r="37">
          <cell r="A37" t="str">
            <v>B5</v>
          </cell>
          <cell r="B37" t="str">
            <v>Koszty finansowania leku, środka spożywczego specjalnego przeznaczenia żywieniowego oraz wyrobu medycznego w części finansowanej z budżetu państwa zgodnie z art. 43a ust. 3 ustawy</v>
          </cell>
          <cell r="C37">
            <v>34894</v>
          </cell>
          <cell r="D37">
            <v>34894</v>
          </cell>
        </row>
        <row r="38">
          <cell r="A38" t="str">
            <v>Bn</v>
          </cell>
          <cell r="B38" t="str">
            <v>Całkowity budżet na refundację
(B2.3.1.1+B2.3.2.1+B2.14+B2.16.1)</v>
          </cell>
          <cell r="C38">
            <v>775469</v>
          </cell>
          <cell r="D38">
            <v>775469</v>
          </cell>
        </row>
        <row r="39">
          <cell r="A39" t="str">
            <v>D.</v>
          </cell>
          <cell r="B39" t="str">
            <v>Koszty administracyjne ( D1+...+D8 )</v>
          </cell>
          <cell r="C39">
            <v>33148</v>
          </cell>
          <cell r="D39">
            <v>33148</v>
          </cell>
        </row>
        <row r="40">
          <cell r="A40" t="str">
            <v>D1</v>
          </cell>
          <cell r="B40" t="str">
            <v>zużycie materiałów i energii</v>
          </cell>
          <cell r="C40">
            <v>1549</v>
          </cell>
          <cell r="D40">
            <v>1549</v>
          </cell>
        </row>
        <row r="41">
          <cell r="A41" t="str">
            <v>D2</v>
          </cell>
          <cell r="B41" t="str">
            <v>usługi obce</v>
          </cell>
          <cell r="C41">
            <v>3339</v>
          </cell>
          <cell r="D41">
            <v>3339</v>
          </cell>
        </row>
        <row r="42">
          <cell r="A42" t="str">
            <v>D3</v>
          </cell>
          <cell r="B42" t="str">
            <v>podatki i opłaty, z tego</v>
          </cell>
          <cell r="C42">
            <v>135</v>
          </cell>
          <cell r="D42">
            <v>135</v>
          </cell>
        </row>
        <row r="43">
          <cell r="A43" t="str">
            <v>D3.1</v>
          </cell>
          <cell r="B43" t="str">
            <v>podatki stanowiące dochody własne jednostek samorządu terytorialnego, w tym:</v>
          </cell>
          <cell r="C43">
            <v>44</v>
          </cell>
          <cell r="D43">
            <v>44</v>
          </cell>
        </row>
        <row r="44">
          <cell r="A44" t="str">
            <v>D3.1.1</v>
          </cell>
          <cell r="B44" t="str">
            <v>podatek od nieruchomości</v>
          </cell>
          <cell r="C44">
            <v>44</v>
          </cell>
          <cell r="D44">
            <v>44</v>
          </cell>
        </row>
        <row r="45">
          <cell r="A45" t="str">
            <v>D3.2</v>
          </cell>
          <cell r="B45" t="str">
            <v>opłaty stanowiące dochody własne jednostek samorządu terytorialnego</v>
          </cell>
          <cell r="C45">
            <v>36</v>
          </cell>
          <cell r="D45">
            <v>36</v>
          </cell>
        </row>
        <row r="46">
          <cell r="A46" t="str">
            <v>D3.3</v>
          </cell>
          <cell r="B46" t="str">
            <v>VAT</v>
          </cell>
          <cell r="C46">
            <v>0</v>
          </cell>
          <cell r="D46">
            <v>0</v>
          </cell>
        </row>
        <row r="47">
          <cell r="A47" t="str">
            <v>D3.4</v>
          </cell>
          <cell r="B47" t="str">
            <v>podatek akcyzowy</v>
          </cell>
          <cell r="C47">
            <v>0</v>
          </cell>
          <cell r="D47">
            <v>0</v>
          </cell>
        </row>
        <row r="48">
          <cell r="A48" t="str">
            <v>D3.5</v>
          </cell>
          <cell r="B48" t="str">
            <v>wpłaty na PFRON</v>
          </cell>
          <cell r="C48">
            <v>33</v>
          </cell>
          <cell r="D48">
            <v>33</v>
          </cell>
        </row>
        <row r="49">
          <cell r="A49" t="str">
            <v>D3.6</v>
          </cell>
          <cell r="B49" t="str">
            <v>inne</v>
          </cell>
          <cell r="C49">
            <v>22</v>
          </cell>
          <cell r="D49">
            <v>22</v>
          </cell>
        </row>
        <row r="50">
          <cell r="A50" t="str">
            <v>D4</v>
          </cell>
          <cell r="B50" t="str">
            <v>wynagrodzenia, w tym:</v>
          </cell>
          <cell r="C50">
            <v>19789</v>
          </cell>
          <cell r="D50">
            <v>19789</v>
          </cell>
        </row>
        <row r="51">
          <cell r="A51" t="str">
            <v>D4.1</v>
          </cell>
          <cell r="B51" t="str">
            <v>wynagrodzenia bezosobowe</v>
          </cell>
          <cell r="C51">
            <v>84</v>
          </cell>
          <cell r="D51">
            <v>84</v>
          </cell>
        </row>
        <row r="52">
          <cell r="A52" t="str">
            <v>D5</v>
          </cell>
          <cell r="B52" t="str">
            <v>ubezpieczenie społeczne i inne świadczenia, z tego:</v>
          </cell>
          <cell r="C52">
            <v>4501</v>
          </cell>
          <cell r="D52">
            <v>4501</v>
          </cell>
        </row>
        <row r="53">
          <cell r="A53" t="str">
            <v>D5.1</v>
          </cell>
          <cell r="B53" t="str">
            <v>składki na Fundusz Ubezpieczeń Społecznych</v>
          </cell>
          <cell r="C53">
            <v>3396</v>
          </cell>
          <cell r="D53">
            <v>3396</v>
          </cell>
        </row>
        <row r="54">
          <cell r="A54" t="str">
            <v>D5.2</v>
          </cell>
          <cell r="B54" t="str">
            <v>składki na Fundusz Pracy</v>
          </cell>
          <cell r="C54">
            <v>486</v>
          </cell>
          <cell r="D54">
            <v>486</v>
          </cell>
        </row>
        <row r="55">
          <cell r="A55" t="str">
            <v>D5.3</v>
          </cell>
          <cell r="B55" t="str">
            <v>składki na Fundusz Gwarantowanych Świadczeń Pracowniczych</v>
          </cell>
          <cell r="C55">
            <v>0</v>
          </cell>
          <cell r="D55">
            <v>0</v>
          </cell>
        </row>
        <row r="56">
          <cell r="A56" t="str">
            <v>D5.4</v>
          </cell>
          <cell r="B56" t="str">
            <v>pozostałe świadczenia</v>
          </cell>
          <cell r="C56">
            <v>619</v>
          </cell>
          <cell r="D56">
            <v>619</v>
          </cell>
        </row>
        <row r="57">
          <cell r="A57" t="str">
            <v>D6</v>
          </cell>
          <cell r="B57" t="str">
            <v>koszty funkcjonowania Rady Funduszu</v>
          </cell>
          <cell r="C57">
            <v>0</v>
          </cell>
          <cell r="D57">
            <v>0</v>
          </cell>
        </row>
        <row r="58">
          <cell r="A58" t="str">
            <v>D7</v>
          </cell>
          <cell r="B58" t="str">
            <v>amortyzacja środków trwałych oraz wartości niematerialnych i prawnych</v>
          </cell>
          <cell r="C58">
            <v>3600</v>
          </cell>
          <cell r="D58">
            <v>3600</v>
          </cell>
        </row>
        <row r="59">
          <cell r="A59" t="str">
            <v>D8</v>
          </cell>
          <cell r="B59" t="str">
            <v>pozostałe koszty administracyjne</v>
          </cell>
          <cell r="C59">
            <v>235</v>
          </cell>
          <cell r="D59">
            <v>235</v>
          </cell>
        </row>
        <row r="60">
          <cell r="A60" t="str">
            <v>F</v>
          </cell>
          <cell r="B60" t="str">
            <v>Pozostałe koszty (F1+...+F4)</v>
          </cell>
          <cell r="C60">
            <v>8332</v>
          </cell>
          <cell r="D60">
            <v>8332</v>
          </cell>
        </row>
        <row r="61">
          <cell r="A61" t="str">
            <v>F1</v>
          </cell>
          <cell r="B61" t="str">
            <v>wydanie i utrzymanie kart ubezpieczenia (w tym części stałych i zamiennych książeczek usług medycznych) oraz recept</v>
          </cell>
          <cell r="C61">
            <v>59</v>
          </cell>
          <cell r="D61">
            <v>59</v>
          </cell>
        </row>
        <row r="62">
          <cell r="A62" t="str">
            <v>F2</v>
          </cell>
          <cell r="B62" t="str">
            <v>rezerwa na zobowiązania wynikające z postępowań sądowych</v>
          </cell>
          <cell r="C62">
            <v>6273</v>
          </cell>
          <cell r="D62">
            <v>6273</v>
          </cell>
        </row>
        <row r="63">
          <cell r="A63" t="str">
            <v>F3</v>
          </cell>
          <cell r="B63" t="str">
            <v>inne rezerwy</v>
          </cell>
          <cell r="C63">
            <v>0</v>
          </cell>
          <cell r="D63">
            <v>0</v>
          </cell>
        </row>
        <row r="64">
          <cell r="A64" t="str">
            <v>F4</v>
          </cell>
          <cell r="B64" t="str">
            <v>inne koszty</v>
          </cell>
          <cell r="C64">
            <v>2000</v>
          </cell>
          <cell r="D64">
            <v>2000</v>
          </cell>
        </row>
        <row r="65">
          <cell r="A65" t="str">
            <v>H</v>
          </cell>
          <cell r="B65" t="str">
            <v>Koszty finansowe</v>
          </cell>
          <cell r="C65">
            <v>3970</v>
          </cell>
          <cell r="D65">
            <v>3970</v>
          </cell>
        </row>
      </sheetData>
      <sheetData sheetId="14">
        <row r="7">
          <cell r="A7" t="str">
            <v>B2.1</v>
          </cell>
          <cell r="B7" t="str">
            <v>podstawowa opieka zdrowotna</v>
          </cell>
          <cell r="C7">
            <v>1214388</v>
          </cell>
          <cell r="D7">
            <v>1214388</v>
          </cell>
        </row>
        <row r="8">
          <cell r="A8" t="str">
            <v>B2.2</v>
          </cell>
          <cell r="B8" t="str">
            <v>ambulatoryjna opieka specjalistyczna</v>
          </cell>
          <cell r="C8">
            <v>753998</v>
          </cell>
          <cell r="D8">
            <v>753998</v>
          </cell>
        </row>
        <row r="9">
          <cell r="A9" t="str">
            <v>B2.3</v>
          </cell>
          <cell r="B9" t="str">
            <v>leczenie szpitalne, w tym:</v>
          </cell>
          <cell r="C9">
            <v>4563615</v>
          </cell>
          <cell r="D9">
            <v>4563615</v>
          </cell>
        </row>
        <row r="10">
          <cell r="A10" t="str">
            <v>B2.3.1</v>
          </cell>
          <cell r="B10" t="str">
            <v>programy terapeutyczne (lekowe), w tym:</v>
          </cell>
          <cell r="C10">
            <v>449136</v>
          </cell>
          <cell r="D10">
            <v>449136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405637</v>
          </cell>
          <cell r="D11">
            <v>405637</v>
          </cell>
        </row>
        <row r="12">
          <cell r="A12" t="str">
            <v>B2.3.2</v>
          </cell>
          <cell r="B12" t="str">
            <v>chemioterapia, w tym:</v>
          </cell>
          <cell r="C12">
            <v>169299</v>
          </cell>
          <cell r="D12">
            <v>169299</v>
          </cell>
        </row>
        <row r="13">
          <cell r="A13" t="str">
            <v>B2.3.2.1</v>
          </cell>
          <cell r="B13" t="str">
            <v>leki stosowane w chemioterapii</v>
          </cell>
          <cell r="C13">
            <v>74143</v>
          </cell>
          <cell r="D13">
            <v>74143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334521</v>
          </cell>
          <cell r="D14">
            <v>334521</v>
          </cell>
        </row>
        <row r="15">
          <cell r="A15" t="str">
            <v>B2.5</v>
          </cell>
          <cell r="B15" t="str">
            <v>rehabilitacja lecznicza</v>
          </cell>
          <cell r="C15">
            <v>275782</v>
          </cell>
          <cell r="D15">
            <v>275782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248587</v>
          </cell>
          <cell r="D16">
            <v>248587</v>
          </cell>
        </row>
        <row r="17">
          <cell r="A17" t="str">
            <v>B2.7</v>
          </cell>
          <cell r="B17" t="str">
            <v>opieka paliatywna i hospicyjna</v>
          </cell>
          <cell r="C17">
            <v>81905</v>
          </cell>
          <cell r="D17">
            <v>81905</v>
          </cell>
        </row>
        <row r="18">
          <cell r="A18" t="str">
            <v>B2.8</v>
          </cell>
          <cell r="B18" t="str">
            <v>leczenie stomatologiczne</v>
          </cell>
          <cell r="C18">
            <v>196654</v>
          </cell>
          <cell r="D18">
            <v>196654</v>
          </cell>
        </row>
        <row r="19">
          <cell r="A19" t="str">
            <v>B2.9</v>
          </cell>
          <cell r="B19" t="str">
            <v>lecznictwo uzdrowiskowe</v>
          </cell>
          <cell r="C19">
            <v>73300</v>
          </cell>
          <cell r="D19">
            <v>73300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4794</v>
          </cell>
          <cell r="D20">
            <v>4794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32975</v>
          </cell>
          <cell r="D21">
            <v>32975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243543</v>
          </cell>
          <cell r="D22">
            <v>243543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149437</v>
          </cell>
          <cell r="D23">
            <v>149437</v>
          </cell>
        </row>
        <row r="24">
          <cell r="A24" t="str">
            <v>B2.14</v>
          </cell>
          <cell r="B24" t="str">
            <v>refundacja, z tego:</v>
          </cell>
          <cell r="C24">
            <v>1047671</v>
          </cell>
          <cell r="D24">
            <v>1047671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1045774</v>
          </cell>
          <cell r="D25">
            <v>1045774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1029</v>
          </cell>
          <cell r="D26">
            <v>1029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868</v>
          </cell>
          <cell r="D27">
            <v>868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21790</v>
          </cell>
          <cell r="D32">
            <v>21790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7709</v>
          </cell>
          <cell r="D34">
            <v>7709</v>
          </cell>
        </row>
        <row r="35">
          <cell r="A35" t="str">
            <v>B3</v>
          </cell>
          <cell r="B35" t="str">
            <v xml:space="preserve">Koszty programów polityki zdrowotnej realizowanych na zlecenie </v>
          </cell>
          <cell r="C35">
            <v>0</v>
          </cell>
          <cell r="D35">
            <v>228</v>
          </cell>
        </row>
        <row r="36">
          <cell r="A36" t="str">
            <v>B4</v>
          </cell>
          <cell r="B36" t="str">
            <v>Koszty realizacji zadań zespołów ratownictwa medycznego</v>
          </cell>
          <cell r="C36">
            <v>206284</v>
          </cell>
          <cell r="D36">
            <v>206284</v>
          </cell>
        </row>
        <row r="37">
          <cell r="A37" t="str">
            <v>B5</v>
          </cell>
          <cell r="B37" t="str">
            <v>Koszty finansowania leku, środka spożywczego specjalnego przeznaczenia żywieniowego oraz wyrobu medycznego w części finansowanej z budżetu państwa zgodnie z art. 43a ust. 3 ustawy</v>
          </cell>
          <cell r="C37">
            <v>70785</v>
          </cell>
          <cell r="D37">
            <v>70785</v>
          </cell>
        </row>
        <row r="38">
          <cell r="A38" t="str">
            <v>Bn</v>
          </cell>
          <cell r="B38" t="str">
            <v>Całkowity budżet na refundację
(B2.3.1.1+B2.3.2.1+B2.14+B2.16.1)</v>
          </cell>
          <cell r="C38">
            <v>1527451</v>
          </cell>
          <cell r="D38">
            <v>1527451</v>
          </cell>
        </row>
        <row r="39">
          <cell r="A39" t="str">
            <v>D.</v>
          </cell>
          <cell r="B39" t="str">
            <v>Koszty administracyjne ( D1+...+D8 )</v>
          </cell>
          <cell r="C39">
            <v>66153</v>
          </cell>
          <cell r="D39">
            <v>66153</v>
          </cell>
        </row>
        <row r="40">
          <cell r="A40" t="str">
            <v>D1</v>
          </cell>
          <cell r="B40" t="str">
            <v>zużycie materiałów i energii</v>
          </cell>
          <cell r="C40">
            <v>2584</v>
          </cell>
          <cell r="D40">
            <v>2584</v>
          </cell>
        </row>
        <row r="41">
          <cell r="A41" t="str">
            <v>D2</v>
          </cell>
          <cell r="B41" t="str">
            <v>usługi obce</v>
          </cell>
          <cell r="C41">
            <v>8307</v>
          </cell>
          <cell r="D41">
            <v>8307</v>
          </cell>
        </row>
        <row r="42">
          <cell r="A42" t="str">
            <v>D3</v>
          </cell>
          <cell r="B42" t="str">
            <v>podatki i opłaty, z tego</v>
          </cell>
          <cell r="C42">
            <v>607</v>
          </cell>
          <cell r="D42">
            <v>607</v>
          </cell>
        </row>
        <row r="43">
          <cell r="A43" t="str">
            <v>D3.1</v>
          </cell>
          <cell r="B43" t="str">
            <v>podatki stanowiące dochody własne jednostek samorządu terytorialnego, w tym:</v>
          </cell>
          <cell r="C43">
            <v>122</v>
          </cell>
          <cell r="D43">
            <v>122</v>
          </cell>
        </row>
        <row r="44">
          <cell r="A44" t="str">
            <v>D3.1.1</v>
          </cell>
          <cell r="B44" t="str">
            <v>podatek od nieruchomości</v>
          </cell>
          <cell r="C44">
            <v>122</v>
          </cell>
          <cell r="D44">
            <v>122</v>
          </cell>
        </row>
        <row r="45">
          <cell r="A45" t="str">
            <v>D3.2</v>
          </cell>
          <cell r="B45" t="str">
            <v>opłaty stanowiące dochody własne jednostek samorządu terytorialnego</v>
          </cell>
          <cell r="C45">
            <v>10</v>
          </cell>
          <cell r="D45">
            <v>10</v>
          </cell>
        </row>
        <row r="46">
          <cell r="A46" t="str">
            <v>D3.3</v>
          </cell>
          <cell r="B46" t="str">
            <v>VAT</v>
          </cell>
          <cell r="C46">
            <v>4</v>
          </cell>
          <cell r="D46">
            <v>4</v>
          </cell>
        </row>
        <row r="47">
          <cell r="A47" t="str">
            <v>D3.4</v>
          </cell>
          <cell r="B47" t="str">
            <v>podatek akcyzowy</v>
          </cell>
          <cell r="C47">
            <v>0</v>
          </cell>
          <cell r="D47">
            <v>0</v>
          </cell>
        </row>
        <row r="48">
          <cell r="A48" t="str">
            <v>D3.5</v>
          </cell>
          <cell r="B48" t="str">
            <v>wpłaty na PFRON</v>
          </cell>
          <cell r="C48">
            <v>450</v>
          </cell>
          <cell r="D48">
            <v>450</v>
          </cell>
        </row>
        <row r="49">
          <cell r="A49" t="str">
            <v>D3.6</v>
          </cell>
          <cell r="B49" t="str">
            <v>inne</v>
          </cell>
          <cell r="C49">
            <v>21</v>
          </cell>
          <cell r="D49">
            <v>21</v>
          </cell>
        </row>
        <row r="50">
          <cell r="A50" t="str">
            <v>D4</v>
          </cell>
          <cell r="B50" t="str">
            <v>wynagrodzenia, w tym:</v>
          </cell>
          <cell r="C50">
            <v>39940</v>
          </cell>
          <cell r="D50">
            <v>39940</v>
          </cell>
        </row>
        <row r="51">
          <cell r="A51" t="str">
            <v>D4.1</v>
          </cell>
          <cell r="B51" t="str">
            <v>wynagrodzenia bezosobowe</v>
          </cell>
          <cell r="C51">
            <v>120</v>
          </cell>
          <cell r="D51">
            <v>120</v>
          </cell>
        </row>
        <row r="52">
          <cell r="A52" t="str">
            <v>D5</v>
          </cell>
          <cell r="B52" t="str">
            <v>ubezpieczenie społeczne i inne świadczenia, z tego:</v>
          </cell>
          <cell r="C52">
            <v>8969</v>
          </cell>
          <cell r="D52">
            <v>8969</v>
          </cell>
        </row>
        <row r="53">
          <cell r="A53" t="str">
            <v>D5.1</v>
          </cell>
          <cell r="B53" t="str">
            <v>składki na Fundusz Ubezpieczeń Społecznych</v>
          </cell>
          <cell r="C53">
            <v>6858</v>
          </cell>
          <cell r="D53">
            <v>6858</v>
          </cell>
        </row>
        <row r="54">
          <cell r="A54" t="str">
            <v>D5.2</v>
          </cell>
          <cell r="B54" t="str">
            <v>składki na Fundusz Pracy</v>
          </cell>
          <cell r="C54">
            <v>979</v>
          </cell>
          <cell r="D54">
            <v>979</v>
          </cell>
        </row>
        <row r="55">
          <cell r="A55" t="str">
            <v>D5.3</v>
          </cell>
          <cell r="B55" t="str">
            <v>składki na Fundusz Gwarantowanych Świadczeń Pracowniczych</v>
          </cell>
          <cell r="C55">
            <v>0</v>
          </cell>
          <cell r="D55">
            <v>0</v>
          </cell>
        </row>
        <row r="56">
          <cell r="A56" t="str">
            <v>D5.4</v>
          </cell>
          <cell r="B56" t="str">
            <v>pozostałe świadczenia</v>
          </cell>
          <cell r="C56">
            <v>1132</v>
          </cell>
          <cell r="D56">
            <v>1132</v>
          </cell>
        </row>
        <row r="57">
          <cell r="A57" t="str">
            <v>D6</v>
          </cell>
          <cell r="B57" t="str">
            <v>koszty funkcjonowania Rady Funduszu</v>
          </cell>
          <cell r="C57">
            <v>0</v>
          </cell>
          <cell r="D57">
            <v>0</v>
          </cell>
        </row>
        <row r="58">
          <cell r="A58" t="str">
            <v>D7</v>
          </cell>
          <cell r="B58" t="str">
            <v>amortyzacja środków trwałych oraz wartości niematerialnych i prawnych</v>
          </cell>
          <cell r="C58">
            <v>5444</v>
          </cell>
          <cell r="D58">
            <v>5444</v>
          </cell>
        </row>
        <row r="59">
          <cell r="A59" t="str">
            <v>D8</v>
          </cell>
          <cell r="B59" t="str">
            <v>pozostałe koszty administracyjne</v>
          </cell>
          <cell r="C59">
            <v>302</v>
          </cell>
          <cell r="D59">
            <v>302</v>
          </cell>
        </row>
        <row r="60">
          <cell r="A60" t="str">
            <v>F</v>
          </cell>
          <cell r="B60" t="str">
            <v>Pozostałe koszty (F1+...+F4)</v>
          </cell>
          <cell r="C60">
            <v>2968</v>
          </cell>
          <cell r="D60">
            <v>2968</v>
          </cell>
        </row>
        <row r="61">
          <cell r="A61" t="str">
            <v>F1</v>
          </cell>
          <cell r="B61" t="str">
            <v>wydanie i utrzymanie kart ubezpieczenia (w tym części stałych i zamiennych książeczek usług medycznych) oraz recept</v>
          </cell>
          <cell r="C61">
            <v>280</v>
          </cell>
          <cell r="D61">
            <v>280</v>
          </cell>
        </row>
        <row r="62">
          <cell r="A62" t="str">
            <v>F2</v>
          </cell>
          <cell r="B62" t="str">
            <v>rezerwa na zobowiązania wynikające z postępowań sądowych</v>
          </cell>
          <cell r="C62">
            <v>1828</v>
          </cell>
          <cell r="D62">
            <v>1828</v>
          </cell>
        </row>
        <row r="63">
          <cell r="A63" t="str">
            <v>F3</v>
          </cell>
          <cell r="B63" t="str">
            <v>inne rezerwy</v>
          </cell>
          <cell r="C63">
            <v>0</v>
          </cell>
          <cell r="D63">
            <v>0</v>
          </cell>
        </row>
        <row r="64">
          <cell r="A64" t="str">
            <v>F4</v>
          </cell>
          <cell r="B64" t="str">
            <v>inne koszty</v>
          </cell>
          <cell r="C64">
            <v>860</v>
          </cell>
          <cell r="D64">
            <v>860</v>
          </cell>
        </row>
        <row r="65">
          <cell r="A65" t="str">
            <v>H</v>
          </cell>
          <cell r="B65" t="str">
            <v>Koszty finansowe</v>
          </cell>
          <cell r="C65">
            <v>1355</v>
          </cell>
          <cell r="D65">
            <v>1355</v>
          </cell>
        </row>
      </sheetData>
      <sheetData sheetId="15">
        <row r="7">
          <cell r="A7" t="str">
            <v>B2.1</v>
          </cell>
          <cell r="B7" t="str">
            <v>podstawowa opieka zdrowotna</v>
          </cell>
          <cell r="C7">
            <v>315973</v>
          </cell>
          <cell r="D7">
            <v>315973</v>
          </cell>
        </row>
        <row r="8">
          <cell r="A8" t="str">
            <v>B2.2</v>
          </cell>
          <cell r="B8" t="str">
            <v>ambulatoryjna opieka specjalistyczna</v>
          </cell>
          <cell r="C8">
            <v>168659</v>
          </cell>
          <cell r="D8">
            <v>168659</v>
          </cell>
        </row>
        <row r="9">
          <cell r="A9" t="str">
            <v>B2.3</v>
          </cell>
          <cell r="B9" t="str">
            <v>leczenie szpitalne, w tym:</v>
          </cell>
          <cell r="C9">
            <v>1300128</v>
          </cell>
          <cell r="D9">
            <v>1300128</v>
          </cell>
        </row>
        <row r="10">
          <cell r="A10" t="str">
            <v>B2.3.1</v>
          </cell>
          <cell r="B10" t="str">
            <v>programy terapeutyczne (lekowe), w tym:</v>
          </cell>
          <cell r="C10">
            <v>114023</v>
          </cell>
          <cell r="D10">
            <v>114023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99736</v>
          </cell>
          <cell r="D11">
            <v>99736</v>
          </cell>
        </row>
        <row r="12">
          <cell r="A12" t="str">
            <v>B2.3.2</v>
          </cell>
          <cell r="B12" t="str">
            <v>chemioterapia, w tym:</v>
          </cell>
          <cell r="C12">
            <v>55998</v>
          </cell>
          <cell r="D12">
            <v>55998</v>
          </cell>
        </row>
        <row r="13">
          <cell r="A13" t="str">
            <v>B2.3.2.1</v>
          </cell>
          <cell r="B13" t="str">
            <v>leki stosowane w chemioterapii</v>
          </cell>
          <cell r="C13">
            <v>27471</v>
          </cell>
          <cell r="D13">
            <v>27471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84246</v>
          </cell>
          <cell r="D14">
            <v>84246</v>
          </cell>
        </row>
        <row r="15">
          <cell r="A15" t="str">
            <v>B2.5</v>
          </cell>
          <cell r="B15" t="str">
            <v>rehabilitacja lecznicza</v>
          </cell>
          <cell r="C15">
            <v>78656</v>
          </cell>
          <cell r="D15">
            <v>78656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55311</v>
          </cell>
          <cell r="D16">
            <v>55311</v>
          </cell>
        </row>
        <row r="17">
          <cell r="A17" t="str">
            <v>B2.7</v>
          </cell>
          <cell r="B17" t="str">
            <v>opieka paliatywna i hospicyjna</v>
          </cell>
          <cell r="C17">
            <v>26578</v>
          </cell>
          <cell r="D17">
            <v>26578</v>
          </cell>
        </row>
        <row r="18">
          <cell r="A18" t="str">
            <v>B2.8</v>
          </cell>
          <cell r="B18" t="str">
            <v>leczenie stomatologiczne</v>
          </cell>
          <cell r="C18">
            <v>67365</v>
          </cell>
          <cell r="D18">
            <v>67365</v>
          </cell>
        </row>
        <row r="19">
          <cell r="A19" t="str">
            <v>B2.9</v>
          </cell>
          <cell r="B19" t="str">
            <v>lecznictwo uzdrowiskowe</v>
          </cell>
          <cell r="C19">
            <v>26084</v>
          </cell>
          <cell r="D19">
            <v>26084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1650</v>
          </cell>
          <cell r="D20">
            <v>1650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6058</v>
          </cell>
          <cell r="D21">
            <v>6058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57385</v>
          </cell>
          <cell r="D22">
            <v>57385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34540</v>
          </cell>
          <cell r="D23">
            <v>34540</v>
          </cell>
        </row>
        <row r="24">
          <cell r="A24" t="str">
            <v>B2.14</v>
          </cell>
          <cell r="B24" t="str">
            <v>refundacja, z tego:</v>
          </cell>
          <cell r="C24">
            <v>267911</v>
          </cell>
          <cell r="D24">
            <v>267911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267071</v>
          </cell>
          <cell r="D25">
            <v>267071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590</v>
          </cell>
          <cell r="D26">
            <v>590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250</v>
          </cell>
          <cell r="D27">
            <v>250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39413</v>
          </cell>
          <cell r="D32">
            <v>39413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529</v>
          </cell>
          <cell r="D34">
            <v>529</v>
          </cell>
        </row>
        <row r="35">
          <cell r="A35" t="str">
            <v>B3</v>
          </cell>
          <cell r="B35" t="str">
            <v xml:space="preserve">Koszty programów polityki zdrowotnej realizowanych na zlecenie </v>
          </cell>
          <cell r="C35">
            <v>0</v>
          </cell>
          <cell r="D35">
            <v>500</v>
          </cell>
        </row>
        <row r="36">
          <cell r="A36" t="str">
            <v>B4</v>
          </cell>
          <cell r="B36" t="str">
            <v>Koszty realizacji zadań zespołów ratownictwa medycznego</v>
          </cell>
          <cell r="C36">
            <v>59032</v>
          </cell>
          <cell r="D36">
            <v>59032</v>
          </cell>
        </row>
        <row r="37">
          <cell r="A37" t="str">
            <v>B5</v>
          </cell>
          <cell r="B37" t="str">
            <v>Koszty finansowania leku, środka spożywczego specjalnego przeznaczenia żywieniowego oraz wyrobu medycznego w części finansowanej z budżetu państwa zgodnie z art. 43a ust. 3 ustawy</v>
          </cell>
          <cell r="C37">
            <v>19516</v>
          </cell>
          <cell r="D37">
            <v>19516</v>
          </cell>
        </row>
        <row r="38">
          <cell r="A38" t="str">
            <v>Bn</v>
          </cell>
          <cell r="B38" t="str">
            <v>Całkowity budżet na refundację
(B2.3.1.1+B2.3.2.1+B2.14+B2.16.1)</v>
          </cell>
          <cell r="C38">
            <v>395118</v>
          </cell>
          <cell r="D38">
            <v>395118</v>
          </cell>
        </row>
        <row r="39">
          <cell r="A39" t="str">
            <v>D.</v>
          </cell>
          <cell r="B39" t="str">
            <v>Koszty administracyjne ( D1+...+D8 )</v>
          </cell>
          <cell r="C39">
            <v>17329</v>
          </cell>
          <cell r="D39">
            <v>17329</v>
          </cell>
        </row>
        <row r="40">
          <cell r="A40" t="str">
            <v>D1</v>
          </cell>
          <cell r="B40" t="str">
            <v>zużycie materiałów i energii</v>
          </cell>
          <cell r="C40">
            <v>619</v>
          </cell>
          <cell r="D40">
            <v>619</v>
          </cell>
        </row>
        <row r="41">
          <cell r="A41" t="str">
            <v>D2</v>
          </cell>
          <cell r="B41" t="str">
            <v>usługi obce</v>
          </cell>
          <cell r="C41">
            <v>2175</v>
          </cell>
          <cell r="D41">
            <v>2175</v>
          </cell>
        </row>
        <row r="42">
          <cell r="A42" t="str">
            <v>D3</v>
          </cell>
          <cell r="B42" t="str">
            <v>podatki i opłaty, z tego</v>
          </cell>
          <cell r="C42">
            <v>61</v>
          </cell>
          <cell r="D42">
            <v>61</v>
          </cell>
        </row>
        <row r="43">
          <cell r="A43" t="str">
            <v>D3.1</v>
          </cell>
          <cell r="B43" t="str">
            <v>podatki stanowiące dochody własne jednostek samorządu terytorialnego, w tym:</v>
          </cell>
          <cell r="C43">
            <v>7</v>
          </cell>
          <cell r="D43">
            <v>7</v>
          </cell>
        </row>
        <row r="44">
          <cell r="A44" t="str">
            <v>D3.1.1</v>
          </cell>
          <cell r="B44" t="str">
            <v>podatek od nieruchomości</v>
          </cell>
          <cell r="C44">
            <v>7</v>
          </cell>
          <cell r="D44">
            <v>7</v>
          </cell>
        </row>
        <row r="45">
          <cell r="A45" t="str">
            <v>D3.2</v>
          </cell>
          <cell r="B45" t="str">
            <v>opłaty stanowiące dochody własne jednostek samorządu terytorialnego</v>
          </cell>
          <cell r="C45">
            <v>17</v>
          </cell>
          <cell r="D45">
            <v>17</v>
          </cell>
        </row>
        <row r="46">
          <cell r="A46" t="str">
            <v>D3.3</v>
          </cell>
          <cell r="B46" t="str">
            <v>VAT</v>
          </cell>
          <cell r="C46">
            <v>0</v>
          </cell>
          <cell r="D46">
            <v>0</v>
          </cell>
        </row>
        <row r="47">
          <cell r="A47" t="str">
            <v>D3.4</v>
          </cell>
          <cell r="B47" t="str">
            <v>podatek akcyzowy</v>
          </cell>
          <cell r="C47">
            <v>0</v>
          </cell>
          <cell r="D47">
            <v>0</v>
          </cell>
        </row>
        <row r="48">
          <cell r="A48" t="str">
            <v>D3.5</v>
          </cell>
          <cell r="B48" t="str">
            <v>wpłaty na PFRON</v>
          </cell>
          <cell r="C48">
            <v>20</v>
          </cell>
          <cell r="D48">
            <v>20</v>
          </cell>
        </row>
        <row r="49">
          <cell r="A49" t="str">
            <v>D3.6</v>
          </cell>
          <cell r="B49" t="str">
            <v>inne</v>
          </cell>
          <cell r="C49">
            <v>17</v>
          </cell>
          <cell r="D49">
            <v>17</v>
          </cell>
        </row>
        <row r="50">
          <cell r="A50" t="str">
            <v>D4</v>
          </cell>
          <cell r="B50" t="str">
            <v>wynagrodzenia, w tym:</v>
          </cell>
          <cell r="C50">
            <v>11176</v>
          </cell>
          <cell r="D50">
            <v>11176</v>
          </cell>
        </row>
        <row r="51">
          <cell r="A51" t="str">
            <v>D4.1</v>
          </cell>
          <cell r="B51" t="str">
            <v>wynagrodzenia bezosobowe</v>
          </cell>
          <cell r="C51">
            <v>27</v>
          </cell>
          <cell r="D51">
            <v>27</v>
          </cell>
        </row>
        <row r="52">
          <cell r="A52" t="str">
            <v>D5</v>
          </cell>
          <cell r="B52" t="str">
            <v>ubezpieczenie społeczne i inne świadczenia, z tego:</v>
          </cell>
          <cell r="C52">
            <v>2517</v>
          </cell>
          <cell r="D52">
            <v>2517</v>
          </cell>
        </row>
        <row r="53">
          <cell r="A53" t="str">
            <v>D5.1</v>
          </cell>
          <cell r="B53" t="str">
            <v>składki na Fundusz Ubezpieczeń Społecznych</v>
          </cell>
          <cell r="C53">
            <v>1919</v>
          </cell>
          <cell r="D53">
            <v>1919</v>
          </cell>
        </row>
        <row r="54">
          <cell r="A54" t="str">
            <v>D5.2</v>
          </cell>
          <cell r="B54" t="str">
            <v>składki na Fundusz Pracy</v>
          </cell>
          <cell r="C54">
            <v>275</v>
          </cell>
          <cell r="D54">
            <v>275</v>
          </cell>
        </row>
        <row r="55">
          <cell r="A55" t="str">
            <v>D5.3</v>
          </cell>
          <cell r="B55" t="str">
            <v>składki na Fundusz Gwarantowanych Świadczeń Pracowniczych</v>
          </cell>
          <cell r="C55">
            <v>0</v>
          </cell>
          <cell r="D55">
            <v>0</v>
          </cell>
        </row>
        <row r="56">
          <cell r="A56" t="str">
            <v>D5.4</v>
          </cell>
          <cell r="B56" t="str">
            <v>pozostałe świadczenia</v>
          </cell>
          <cell r="C56">
            <v>323</v>
          </cell>
          <cell r="D56">
            <v>323</v>
          </cell>
        </row>
        <row r="57">
          <cell r="A57" t="str">
            <v>D6</v>
          </cell>
          <cell r="B57" t="str">
            <v>koszty funkcjonowania Rady Funduszu</v>
          </cell>
          <cell r="C57">
            <v>0</v>
          </cell>
          <cell r="D57">
            <v>0</v>
          </cell>
        </row>
        <row r="58">
          <cell r="A58" t="str">
            <v>D7</v>
          </cell>
          <cell r="B58" t="str">
            <v>amortyzacja środków trwałych oraz wartości niematerialnych i prawnych</v>
          </cell>
          <cell r="C58">
            <v>600</v>
          </cell>
          <cell r="D58">
            <v>600</v>
          </cell>
        </row>
        <row r="59">
          <cell r="A59" t="str">
            <v>D8</v>
          </cell>
          <cell r="B59" t="str">
            <v>pozostałe koszty administracyjne</v>
          </cell>
          <cell r="C59">
            <v>181</v>
          </cell>
          <cell r="D59">
            <v>181</v>
          </cell>
        </row>
        <row r="60">
          <cell r="A60" t="str">
            <v>F</v>
          </cell>
          <cell r="B60" t="str">
            <v>Pozostałe koszty (F1+...+F4)</v>
          </cell>
          <cell r="C60">
            <v>10839</v>
          </cell>
          <cell r="D60">
            <v>10839</v>
          </cell>
        </row>
        <row r="61">
          <cell r="A61" t="str">
            <v>F1</v>
          </cell>
          <cell r="B61" t="str">
            <v>wydanie i utrzymanie kart ubezpieczenia (w tym części stałych i zamiennych książeczek usług medycznych) oraz recept</v>
          </cell>
          <cell r="C61">
            <v>0</v>
          </cell>
          <cell r="D61">
            <v>0</v>
          </cell>
        </row>
        <row r="62">
          <cell r="A62" t="str">
            <v>F2</v>
          </cell>
          <cell r="B62" t="str">
            <v>rezerwa na zobowiązania wynikające z postępowań sądowych</v>
          </cell>
          <cell r="C62">
            <v>10239</v>
          </cell>
          <cell r="D62">
            <v>10239</v>
          </cell>
        </row>
        <row r="63">
          <cell r="A63" t="str">
            <v>F3</v>
          </cell>
          <cell r="B63" t="str">
            <v>inne rezerwy</v>
          </cell>
          <cell r="C63">
            <v>0</v>
          </cell>
          <cell r="D63">
            <v>0</v>
          </cell>
        </row>
        <row r="64">
          <cell r="A64" t="str">
            <v>F4</v>
          </cell>
          <cell r="B64" t="str">
            <v>inne koszty</v>
          </cell>
          <cell r="C64">
            <v>600</v>
          </cell>
          <cell r="D64">
            <v>600</v>
          </cell>
        </row>
        <row r="65">
          <cell r="A65" t="str">
            <v>H</v>
          </cell>
          <cell r="B65" t="str">
            <v>Koszty finansowe</v>
          </cell>
          <cell r="C65">
            <v>3885</v>
          </cell>
          <cell r="D65">
            <v>3885</v>
          </cell>
        </row>
      </sheetData>
      <sheetData sheetId="16">
        <row r="7">
          <cell r="A7" t="str">
            <v>B2.1</v>
          </cell>
          <cell r="B7" t="str">
            <v>podstawowa opieka zdrowotna</v>
          </cell>
          <cell r="C7">
            <v>368178</v>
          </cell>
          <cell r="D7">
            <v>368178</v>
          </cell>
        </row>
        <row r="8">
          <cell r="A8" t="str">
            <v>B2.2</v>
          </cell>
          <cell r="B8" t="str">
            <v>ambulatoryjna opieka specjalistyczna</v>
          </cell>
          <cell r="C8">
            <v>202098</v>
          </cell>
          <cell r="D8">
            <v>202098</v>
          </cell>
        </row>
        <row r="9">
          <cell r="A9" t="str">
            <v>B2.3</v>
          </cell>
          <cell r="B9" t="str">
            <v>leczenie szpitalne, w tym:</v>
          </cell>
          <cell r="C9">
            <v>1317750</v>
          </cell>
          <cell r="D9">
            <v>1317750</v>
          </cell>
        </row>
        <row r="10">
          <cell r="A10" t="str">
            <v>B2.3.1</v>
          </cell>
          <cell r="B10" t="str">
            <v>programy terapeutyczne (lekowe), w tym:</v>
          </cell>
          <cell r="C10">
            <v>107594</v>
          </cell>
          <cell r="D10">
            <v>107594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98075</v>
          </cell>
          <cell r="D11">
            <v>98075</v>
          </cell>
        </row>
        <row r="12">
          <cell r="A12" t="str">
            <v>B2.3.2</v>
          </cell>
          <cell r="B12" t="str">
            <v>chemioterapia, w tym:</v>
          </cell>
          <cell r="C12">
            <v>44043</v>
          </cell>
          <cell r="D12">
            <v>44043</v>
          </cell>
        </row>
        <row r="13">
          <cell r="A13" t="str">
            <v>B2.3.2.1</v>
          </cell>
          <cell r="B13" t="str">
            <v>leki stosowane w chemioterapii</v>
          </cell>
          <cell r="C13">
            <v>20777</v>
          </cell>
          <cell r="D13">
            <v>20777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98627</v>
          </cell>
          <cell r="D14">
            <v>98627</v>
          </cell>
        </row>
        <row r="15">
          <cell r="A15" t="str">
            <v>B2.5</v>
          </cell>
          <cell r="B15" t="str">
            <v>rehabilitacja lecznicza</v>
          </cell>
          <cell r="C15">
            <v>76730</v>
          </cell>
          <cell r="D15">
            <v>76730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43307</v>
          </cell>
          <cell r="D16">
            <v>43307</v>
          </cell>
        </row>
        <row r="17">
          <cell r="A17" t="str">
            <v>B2.7</v>
          </cell>
          <cell r="B17" t="str">
            <v>opieka paliatywna i hospicyjna</v>
          </cell>
          <cell r="C17">
            <v>22078</v>
          </cell>
          <cell r="D17">
            <v>22078</v>
          </cell>
        </row>
        <row r="18">
          <cell r="A18" t="str">
            <v>B2.8</v>
          </cell>
          <cell r="B18" t="str">
            <v>leczenie stomatologiczne</v>
          </cell>
          <cell r="C18">
            <v>83799</v>
          </cell>
          <cell r="D18">
            <v>83799</v>
          </cell>
        </row>
        <row r="19">
          <cell r="A19" t="str">
            <v>B2.9</v>
          </cell>
          <cell r="B19" t="str">
            <v>lecznictwo uzdrowiskowe</v>
          </cell>
          <cell r="C19">
            <v>21202</v>
          </cell>
          <cell r="D19">
            <v>21202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2961</v>
          </cell>
          <cell r="D20">
            <v>2961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6380</v>
          </cell>
          <cell r="D21">
            <v>6380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74152</v>
          </cell>
          <cell r="D22">
            <v>74152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35008</v>
          </cell>
          <cell r="D23">
            <v>35008</v>
          </cell>
        </row>
        <row r="24">
          <cell r="A24" t="str">
            <v>B2.14</v>
          </cell>
          <cell r="B24" t="str">
            <v>refundacja, z tego:</v>
          </cell>
          <cell r="C24">
            <v>284974</v>
          </cell>
          <cell r="D24">
            <v>284974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284304</v>
          </cell>
          <cell r="D25">
            <v>284304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520</v>
          </cell>
          <cell r="D26">
            <v>520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150</v>
          </cell>
          <cell r="D27">
            <v>150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11968</v>
          </cell>
          <cell r="D32">
            <v>11968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500</v>
          </cell>
          <cell r="D34">
            <v>500</v>
          </cell>
        </row>
        <row r="35">
          <cell r="A35" t="str">
            <v>B3</v>
          </cell>
          <cell r="B35" t="str">
            <v xml:space="preserve">Koszty programów polityki zdrowotnej realizowanych na zlecenie </v>
          </cell>
          <cell r="C35">
            <v>0</v>
          </cell>
          <cell r="D35">
            <v>0</v>
          </cell>
        </row>
        <row r="36">
          <cell r="A36" t="str">
            <v>B4</v>
          </cell>
          <cell r="B36" t="str">
            <v>Koszty realizacji zadań zespołów ratownictwa medycznego</v>
          </cell>
          <cell r="C36">
            <v>95131</v>
          </cell>
          <cell r="D36">
            <v>95131</v>
          </cell>
        </row>
        <row r="37">
          <cell r="A37" t="str">
            <v>B5</v>
          </cell>
          <cell r="B37" t="str">
            <v>Koszty finansowania leku, środka spożywczego specjalnego przeznaczenia żywieniowego oraz wyrobu medycznego w części finansowanej z budżetu państwa zgodnie z art. 43a ust. 3 ustawy</v>
          </cell>
          <cell r="C37">
            <v>19324</v>
          </cell>
          <cell r="D37">
            <v>19324</v>
          </cell>
        </row>
        <row r="38">
          <cell r="A38" t="str">
            <v>Bn</v>
          </cell>
          <cell r="B38" t="str">
            <v>Całkowity budżet na refundację
(B2.3.1.1+B2.3.2.1+B2.14+B2.16.1)</v>
          </cell>
          <cell r="C38">
            <v>403826</v>
          </cell>
          <cell r="D38">
            <v>403826</v>
          </cell>
        </row>
        <row r="39">
          <cell r="A39" t="str">
            <v>D.</v>
          </cell>
          <cell r="B39" t="str">
            <v>Koszty administracyjne ( D1+...+D8 )</v>
          </cell>
          <cell r="C39">
            <v>19510</v>
          </cell>
          <cell r="D39">
            <v>19510</v>
          </cell>
        </row>
        <row r="40">
          <cell r="A40" t="str">
            <v>D1</v>
          </cell>
          <cell r="B40" t="str">
            <v>zużycie materiałów i energii</v>
          </cell>
          <cell r="C40">
            <v>605</v>
          </cell>
          <cell r="D40">
            <v>605</v>
          </cell>
        </row>
        <row r="41">
          <cell r="A41" t="str">
            <v>D2</v>
          </cell>
          <cell r="B41" t="str">
            <v>usługi obce</v>
          </cell>
          <cell r="C41">
            <v>2345</v>
          </cell>
          <cell r="D41">
            <v>2345</v>
          </cell>
        </row>
        <row r="42">
          <cell r="A42" t="str">
            <v>D3</v>
          </cell>
          <cell r="B42" t="str">
            <v>podatki i opłaty, z tego</v>
          </cell>
          <cell r="C42">
            <v>136</v>
          </cell>
          <cell r="D42">
            <v>136</v>
          </cell>
        </row>
        <row r="43">
          <cell r="A43" t="str">
            <v>D3.1</v>
          </cell>
          <cell r="B43" t="str">
            <v>podatki stanowiące dochody własne jednostek samorządu terytorialnego, w tym:</v>
          </cell>
          <cell r="C43">
            <v>30</v>
          </cell>
          <cell r="D43">
            <v>30</v>
          </cell>
        </row>
        <row r="44">
          <cell r="A44" t="str">
            <v>D3.1.1</v>
          </cell>
          <cell r="B44" t="str">
            <v>podatek od nieruchomości</v>
          </cell>
          <cell r="C44">
            <v>27</v>
          </cell>
          <cell r="D44">
            <v>27</v>
          </cell>
        </row>
        <row r="45">
          <cell r="A45" t="str">
            <v>D3.2</v>
          </cell>
          <cell r="B45" t="str">
            <v>opłaty stanowiące dochody własne jednostek samorządu terytorialnego</v>
          </cell>
          <cell r="C45">
            <v>9</v>
          </cell>
          <cell r="D45">
            <v>9</v>
          </cell>
        </row>
        <row r="46">
          <cell r="A46" t="str">
            <v>D3.3</v>
          </cell>
          <cell r="B46" t="str">
            <v>VAT</v>
          </cell>
          <cell r="C46">
            <v>0</v>
          </cell>
          <cell r="D46">
            <v>0</v>
          </cell>
        </row>
        <row r="47">
          <cell r="A47" t="str">
            <v>D3.4</v>
          </cell>
          <cell r="B47" t="str">
            <v>podatek akcyzowy</v>
          </cell>
          <cell r="C47">
            <v>0</v>
          </cell>
          <cell r="D47">
            <v>0</v>
          </cell>
        </row>
        <row r="48">
          <cell r="A48" t="str">
            <v>D3.5</v>
          </cell>
          <cell r="B48" t="str">
            <v>wpłaty na PFRON</v>
          </cell>
          <cell r="C48">
            <v>94</v>
          </cell>
          <cell r="D48">
            <v>94</v>
          </cell>
        </row>
        <row r="49">
          <cell r="A49" t="str">
            <v>D3.6</v>
          </cell>
          <cell r="B49" t="str">
            <v>inne</v>
          </cell>
          <cell r="C49">
            <v>3</v>
          </cell>
          <cell r="D49">
            <v>3</v>
          </cell>
        </row>
        <row r="50">
          <cell r="A50" t="str">
            <v>D4</v>
          </cell>
          <cell r="B50" t="str">
            <v>wynagrodzenia, w tym:</v>
          </cell>
          <cell r="C50">
            <v>11662</v>
          </cell>
          <cell r="D50">
            <v>11662</v>
          </cell>
        </row>
        <row r="51">
          <cell r="A51" t="str">
            <v>D4.1</v>
          </cell>
          <cell r="B51" t="str">
            <v>wynagrodzenia bezosobowe</v>
          </cell>
          <cell r="C51">
            <v>30</v>
          </cell>
          <cell r="D51">
            <v>30</v>
          </cell>
        </row>
        <row r="52">
          <cell r="A52" t="str">
            <v>D5</v>
          </cell>
          <cell r="B52" t="str">
            <v>ubezpieczenie społeczne i inne świadczenia, z tego:</v>
          </cell>
          <cell r="C52">
            <v>2617</v>
          </cell>
          <cell r="D52">
            <v>2617</v>
          </cell>
        </row>
        <row r="53">
          <cell r="A53" t="str">
            <v>D5.1</v>
          </cell>
          <cell r="B53" t="str">
            <v>składki na Fundusz Ubezpieczeń Społecznych</v>
          </cell>
          <cell r="C53">
            <v>2003</v>
          </cell>
          <cell r="D53">
            <v>2003</v>
          </cell>
        </row>
        <row r="54">
          <cell r="A54" t="str">
            <v>D5.2</v>
          </cell>
          <cell r="B54" t="str">
            <v>składki na Fundusz Pracy</v>
          </cell>
          <cell r="C54">
            <v>285</v>
          </cell>
          <cell r="D54">
            <v>285</v>
          </cell>
        </row>
        <row r="55">
          <cell r="A55" t="str">
            <v>D5.3</v>
          </cell>
          <cell r="B55" t="str">
            <v>składki na Fundusz Gwarantowanych Świadczeń Pracowniczych</v>
          </cell>
          <cell r="C55">
            <v>0</v>
          </cell>
          <cell r="D55">
            <v>0</v>
          </cell>
        </row>
        <row r="56">
          <cell r="A56" t="str">
            <v>D5.4</v>
          </cell>
          <cell r="B56" t="str">
            <v>pozostałe świadczenia</v>
          </cell>
          <cell r="C56">
            <v>329</v>
          </cell>
          <cell r="D56">
            <v>329</v>
          </cell>
        </row>
        <row r="57">
          <cell r="A57" t="str">
            <v>D6</v>
          </cell>
          <cell r="B57" t="str">
            <v>koszty funkcjonowania Rady Funduszu</v>
          </cell>
          <cell r="C57">
            <v>0</v>
          </cell>
          <cell r="D57">
            <v>0</v>
          </cell>
        </row>
        <row r="58">
          <cell r="A58" t="str">
            <v>D7</v>
          </cell>
          <cell r="B58" t="str">
            <v>amortyzacja środków trwałych oraz wartości niematerialnych i prawnych</v>
          </cell>
          <cell r="C58">
            <v>1980</v>
          </cell>
          <cell r="D58">
            <v>1980</v>
          </cell>
        </row>
        <row r="59">
          <cell r="A59" t="str">
            <v>D8</v>
          </cell>
          <cell r="B59" t="str">
            <v>pozostałe koszty administracyjne</v>
          </cell>
          <cell r="C59">
            <v>165</v>
          </cell>
          <cell r="D59">
            <v>165</v>
          </cell>
        </row>
        <row r="60">
          <cell r="A60" t="str">
            <v>F</v>
          </cell>
          <cell r="B60" t="str">
            <v>Pozostałe koszty (F1+...+F4)</v>
          </cell>
          <cell r="C60">
            <v>946</v>
          </cell>
          <cell r="D60">
            <v>946</v>
          </cell>
        </row>
        <row r="61">
          <cell r="A61" t="str">
            <v>F1</v>
          </cell>
          <cell r="B61" t="str">
            <v>wydanie i utrzymanie kart ubezpieczenia (w tym części stałych i zamiennych książeczek usług medycznych) oraz recept</v>
          </cell>
          <cell r="C61">
            <v>0</v>
          </cell>
          <cell r="D61">
            <v>0</v>
          </cell>
        </row>
        <row r="62">
          <cell r="A62" t="str">
            <v>F2</v>
          </cell>
          <cell r="B62" t="str">
            <v>rezerwa na zobowiązania wynikające z postępowań sądowych</v>
          </cell>
          <cell r="C62">
            <v>209</v>
          </cell>
          <cell r="D62">
            <v>209</v>
          </cell>
        </row>
        <row r="63">
          <cell r="A63" t="str">
            <v>F3</v>
          </cell>
          <cell r="B63" t="str">
            <v>inne rezerwy</v>
          </cell>
          <cell r="C63">
            <v>0</v>
          </cell>
          <cell r="D63">
            <v>0</v>
          </cell>
        </row>
        <row r="64">
          <cell r="A64" t="str">
            <v>F4</v>
          </cell>
          <cell r="B64" t="str">
            <v>inne koszty</v>
          </cell>
          <cell r="C64">
            <v>737</v>
          </cell>
          <cell r="D64">
            <v>737</v>
          </cell>
        </row>
        <row r="65">
          <cell r="A65" t="str">
            <v>H</v>
          </cell>
          <cell r="B65" t="str">
            <v>Koszty finansowe</v>
          </cell>
          <cell r="C65">
            <v>45</v>
          </cell>
          <cell r="D65">
            <v>45</v>
          </cell>
        </row>
      </sheetData>
      <sheetData sheetId="17">
        <row r="7">
          <cell r="A7" t="str">
            <v>B2.1</v>
          </cell>
          <cell r="B7" t="str">
            <v>podstawowa opieka zdrowotna</v>
          </cell>
          <cell r="C7">
            <v>942844</v>
          </cell>
          <cell r="D7">
            <v>942844</v>
          </cell>
        </row>
        <row r="8">
          <cell r="A8" t="str">
            <v>B2.2</v>
          </cell>
          <cell r="B8" t="str">
            <v>ambulatoryjna opieka specjalistyczna</v>
          </cell>
          <cell r="C8">
            <v>527368</v>
          </cell>
          <cell r="D8">
            <v>527368</v>
          </cell>
        </row>
        <row r="9">
          <cell r="A9" t="str">
            <v>B2.3</v>
          </cell>
          <cell r="B9" t="str">
            <v>leczenie szpitalne, w tym:</v>
          </cell>
          <cell r="C9">
            <v>3419238</v>
          </cell>
          <cell r="D9">
            <v>3419238</v>
          </cell>
        </row>
        <row r="10">
          <cell r="A10" t="str">
            <v>B2.3.1</v>
          </cell>
          <cell r="B10" t="str">
            <v>programy terapeutyczne (lekowe), w tym:</v>
          </cell>
          <cell r="C10">
            <v>324340</v>
          </cell>
          <cell r="D10">
            <v>324340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299902</v>
          </cell>
          <cell r="D11">
            <v>299902</v>
          </cell>
        </row>
        <row r="12">
          <cell r="A12" t="str">
            <v>B2.3.2</v>
          </cell>
          <cell r="B12" t="str">
            <v>chemioterapia, w tym:</v>
          </cell>
          <cell r="C12">
            <v>132218</v>
          </cell>
          <cell r="D12">
            <v>132218</v>
          </cell>
        </row>
        <row r="13">
          <cell r="A13" t="str">
            <v>B2.3.2.1</v>
          </cell>
          <cell r="B13" t="str">
            <v>leki stosowane w chemioterapii</v>
          </cell>
          <cell r="C13">
            <v>63294</v>
          </cell>
          <cell r="D13">
            <v>63294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231238</v>
          </cell>
          <cell r="D14">
            <v>231238</v>
          </cell>
        </row>
        <row r="15">
          <cell r="A15" t="str">
            <v>B2.5</v>
          </cell>
          <cell r="B15" t="str">
            <v>rehabilitacja lecznicza</v>
          </cell>
          <cell r="C15">
            <v>187293</v>
          </cell>
          <cell r="D15">
            <v>187293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87978</v>
          </cell>
          <cell r="D16">
            <v>87978</v>
          </cell>
        </row>
        <row r="17">
          <cell r="A17" t="str">
            <v>B2.7</v>
          </cell>
          <cell r="B17" t="str">
            <v>opieka paliatywna i hospicyjna</v>
          </cell>
          <cell r="C17">
            <v>62823</v>
          </cell>
          <cell r="D17">
            <v>62823</v>
          </cell>
        </row>
        <row r="18">
          <cell r="A18" t="str">
            <v>B2.8</v>
          </cell>
          <cell r="B18" t="str">
            <v>leczenie stomatologiczne</v>
          </cell>
          <cell r="C18">
            <v>149436</v>
          </cell>
          <cell r="D18">
            <v>149436</v>
          </cell>
        </row>
        <row r="19">
          <cell r="A19" t="str">
            <v>B2.9</v>
          </cell>
          <cell r="B19" t="str">
            <v>lecznictwo uzdrowiskowe</v>
          </cell>
          <cell r="C19">
            <v>61500</v>
          </cell>
          <cell r="D19">
            <v>61500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3527</v>
          </cell>
          <cell r="D20">
            <v>3527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18418</v>
          </cell>
          <cell r="D21">
            <v>18418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221835</v>
          </cell>
          <cell r="D22">
            <v>221835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88000</v>
          </cell>
          <cell r="D23">
            <v>88000</v>
          </cell>
        </row>
        <row r="24">
          <cell r="A24" t="str">
            <v>B2.14</v>
          </cell>
          <cell r="B24" t="str">
            <v>refundacja, z tego:</v>
          </cell>
          <cell r="C24">
            <v>776000</v>
          </cell>
          <cell r="D24">
            <v>776000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773000</v>
          </cell>
          <cell r="D25">
            <v>773000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1500</v>
          </cell>
          <cell r="D26">
            <v>1500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1500</v>
          </cell>
          <cell r="D27">
            <v>1500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25332</v>
          </cell>
          <cell r="D32">
            <v>25332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0</v>
          </cell>
          <cell r="D34">
            <v>0</v>
          </cell>
        </row>
        <row r="35">
          <cell r="A35" t="str">
            <v>B3</v>
          </cell>
          <cell r="B35" t="str">
            <v xml:space="preserve">Koszty programów polityki zdrowotnej realizowanych na zlecenie </v>
          </cell>
          <cell r="C35">
            <v>0</v>
          </cell>
          <cell r="D35">
            <v>133</v>
          </cell>
        </row>
        <row r="36">
          <cell r="A36" t="str">
            <v>B4</v>
          </cell>
          <cell r="B36" t="str">
            <v>Koszty realizacji zadań zespołów ratownictwa medycznego</v>
          </cell>
          <cell r="C36">
            <v>151417</v>
          </cell>
          <cell r="D36">
            <v>151417</v>
          </cell>
        </row>
        <row r="37">
          <cell r="A37" t="str">
            <v>B5</v>
          </cell>
          <cell r="B37" t="str">
            <v>Koszty finansowania leku, środka spożywczego specjalnego przeznaczenia żywieniowego oraz wyrobu medycznego w części finansowanej z budżetu państwa zgodnie z art. 43a ust. 3 ustawy</v>
          </cell>
          <cell r="C37">
            <v>46347</v>
          </cell>
          <cell r="D37">
            <v>46347</v>
          </cell>
        </row>
        <row r="38">
          <cell r="A38" t="str">
            <v>Bn</v>
          </cell>
          <cell r="B38" t="str">
            <v>Całkowity budżet na refundację
(B2.3.1.1+B2.3.2.1+B2.14+B2.16.1)</v>
          </cell>
          <cell r="C38">
            <v>1139196</v>
          </cell>
          <cell r="D38">
            <v>1139196</v>
          </cell>
        </row>
        <row r="39">
          <cell r="A39" t="str">
            <v>D.</v>
          </cell>
          <cell r="B39" t="str">
            <v>Koszty administracyjne ( D1+...+D8 )</v>
          </cell>
          <cell r="C39">
            <v>44231</v>
          </cell>
          <cell r="D39">
            <v>44231</v>
          </cell>
        </row>
        <row r="40">
          <cell r="A40" t="str">
            <v>D1</v>
          </cell>
          <cell r="B40" t="str">
            <v>zużycie materiałów i energii</v>
          </cell>
          <cell r="C40">
            <v>2360</v>
          </cell>
          <cell r="D40">
            <v>2360</v>
          </cell>
        </row>
        <row r="41">
          <cell r="A41" t="str">
            <v>D2</v>
          </cell>
          <cell r="B41" t="str">
            <v>usługi obce</v>
          </cell>
          <cell r="C41">
            <v>6904</v>
          </cell>
          <cell r="D41">
            <v>6904</v>
          </cell>
        </row>
        <row r="42">
          <cell r="A42" t="str">
            <v>D3</v>
          </cell>
          <cell r="B42" t="str">
            <v>podatki i opłaty, z tego</v>
          </cell>
          <cell r="C42">
            <v>554</v>
          </cell>
          <cell r="D42">
            <v>554</v>
          </cell>
        </row>
        <row r="43">
          <cell r="A43" t="str">
            <v>D3.1</v>
          </cell>
          <cell r="B43" t="str">
            <v>podatki stanowiące dochody własne jednostek samorządu terytorialnego, w tym:</v>
          </cell>
          <cell r="C43">
            <v>52</v>
          </cell>
          <cell r="D43">
            <v>52</v>
          </cell>
        </row>
        <row r="44">
          <cell r="A44" t="str">
            <v>D3.1.1</v>
          </cell>
          <cell r="B44" t="str">
            <v>podatek od nieruchomości</v>
          </cell>
          <cell r="C44">
            <v>52</v>
          </cell>
          <cell r="D44">
            <v>52</v>
          </cell>
        </row>
        <row r="45">
          <cell r="A45" t="str">
            <v>D3.2</v>
          </cell>
          <cell r="B45" t="str">
            <v>opłaty stanowiące dochody własne jednostek samorządu terytorialnego</v>
          </cell>
          <cell r="C45">
            <v>240</v>
          </cell>
          <cell r="D45">
            <v>240</v>
          </cell>
        </row>
        <row r="46">
          <cell r="A46" t="str">
            <v>D3.3</v>
          </cell>
          <cell r="B46" t="str">
            <v>VAT</v>
          </cell>
          <cell r="C46">
            <v>0</v>
          </cell>
          <cell r="D46">
            <v>0</v>
          </cell>
        </row>
        <row r="47">
          <cell r="A47" t="str">
            <v>D3.4</v>
          </cell>
          <cell r="B47" t="str">
            <v>podatek akcyzowy</v>
          </cell>
          <cell r="C47">
            <v>0</v>
          </cell>
          <cell r="D47">
            <v>0</v>
          </cell>
        </row>
        <row r="48">
          <cell r="A48" t="str">
            <v>D3.5</v>
          </cell>
          <cell r="B48" t="str">
            <v>wpłaty na PFRON</v>
          </cell>
          <cell r="C48">
            <v>256</v>
          </cell>
          <cell r="D48">
            <v>256</v>
          </cell>
        </row>
        <row r="49">
          <cell r="A49" t="str">
            <v>D3.6</v>
          </cell>
          <cell r="B49" t="str">
            <v>inne</v>
          </cell>
          <cell r="C49">
            <v>6</v>
          </cell>
          <cell r="D49">
            <v>6</v>
          </cell>
        </row>
        <row r="50">
          <cell r="A50" t="str">
            <v>D4</v>
          </cell>
          <cell r="B50" t="str">
            <v>wynagrodzenia, w tym:</v>
          </cell>
          <cell r="C50">
            <v>24414</v>
          </cell>
          <cell r="D50">
            <v>24414</v>
          </cell>
        </row>
        <row r="51">
          <cell r="A51" t="str">
            <v>D4.1</v>
          </cell>
          <cell r="B51" t="str">
            <v>wynagrodzenia bezosobowe</v>
          </cell>
          <cell r="C51">
            <v>123</v>
          </cell>
          <cell r="D51">
            <v>123</v>
          </cell>
        </row>
        <row r="52">
          <cell r="A52" t="str">
            <v>D5</v>
          </cell>
          <cell r="B52" t="str">
            <v>ubezpieczenie społeczne i inne świadczenia, z tego:</v>
          </cell>
          <cell r="C52">
            <v>5481</v>
          </cell>
          <cell r="D52">
            <v>5481</v>
          </cell>
        </row>
        <row r="53">
          <cell r="A53" t="str">
            <v>D5.1</v>
          </cell>
          <cell r="B53" t="str">
            <v>składki na Fundusz Ubezpieczeń Społecznych</v>
          </cell>
          <cell r="C53">
            <v>4191</v>
          </cell>
          <cell r="D53">
            <v>4191</v>
          </cell>
        </row>
        <row r="54">
          <cell r="A54" t="str">
            <v>D5.2</v>
          </cell>
          <cell r="B54" t="str">
            <v>składki na Fundusz Pracy</v>
          </cell>
          <cell r="C54">
            <v>597</v>
          </cell>
          <cell r="D54">
            <v>597</v>
          </cell>
        </row>
        <row r="55">
          <cell r="A55" t="str">
            <v>D5.3</v>
          </cell>
          <cell r="B55" t="str">
            <v>składki na Fundusz Gwarantowanych Świadczeń Pracowniczych</v>
          </cell>
          <cell r="C55">
            <v>0</v>
          </cell>
          <cell r="D55">
            <v>0</v>
          </cell>
        </row>
        <row r="56">
          <cell r="A56" t="str">
            <v>D5.4</v>
          </cell>
          <cell r="B56" t="str">
            <v>pozostałe świadczenia</v>
          </cell>
          <cell r="C56">
            <v>693</v>
          </cell>
          <cell r="D56">
            <v>693</v>
          </cell>
        </row>
        <row r="57">
          <cell r="A57" t="str">
            <v>D6</v>
          </cell>
          <cell r="B57" t="str">
            <v>koszty funkcjonowania Rady Funduszu</v>
          </cell>
          <cell r="C57">
            <v>0</v>
          </cell>
          <cell r="D57">
            <v>0</v>
          </cell>
        </row>
        <row r="58">
          <cell r="A58" t="str">
            <v>D7</v>
          </cell>
          <cell r="B58" t="str">
            <v>amortyzacja środków trwałych oraz wartości niematerialnych i prawnych</v>
          </cell>
          <cell r="C58">
            <v>4000</v>
          </cell>
          <cell r="D58">
            <v>4000</v>
          </cell>
        </row>
        <row r="59">
          <cell r="A59" t="str">
            <v>D8</v>
          </cell>
          <cell r="B59" t="str">
            <v>pozostałe koszty administracyjne</v>
          </cell>
          <cell r="C59">
            <v>518</v>
          </cell>
          <cell r="D59">
            <v>518</v>
          </cell>
        </row>
        <row r="60">
          <cell r="A60" t="str">
            <v>F</v>
          </cell>
          <cell r="B60" t="str">
            <v>Pozostałe koszty (F1+...+F4)</v>
          </cell>
          <cell r="C60">
            <v>21250</v>
          </cell>
          <cell r="D60">
            <v>21250</v>
          </cell>
        </row>
        <row r="61">
          <cell r="A61" t="str">
            <v>F1</v>
          </cell>
          <cell r="B61" t="str">
            <v>wydanie i utrzymanie kart ubezpieczenia (w tym części stałych i zamiennych książeczek usług medycznych) oraz recept</v>
          </cell>
          <cell r="C61">
            <v>50</v>
          </cell>
          <cell r="D61">
            <v>50</v>
          </cell>
        </row>
        <row r="62">
          <cell r="A62" t="str">
            <v>F2</v>
          </cell>
          <cell r="B62" t="str">
            <v>rezerwa na zobowiązania wynikające z postępowań sądowych</v>
          </cell>
          <cell r="C62">
            <v>20000</v>
          </cell>
          <cell r="D62">
            <v>20000</v>
          </cell>
        </row>
        <row r="63">
          <cell r="A63" t="str">
            <v>F3</v>
          </cell>
          <cell r="B63" t="str">
            <v>inne rezerwy</v>
          </cell>
          <cell r="C63">
            <v>0</v>
          </cell>
          <cell r="D63">
            <v>0</v>
          </cell>
        </row>
        <row r="64">
          <cell r="A64" t="str">
            <v>F4</v>
          </cell>
          <cell r="B64" t="str">
            <v>inne koszty</v>
          </cell>
          <cell r="C64">
            <v>1200</v>
          </cell>
          <cell r="D64">
            <v>1200</v>
          </cell>
        </row>
        <row r="65">
          <cell r="A65" t="str">
            <v>H</v>
          </cell>
          <cell r="B65" t="str">
            <v>Koszty finansowe</v>
          </cell>
          <cell r="C65">
            <v>3200</v>
          </cell>
          <cell r="D65">
            <v>3200</v>
          </cell>
        </row>
      </sheetData>
      <sheetData sheetId="18">
        <row r="7">
          <cell r="A7" t="str">
            <v>B2.1</v>
          </cell>
          <cell r="B7" t="str">
            <v>podstawowa opieka zdrowotna</v>
          </cell>
          <cell r="C7">
            <v>439088</v>
          </cell>
          <cell r="D7">
            <v>439088</v>
          </cell>
        </row>
        <row r="8">
          <cell r="A8" t="str">
            <v>B2.2</v>
          </cell>
          <cell r="B8" t="str">
            <v>ambulatoryjna opieka specjalistyczna</v>
          </cell>
          <cell r="C8">
            <v>254124</v>
          </cell>
          <cell r="D8">
            <v>254124</v>
          </cell>
        </row>
        <row r="9">
          <cell r="A9" t="str">
            <v>B2.3</v>
          </cell>
          <cell r="B9" t="str">
            <v>leczenie szpitalne, w tym:</v>
          </cell>
          <cell r="C9">
            <v>1668330</v>
          </cell>
          <cell r="D9">
            <v>1668330</v>
          </cell>
        </row>
        <row r="10">
          <cell r="A10" t="str">
            <v>B2.3.1</v>
          </cell>
          <cell r="B10" t="str">
            <v>programy terapeutyczne (lekowe), w tym:</v>
          </cell>
          <cell r="C10">
            <v>130569</v>
          </cell>
          <cell r="D10">
            <v>130569</v>
          </cell>
        </row>
        <row r="11">
          <cell r="A11" t="str">
            <v>B2.3.1.1</v>
          </cell>
          <cell r="B11" t="str">
            <v>leki, środki spożywcze specjalnego przeznaczenia żywieniowego objęte programami lekowymi</v>
          </cell>
          <cell r="C11">
            <v>119099</v>
          </cell>
          <cell r="D11">
            <v>119099</v>
          </cell>
        </row>
        <row r="12">
          <cell r="A12" t="str">
            <v>B2.3.2</v>
          </cell>
          <cell r="B12" t="str">
            <v>chemioterapia, w tym:</v>
          </cell>
          <cell r="C12">
            <v>60803</v>
          </cell>
          <cell r="D12">
            <v>60803</v>
          </cell>
        </row>
        <row r="13">
          <cell r="A13" t="str">
            <v>B2.3.2.1</v>
          </cell>
          <cell r="B13" t="str">
            <v>leki stosowane w chemioterapii</v>
          </cell>
          <cell r="C13">
            <v>27424</v>
          </cell>
          <cell r="D13">
            <v>27424</v>
          </cell>
        </row>
        <row r="14">
          <cell r="A14" t="str">
            <v>B2.4</v>
          </cell>
          <cell r="B14" t="str">
            <v>opieka psychiatryczna i leczenie uzależnień</v>
          </cell>
          <cell r="C14">
            <v>102752</v>
          </cell>
          <cell r="D14">
            <v>102752</v>
          </cell>
        </row>
        <row r="15">
          <cell r="A15" t="str">
            <v>B2.5</v>
          </cell>
          <cell r="B15" t="str">
            <v>rehabilitacja lecznicza</v>
          </cell>
          <cell r="C15">
            <v>77490</v>
          </cell>
          <cell r="D15">
            <v>77490</v>
          </cell>
        </row>
        <row r="16">
          <cell r="A16" t="str">
            <v>B2.6</v>
          </cell>
          <cell r="B16" t="str">
            <v>świadczenia pielęgnacyjne i opiekuńcze w ramach opieki długoterminowej</v>
          </cell>
          <cell r="C16">
            <v>46776</v>
          </cell>
          <cell r="D16">
            <v>46776</v>
          </cell>
        </row>
        <row r="17">
          <cell r="A17" t="str">
            <v>B2.7</v>
          </cell>
          <cell r="B17" t="str">
            <v>opieka paliatywna i hospicyjna</v>
          </cell>
          <cell r="C17">
            <v>17261</v>
          </cell>
          <cell r="D17">
            <v>17261</v>
          </cell>
        </row>
        <row r="18">
          <cell r="A18" t="str">
            <v>B2.8</v>
          </cell>
          <cell r="B18" t="str">
            <v>leczenie stomatologiczne</v>
          </cell>
          <cell r="C18">
            <v>83579</v>
          </cell>
          <cell r="D18">
            <v>83579</v>
          </cell>
        </row>
        <row r="19">
          <cell r="A19" t="str">
            <v>B2.9</v>
          </cell>
          <cell r="B19" t="str">
            <v>lecznictwo uzdrowiskowe</v>
          </cell>
          <cell r="C19">
            <v>27564</v>
          </cell>
          <cell r="D19">
            <v>27564</v>
          </cell>
        </row>
        <row r="20">
          <cell r="A20" t="str">
            <v>B2.10</v>
          </cell>
          <cell r="B20" t="str">
            <v>pomoc doraźna i transport sanitarny</v>
          </cell>
          <cell r="C20">
            <v>2472</v>
          </cell>
          <cell r="D20">
            <v>2472</v>
          </cell>
        </row>
        <row r="21">
          <cell r="A21" t="str">
            <v>B2.11</v>
          </cell>
          <cell r="B21" t="str">
            <v>koszty profilaktycznych programów zdrowotnych finansowanych ze środków własnych Funduszu</v>
          </cell>
          <cell r="C21">
            <v>9937</v>
          </cell>
          <cell r="D21">
            <v>9937</v>
          </cell>
        </row>
        <row r="22">
          <cell r="A22" t="str">
            <v>B2.12</v>
          </cell>
          <cell r="B22" t="str">
            <v>świadczenia opieki zdrowotnej kontraktowane odrębnie</v>
          </cell>
          <cell r="C22">
            <v>146491</v>
          </cell>
          <cell r="D22">
            <v>146491</v>
          </cell>
        </row>
        <row r="23">
          <cell r="A23" t="str">
            <v>B2.13</v>
          </cell>
          <cell r="B23" t="str">
            <v>zaopatrzenie w wyroby medyczne oraz ich naprawa, o których mowa w ustawie o refundacji</v>
          </cell>
          <cell r="C23">
            <v>42300</v>
          </cell>
          <cell r="D23">
            <v>42300</v>
          </cell>
        </row>
        <row r="24">
          <cell r="A24" t="str">
            <v>B2.14</v>
          </cell>
          <cell r="B24" t="str">
            <v>refundacja, z tego:</v>
          </cell>
          <cell r="C24">
            <v>375924</v>
          </cell>
          <cell r="D24">
            <v>375924</v>
          </cell>
        </row>
        <row r="25">
          <cell r="A25" t="str">
            <v>B2.14.1</v>
          </cell>
          <cell r="B25" t="str">
            <v>refundacja leków, środków spożywczych specjalnego przeznaczenia żywieniowego oraz wyrobów medycznych dostępnych w aptece na receptę</v>
          </cell>
          <cell r="C25">
            <v>375164</v>
          </cell>
          <cell r="D25">
            <v>375164</v>
          </cell>
        </row>
        <row r="26">
          <cell r="A26" t="str">
            <v>B2.14.2</v>
          </cell>
          <cell r="B26" t="str">
            <v>refundacja leków, o których mowa w art. 15 ust. 2 pkt 17 ustawy</v>
          </cell>
          <cell r="C26">
            <v>410</v>
          </cell>
          <cell r="D26">
            <v>410</v>
          </cell>
        </row>
        <row r="27">
          <cell r="A27" t="str">
            <v>B2.14.3</v>
          </cell>
          <cell r="B27" t="str">
            <v>refundacja środków spożywczych specjalnego przeznaczenia żywieniowego, o których mowa w art. 15 ust. 2 pkt 18 ustawy</v>
          </cell>
          <cell r="C27">
            <v>350</v>
          </cell>
          <cell r="D27">
            <v>350</v>
          </cell>
        </row>
        <row r="28">
          <cell r="A28" t="str">
            <v>B2.15</v>
          </cell>
          <cell r="B28" t="str">
            <v>rezerwa na koszty realizacji zadań wynikajacych z przepisów o koordynacji</v>
          </cell>
          <cell r="C28">
            <v>0</v>
          </cell>
          <cell r="D28">
            <v>0</v>
          </cell>
        </row>
        <row r="29">
          <cell r="A29" t="str">
            <v>B2.16</v>
          </cell>
          <cell r="B29" t="str">
            <v>rezerwa na pokrycie kosztów świadczeń opieki zdrowotnej oraz refundacji leków, w tym:</v>
          </cell>
          <cell r="C29">
            <v>0</v>
          </cell>
          <cell r="D29">
            <v>0</v>
          </cell>
        </row>
        <row r="30">
          <cell r="A30" t="str">
            <v>B2.16.1</v>
          </cell>
          <cell r="B30" t="str">
            <v>rezerwa, o której mowa w art. 118 ust. 2 pkt 2 lit. c ustawy</v>
          </cell>
          <cell r="C30">
            <v>0</v>
          </cell>
          <cell r="D30">
            <v>0</v>
          </cell>
        </row>
        <row r="31">
          <cell r="A31" t="str">
            <v>B2.17</v>
          </cell>
          <cell r="B31" t="str">
            <v>rezerwa na koszty świadczeń opieki zdrowotnej w ramach migracji ubezpieczonych</v>
          </cell>
          <cell r="C31">
            <v>0</v>
          </cell>
          <cell r="D31">
            <v>0</v>
          </cell>
        </row>
        <row r="32">
          <cell r="A32" t="str">
            <v>B2.18</v>
          </cell>
          <cell r="B32" t="str">
            <v>koszty świadczeń opieki zdrowotnej z lat ubiegłych</v>
          </cell>
          <cell r="C32">
            <v>874</v>
          </cell>
          <cell r="D32">
            <v>874</v>
          </cell>
        </row>
        <row r="33">
          <cell r="A33" t="str">
            <v>B2.19</v>
          </cell>
          <cell r="B33" t="str">
            <v>rezerwa na koszty świadczeń opieki zdrowotnej udzielone w ramach transgranicznej opieki zdrowotnej</v>
          </cell>
          <cell r="C33">
            <v>0</v>
          </cell>
          <cell r="D33">
            <v>0</v>
          </cell>
        </row>
        <row r="34">
          <cell r="A34" t="str">
            <v>B2.20</v>
          </cell>
          <cell r="B34" t="str">
            <v>rezerwa na dofinansowanie programów polityki zdrowotnej na podstawie art. 48d ustawy</v>
          </cell>
          <cell r="C34">
            <v>2000</v>
          </cell>
          <cell r="D34">
            <v>2000</v>
          </cell>
        </row>
        <row r="35">
          <cell r="A35" t="str">
            <v>B3</v>
          </cell>
          <cell r="B35" t="str">
            <v xml:space="preserve">Koszty programów polityki zdrowotnej realizowanych na zlecenie </v>
          </cell>
          <cell r="C35">
            <v>0</v>
          </cell>
          <cell r="D35">
            <v>890</v>
          </cell>
        </row>
        <row r="36">
          <cell r="A36" t="str">
            <v>B4</v>
          </cell>
          <cell r="B36" t="str">
            <v>Koszty realizacji zadań zespołów ratownictwa medycznego</v>
          </cell>
          <cell r="C36">
            <v>104185</v>
          </cell>
          <cell r="D36">
            <v>104185</v>
          </cell>
        </row>
        <row r="37">
          <cell r="A37" t="str">
            <v>B5</v>
          </cell>
          <cell r="B37" t="str">
            <v>Koszty finansowania leku, środka spożywczego specjalnego przeznaczenia żywieniowego oraz wyrobu medycznego w części finansowanej z budżetu państwa zgodnie z art. 43a ust. 3 ustawy</v>
          </cell>
          <cell r="C37">
            <v>24176</v>
          </cell>
          <cell r="D37">
            <v>24176</v>
          </cell>
        </row>
        <row r="38">
          <cell r="A38" t="str">
            <v>Bn</v>
          </cell>
          <cell r="B38" t="str">
            <v>Całkowity budżet na refundację
(B2.3.1.1+B2.3.2.1+B2.14+B2.16.1)</v>
          </cell>
          <cell r="C38">
            <v>522447</v>
          </cell>
          <cell r="D38">
            <v>522447</v>
          </cell>
        </row>
        <row r="39">
          <cell r="A39" t="str">
            <v>D.</v>
          </cell>
          <cell r="B39" t="str">
            <v>Koszty administracyjne ( D1+...+D8 )</v>
          </cell>
          <cell r="C39">
            <v>22821</v>
          </cell>
          <cell r="D39">
            <v>22821</v>
          </cell>
        </row>
        <row r="40">
          <cell r="A40" t="str">
            <v>D1</v>
          </cell>
          <cell r="B40" t="str">
            <v>zużycie materiałów i energii</v>
          </cell>
          <cell r="C40">
            <v>870</v>
          </cell>
          <cell r="D40">
            <v>870</v>
          </cell>
        </row>
        <row r="41">
          <cell r="A41" t="str">
            <v>D2</v>
          </cell>
          <cell r="B41" t="str">
            <v>usługi obce</v>
          </cell>
          <cell r="C41">
            <v>2745</v>
          </cell>
          <cell r="D41">
            <v>2745</v>
          </cell>
        </row>
        <row r="42">
          <cell r="A42" t="str">
            <v>D3</v>
          </cell>
          <cell r="B42" t="str">
            <v>podatki i opłaty, z tego</v>
          </cell>
          <cell r="C42">
            <v>230</v>
          </cell>
          <cell r="D42">
            <v>230</v>
          </cell>
        </row>
        <row r="43">
          <cell r="A43" t="str">
            <v>D3.1</v>
          </cell>
          <cell r="B43" t="str">
            <v>podatki stanowiące dochody własne jednostek samorządu terytorialnego, w tym:</v>
          </cell>
          <cell r="C43">
            <v>25</v>
          </cell>
          <cell r="D43">
            <v>25</v>
          </cell>
        </row>
        <row r="44">
          <cell r="A44" t="str">
            <v>D3.1.1</v>
          </cell>
          <cell r="B44" t="str">
            <v>podatek od nieruchomości</v>
          </cell>
          <cell r="C44">
            <v>25</v>
          </cell>
          <cell r="D44">
            <v>25</v>
          </cell>
        </row>
        <row r="45">
          <cell r="A45" t="str">
            <v>D3.2</v>
          </cell>
          <cell r="B45" t="str">
            <v>opłaty stanowiące dochody własne jednostek samorządu terytorialnego</v>
          </cell>
          <cell r="C45">
            <v>23</v>
          </cell>
          <cell r="D45">
            <v>23</v>
          </cell>
        </row>
        <row r="46">
          <cell r="A46" t="str">
            <v>D3.3</v>
          </cell>
          <cell r="B46" t="str">
            <v>VAT</v>
          </cell>
          <cell r="C46">
            <v>0</v>
          </cell>
          <cell r="D46">
            <v>0</v>
          </cell>
        </row>
        <row r="47">
          <cell r="A47" t="str">
            <v>D3.4</v>
          </cell>
          <cell r="B47" t="str">
            <v>podatek akcyzowy</v>
          </cell>
          <cell r="C47">
            <v>0</v>
          </cell>
          <cell r="D47">
            <v>0</v>
          </cell>
        </row>
        <row r="48">
          <cell r="A48" t="str">
            <v>D3.5</v>
          </cell>
          <cell r="B48" t="str">
            <v>wpłaty na PFRON</v>
          </cell>
          <cell r="C48">
            <v>142</v>
          </cell>
          <cell r="D48">
            <v>142</v>
          </cell>
        </row>
        <row r="49">
          <cell r="A49" t="str">
            <v>D3.6</v>
          </cell>
          <cell r="B49" t="str">
            <v>inne</v>
          </cell>
          <cell r="C49">
            <v>40</v>
          </cell>
          <cell r="D49">
            <v>40</v>
          </cell>
        </row>
        <row r="50">
          <cell r="A50" t="str">
            <v>D4</v>
          </cell>
          <cell r="B50" t="str">
            <v>wynagrodzenia, w tym:</v>
          </cell>
          <cell r="C50">
            <v>13741</v>
          </cell>
          <cell r="D50">
            <v>13741</v>
          </cell>
        </row>
        <row r="51">
          <cell r="A51" t="str">
            <v>D4.1</v>
          </cell>
          <cell r="B51" t="str">
            <v>wynagrodzenia bezosobowe</v>
          </cell>
          <cell r="C51">
            <v>57</v>
          </cell>
          <cell r="D51">
            <v>57</v>
          </cell>
        </row>
        <row r="52">
          <cell r="A52" t="str">
            <v>D5</v>
          </cell>
          <cell r="B52" t="str">
            <v>ubezpieczenie społeczne i inne świadczenia, z tego:</v>
          </cell>
          <cell r="C52">
            <v>3089</v>
          </cell>
          <cell r="D52">
            <v>3089</v>
          </cell>
        </row>
        <row r="53">
          <cell r="A53" t="str">
            <v>D5.1</v>
          </cell>
          <cell r="B53" t="str">
            <v>składki na Fundusz Ubezpieczeń Społecznych</v>
          </cell>
          <cell r="C53">
            <v>2359</v>
          </cell>
          <cell r="D53">
            <v>2359</v>
          </cell>
        </row>
        <row r="54">
          <cell r="A54" t="str">
            <v>D5.2</v>
          </cell>
          <cell r="B54" t="str">
            <v>składki na Fundusz Pracy</v>
          </cell>
          <cell r="C54">
            <v>337</v>
          </cell>
          <cell r="D54">
            <v>337</v>
          </cell>
        </row>
        <row r="55">
          <cell r="A55" t="str">
            <v>D5.3</v>
          </cell>
          <cell r="B55" t="str">
            <v>składki na Fundusz Gwarantowanych Świadczeń Pracowniczych</v>
          </cell>
          <cell r="C55">
            <v>0</v>
          </cell>
          <cell r="D55">
            <v>0</v>
          </cell>
        </row>
        <row r="56">
          <cell r="A56" t="str">
            <v>D5.4</v>
          </cell>
          <cell r="B56" t="str">
            <v>pozostałe świadczenia</v>
          </cell>
          <cell r="C56">
            <v>393</v>
          </cell>
          <cell r="D56">
            <v>393</v>
          </cell>
        </row>
        <row r="57">
          <cell r="A57" t="str">
            <v>D6</v>
          </cell>
          <cell r="B57" t="str">
            <v>koszty funkcjonowania Rady Funduszu</v>
          </cell>
          <cell r="C57">
            <v>0</v>
          </cell>
          <cell r="D57">
            <v>0</v>
          </cell>
        </row>
        <row r="58">
          <cell r="A58" t="str">
            <v>D7</v>
          </cell>
          <cell r="B58" t="str">
            <v>amortyzacja środków trwałych oraz wartości niematerialnych i prawnych</v>
          </cell>
          <cell r="C58">
            <v>1999</v>
          </cell>
          <cell r="D58">
            <v>1999</v>
          </cell>
        </row>
        <row r="59">
          <cell r="A59" t="str">
            <v>D8</v>
          </cell>
          <cell r="B59" t="str">
            <v>pozostałe koszty administracyjne</v>
          </cell>
          <cell r="C59">
            <v>147</v>
          </cell>
          <cell r="D59">
            <v>147</v>
          </cell>
        </row>
        <row r="60">
          <cell r="A60" t="str">
            <v>F</v>
          </cell>
          <cell r="B60" t="str">
            <v>Pozostałe koszty (F1+...+F4)</v>
          </cell>
          <cell r="C60">
            <v>956</v>
          </cell>
          <cell r="D60">
            <v>956</v>
          </cell>
        </row>
        <row r="61">
          <cell r="A61" t="str">
            <v>F1</v>
          </cell>
          <cell r="B61" t="str">
            <v>wydanie i utrzymanie kart ubezpieczenia (w tym części stałych i zamiennych książeczek usług medycznych) oraz recept</v>
          </cell>
          <cell r="C61">
            <v>0</v>
          </cell>
          <cell r="D61">
            <v>0</v>
          </cell>
        </row>
        <row r="62">
          <cell r="A62" t="str">
            <v>F2</v>
          </cell>
          <cell r="B62" t="str">
            <v>rezerwa na zobowiązania wynikające z postępowań sądowych</v>
          </cell>
          <cell r="C62">
            <v>0</v>
          </cell>
          <cell r="D62">
            <v>0</v>
          </cell>
        </row>
        <row r="63">
          <cell r="A63" t="str">
            <v>F3</v>
          </cell>
          <cell r="B63" t="str">
            <v>inne rezerwy</v>
          </cell>
          <cell r="C63">
            <v>0</v>
          </cell>
          <cell r="D63">
            <v>0</v>
          </cell>
        </row>
        <row r="64">
          <cell r="A64" t="str">
            <v>F4</v>
          </cell>
          <cell r="B64" t="str">
            <v>inne koszty</v>
          </cell>
          <cell r="C64">
            <v>956</v>
          </cell>
          <cell r="D64">
            <v>956</v>
          </cell>
        </row>
        <row r="65">
          <cell r="A65" t="str">
            <v>H</v>
          </cell>
          <cell r="B65" t="str">
            <v>Koszty finansowe</v>
          </cell>
          <cell r="C65">
            <v>66</v>
          </cell>
          <cell r="D65">
            <v>66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tabSelected="1" view="pageBreakPreview" zoomScale="55" zoomScaleNormal="55" zoomScaleSheetLayoutView="55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activeCell="J22" sqref="J22"/>
    </sheetView>
  </sheetViews>
  <sheetFormatPr defaultRowHeight="12.75" x14ac:dyDescent="0.2"/>
  <cols>
    <col min="1" max="1" width="10.42578125" style="12" customWidth="1"/>
    <col min="2" max="2" width="125.85546875" style="12" customWidth="1"/>
    <col min="3" max="3" width="26.7109375" style="3" customWidth="1"/>
    <col min="4" max="4" width="26.85546875" style="3" customWidth="1"/>
    <col min="5" max="6" width="20.7109375" style="3" customWidth="1"/>
    <col min="7" max="8" width="9.140625" style="3"/>
    <col min="9" max="9" width="17.85546875" style="3" bestFit="1" customWidth="1"/>
    <col min="10" max="16384" width="9.140625" style="3"/>
  </cols>
  <sheetData>
    <row r="1" spans="1:6" s="28" customFormat="1" ht="58.5" customHeight="1" x14ac:dyDescent="0.35">
      <c r="A1" s="111" t="s">
        <v>201</v>
      </c>
      <c r="B1" s="111"/>
      <c r="C1" s="111"/>
      <c r="D1" s="111"/>
      <c r="E1" s="111"/>
      <c r="F1" s="111"/>
    </row>
    <row r="2" spans="1:6" s="21" customFormat="1" ht="35.25" customHeight="1" x14ac:dyDescent="0.3">
      <c r="A2" s="110" t="s">
        <v>166</v>
      </c>
      <c r="B2" s="110"/>
      <c r="C2" s="36"/>
    </row>
    <row r="3" spans="1:6" s="6" customFormat="1" ht="36" customHeight="1" x14ac:dyDescent="0.25">
      <c r="A3" s="4"/>
      <c r="B3" s="5"/>
      <c r="C3" s="35"/>
      <c r="D3" s="35"/>
      <c r="E3" s="35" t="s">
        <v>139</v>
      </c>
    </row>
    <row r="4" spans="1:6" s="72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ht="19.5" customHeight="1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s="10" customFormat="1" ht="63.75" customHeight="1" x14ac:dyDescent="0.4">
      <c r="A6" s="81">
        <v>1</v>
      </c>
      <c r="B6" s="82" t="s">
        <v>176</v>
      </c>
      <c r="C6" s="83">
        <f>C7+C8</f>
        <v>74746029</v>
      </c>
      <c r="D6" s="83">
        <f>D7+D8</f>
        <v>74746029</v>
      </c>
      <c r="E6" s="83" t="str">
        <f>IF(C6=D6,"-",D6-C6)</f>
        <v>-</v>
      </c>
      <c r="F6" s="84">
        <f>IF(C6=0,"-",D6/C6)</f>
        <v>1</v>
      </c>
    </row>
    <row r="7" spans="1:6" ht="30" customHeight="1" x14ac:dyDescent="0.2">
      <c r="A7" s="55" t="s">
        <v>76</v>
      </c>
      <c r="B7" s="24" t="s">
        <v>77</v>
      </c>
      <c r="C7" s="7">
        <f>IFERROR(VLOOKUP(A7,[4]NFZ!$A$7:$D$100,4,FALSE),0)</f>
        <v>71435346</v>
      </c>
      <c r="D7" s="7">
        <f>C7</f>
        <v>71435346</v>
      </c>
      <c r="E7" s="7" t="str">
        <f t="shared" ref="E7:E81" si="0">IF(C7=D7,"-",D7-C7)</f>
        <v>-</v>
      </c>
      <c r="F7" s="42">
        <f t="shared" ref="F7:F81" si="1">IF(C7=0,"-",D7/C7)</f>
        <v>1</v>
      </c>
    </row>
    <row r="8" spans="1:6" ht="30" customHeight="1" x14ac:dyDescent="0.2">
      <c r="A8" s="55" t="s">
        <v>78</v>
      </c>
      <c r="B8" s="24" t="s">
        <v>79</v>
      </c>
      <c r="C8" s="7">
        <f>IFERROR(VLOOKUP(A8,[4]NFZ!$A$7:$D$100,4,FALSE),0)</f>
        <v>3310683</v>
      </c>
      <c r="D8" s="7">
        <f>C8</f>
        <v>3310683</v>
      </c>
      <c r="E8" s="7" t="str">
        <f t="shared" si="0"/>
        <v>-</v>
      </c>
      <c r="F8" s="42">
        <f t="shared" si="1"/>
        <v>1</v>
      </c>
    </row>
    <row r="9" spans="1:6" s="10" customFormat="1" ht="38.25" customHeight="1" x14ac:dyDescent="0.4">
      <c r="A9" s="81">
        <v>2</v>
      </c>
      <c r="B9" s="82" t="s">
        <v>177</v>
      </c>
      <c r="C9" s="83">
        <f>C10+C11</f>
        <v>0</v>
      </c>
      <c r="D9" s="83">
        <f>D10+D11</f>
        <v>0</v>
      </c>
      <c r="E9" s="83" t="str">
        <f t="shared" si="0"/>
        <v>-</v>
      </c>
      <c r="F9" s="84" t="str">
        <f t="shared" si="1"/>
        <v>-</v>
      </c>
    </row>
    <row r="10" spans="1:6" ht="30" customHeight="1" x14ac:dyDescent="0.2">
      <c r="A10" s="55" t="s">
        <v>80</v>
      </c>
      <c r="B10" s="24" t="s">
        <v>81</v>
      </c>
      <c r="C10" s="7">
        <f>IFERROR(VLOOKUP(A10,[4]NFZ!$A$7:$D$100,4,FALSE),0)</f>
        <v>0</v>
      </c>
      <c r="D10" s="7">
        <f>C10</f>
        <v>0</v>
      </c>
      <c r="E10" s="7" t="str">
        <f t="shared" si="0"/>
        <v>-</v>
      </c>
      <c r="F10" s="42" t="str">
        <f t="shared" si="1"/>
        <v>-</v>
      </c>
    </row>
    <row r="11" spans="1:6" ht="30" customHeight="1" x14ac:dyDescent="0.2">
      <c r="A11" s="55" t="s">
        <v>82</v>
      </c>
      <c r="B11" s="24" t="s">
        <v>83</v>
      </c>
      <c r="C11" s="7">
        <f>IFERROR(VLOOKUP(A11,[4]NFZ!$A$7:$D$100,4,FALSE),0)</f>
        <v>0</v>
      </c>
      <c r="D11" s="7">
        <f>C11</f>
        <v>0</v>
      </c>
      <c r="E11" s="7" t="str">
        <f t="shared" si="0"/>
        <v>-</v>
      </c>
      <c r="F11" s="42" t="str">
        <f t="shared" si="1"/>
        <v>-</v>
      </c>
    </row>
    <row r="12" spans="1:6" s="10" customFormat="1" ht="39.75" customHeight="1" x14ac:dyDescent="0.4">
      <c r="A12" s="81">
        <v>3</v>
      </c>
      <c r="B12" s="82" t="s">
        <v>178</v>
      </c>
      <c r="C12" s="83">
        <f>C13+C14</f>
        <v>135000</v>
      </c>
      <c r="D12" s="83">
        <f>D13+D14</f>
        <v>135000</v>
      </c>
      <c r="E12" s="83" t="str">
        <f t="shared" si="0"/>
        <v>-</v>
      </c>
      <c r="F12" s="84">
        <f t="shared" si="1"/>
        <v>1</v>
      </c>
    </row>
    <row r="13" spans="1:6" ht="30" customHeight="1" x14ac:dyDescent="0.2">
      <c r="A13" s="55" t="s">
        <v>84</v>
      </c>
      <c r="B13" s="24" t="s">
        <v>77</v>
      </c>
      <c r="C13" s="7">
        <f>IFERROR(VLOOKUP(A13,[4]NFZ!$A$7:$D$100,4,FALSE),0)</f>
        <v>150000</v>
      </c>
      <c r="D13" s="7">
        <f>C13</f>
        <v>150000</v>
      </c>
      <c r="E13" s="7" t="str">
        <f t="shared" si="0"/>
        <v>-</v>
      </c>
      <c r="F13" s="42">
        <f t="shared" si="1"/>
        <v>1</v>
      </c>
    </row>
    <row r="14" spans="1:6" ht="30" customHeight="1" x14ac:dyDescent="0.2">
      <c r="A14" s="55" t="s">
        <v>85</v>
      </c>
      <c r="B14" s="24" t="s">
        <v>79</v>
      </c>
      <c r="C14" s="7">
        <f>IFERROR(VLOOKUP(A14,[4]NFZ!$A$7:$D$100,4,FALSE),0)</f>
        <v>-15000</v>
      </c>
      <c r="D14" s="7">
        <f>C14</f>
        <v>-15000</v>
      </c>
      <c r="E14" s="7" t="str">
        <f t="shared" si="0"/>
        <v>-</v>
      </c>
      <c r="F14" s="42">
        <f t="shared" si="1"/>
        <v>1</v>
      </c>
    </row>
    <row r="15" spans="1:6" s="10" customFormat="1" ht="39" customHeight="1" x14ac:dyDescent="0.4">
      <c r="A15" s="81">
        <v>4</v>
      </c>
      <c r="B15" s="82" t="s">
        <v>179</v>
      </c>
      <c r="C15" s="83">
        <f>C16+C17</f>
        <v>145768</v>
      </c>
      <c r="D15" s="83">
        <f>D16+D17</f>
        <v>145768</v>
      </c>
      <c r="E15" s="83" t="str">
        <f t="shared" si="0"/>
        <v>-</v>
      </c>
      <c r="F15" s="84">
        <f t="shared" si="1"/>
        <v>1</v>
      </c>
    </row>
    <row r="16" spans="1:6" ht="30" customHeight="1" x14ac:dyDescent="0.2">
      <c r="A16" s="56" t="s">
        <v>86</v>
      </c>
      <c r="B16" s="24" t="s">
        <v>87</v>
      </c>
      <c r="C16" s="7">
        <f>IFERROR(VLOOKUP(A16,[4]NFZ!$A$7:$D$100,4,FALSE),0)</f>
        <v>142871</v>
      </c>
      <c r="D16" s="7">
        <f>C16</f>
        <v>142871</v>
      </c>
      <c r="E16" s="7" t="str">
        <f t="shared" si="0"/>
        <v>-</v>
      </c>
      <c r="F16" s="42">
        <f t="shared" si="1"/>
        <v>1</v>
      </c>
    </row>
    <row r="17" spans="1:6" ht="30" customHeight="1" x14ac:dyDescent="0.2">
      <c r="A17" s="56" t="s">
        <v>88</v>
      </c>
      <c r="B17" s="24" t="s">
        <v>89</v>
      </c>
      <c r="C17" s="7">
        <f>IFERROR(VLOOKUP(A17,[4]NFZ!$A$7:$D$100,4,FALSE),0)</f>
        <v>2897</v>
      </c>
      <c r="D17" s="7">
        <f>C17</f>
        <v>2897</v>
      </c>
      <c r="E17" s="7" t="str">
        <f t="shared" si="0"/>
        <v>-</v>
      </c>
      <c r="F17" s="42">
        <f t="shared" si="1"/>
        <v>1</v>
      </c>
    </row>
    <row r="18" spans="1:6" s="10" customFormat="1" ht="39" customHeight="1" x14ac:dyDescent="0.4">
      <c r="A18" s="81">
        <v>5</v>
      </c>
      <c r="B18" s="82" t="s">
        <v>173</v>
      </c>
      <c r="C18" s="83">
        <f>IFERROR(VLOOKUP(A18,[4]NFZ!$A$7:$D$100,4,FALSE),0)</f>
        <v>43848</v>
      </c>
      <c r="D18" s="83">
        <f>C18</f>
        <v>43848</v>
      </c>
      <c r="E18" s="83" t="str">
        <f t="shared" si="0"/>
        <v>-</v>
      </c>
      <c r="F18" s="84">
        <f t="shared" si="1"/>
        <v>1</v>
      </c>
    </row>
    <row r="19" spans="1:6" s="10" customFormat="1" ht="63.75" customHeight="1" x14ac:dyDescent="0.4">
      <c r="A19" s="85" t="s">
        <v>128</v>
      </c>
      <c r="B19" s="86" t="s">
        <v>172</v>
      </c>
      <c r="C19" s="83">
        <f>(C6-C9+C12-C15-C18)+C20+C21+C22+C23</f>
        <v>78150772</v>
      </c>
      <c r="D19" s="83">
        <f>(D6-D9+D12-D15-D18)+D20+D21+D22+D23</f>
        <v>78150772</v>
      </c>
      <c r="E19" s="83" t="str">
        <f t="shared" si="0"/>
        <v>-</v>
      </c>
      <c r="F19" s="84">
        <f t="shared" si="1"/>
        <v>1</v>
      </c>
    </row>
    <row r="20" spans="1:6" ht="31.5" customHeight="1" x14ac:dyDescent="0.2">
      <c r="A20" s="55" t="s">
        <v>90</v>
      </c>
      <c r="B20" s="25" t="s">
        <v>91</v>
      </c>
      <c r="C20" s="7">
        <f>IFERROR(VLOOKUP(A20,[4]NFZ!$A$7:$D$100,4,FALSE),0)</f>
        <v>199555</v>
      </c>
      <c r="D20" s="7">
        <f>C20</f>
        <v>199555</v>
      </c>
      <c r="E20" s="7" t="str">
        <f t="shared" si="0"/>
        <v>-</v>
      </c>
      <c r="F20" s="42">
        <f t="shared" si="1"/>
        <v>1</v>
      </c>
    </row>
    <row r="21" spans="1:6" ht="31.5" customHeight="1" x14ac:dyDescent="0.2">
      <c r="A21" s="55" t="s">
        <v>92</v>
      </c>
      <c r="B21" s="25" t="s">
        <v>93</v>
      </c>
      <c r="C21" s="7">
        <f>IFERROR(VLOOKUP(A21,[4]NFZ!$A$7:$D$100,4,FALSE),0)</f>
        <v>2804</v>
      </c>
      <c r="D21" s="7">
        <f>C21</f>
        <v>2804</v>
      </c>
      <c r="E21" s="7" t="str">
        <f t="shared" si="0"/>
        <v>-</v>
      </c>
      <c r="F21" s="42">
        <f t="shared" si="1"/>
        <v>1</v>
      </c>
    </row>
    <row r="22" spans="1:6" ht="50.25" customHeight="1" x14ac:dyDescent="0.2">
      <c r="A22" s="55" t="s">
        <v>94</v>
      </c>
      <c r="B22" s="25" t="s">
        <v>199</v>
      </c>
      <c r="C22" s="7">
        <f>IFERROR(VLOOKUP(A22,[4]NFZ!$A$7:$D$100,4,FALSE),0)</f>
        <v>1333558</v>
      </c>
      <c r="D22" s="7">
        <f>C22</f>
        <v>1333558</v>
      </c>
      <c r="E22" s="7" t="str">
        <f t="shared" si="0"/>
        <v>-</v>
      </c>
      <c r="F22" s="42">
        <f t="shared" si="1"/>
        <v>1</v>
      </c>
    </row>
    <row r="23" spans="1:6" ht="31.5" customHeight="1" x14ac:dyDescent="0.2">
      <c r="A23" s="55" t="s">
        <v>95</v>
      </c>
      <c r="B23" s="26" t="s">
        <v>96</v>
      </c>
      <c r="C23" s="7">
        <f>IFERROR(VLOOKUP(A23,[4]NFZ!$A$7:$D$100,4,FALSE),0)</f>
        <v>1923442</v>
      </c>
      <c r="D23" s="7">
        <f>C23</f>
        <v>1923442</v>
      </c>
      <c r="E23" s="7" t="str">
        <f t="shared" si="0"/>
        <v>-</v>
      </c>
      <c r="F23" s="42">
        <f t="shared" si="1"/>
        <v>1</v>
      </c>
    </row>
    <row r="24" spans="1:6" s="10" customFormat="1" ht="36" customHeight="1" x14ac:dyDescent="0.4">
      <c r="A24" s="85" t="s">
        <v>129</v>
      </c>
      <c r="B24" s="86" t="s">
        <v>194</v>
      </c>
      <c r="C24" s="83">
        <f>C25+C26+C55+C56+C57</f>
        <v>78890014</v>
      </c>
      <c r="D24" s="83">
        <f>D25+D26+D55+D56+D57</f>
        <v>79149572</v>
      </c>
      <c r="E24" s="83">
        <f t="shared" si="0"/>
        <v>259558</v>
      </c>
      <c r="F24" s="84">
        <f t="shared" si="1"/>
        <v>1.0033000000000001</v>
      </c>
    </row>
    <row r="25" spans="1:6" s="10" customFormat="1" ht="36" customHeight="1" x14ac:dyDescent="0.4">
      <c r="A25" s="85" t="s">
        <v>97</v>
      </c>
      <c r="B25" s="86" t="s">
        <v>98</v>
      </c>
      <c r="C25" s="83">
        <f>IFERROR(VLOOKUP(A25,[4]NFZ!$A$7:$D$100,4,FALSE),0)</f>
        <v>0</v>
      </c>
      <c r="D25" s="83">
        <f>C25</f>
        <v>0</v>
      </c>
      <c r="E25" s="83" t="str">
        <f t="shared" si="0"/>
        <v>-</v>
      </c>
      <c r="F25" s="84" t="str">
        <f t="shared" si="1"/>
        <v>-</v>
      </c>
    </row>
    <row r="26" spans="1:6" s="10" customFormat="1" ht="36" customHeight="1" x14ac:dyDescent="0.4">
      <c r="A26" s="85" t="s">
        <v>0</v>
      </c>
      <c r="B26" s="86" t="s">
        <v>200</v>
      </c>
      <c r="C26" s="87">
        <f>C27+C28+C29+C34+C35+C36+C37+C38+C39+C40+C41+C42+C43+C44+C48+C49+C51+C52+C53+C54</f>
        <v>76399468</v>
      </c>
      <c r="D26" s="87">
        <f>D27+D28+D29+D34+D35+D36+D37+D38+D39+D40+D41+D42+D43+D44+D48+D49+D51+D52+D53+D54</f>
        <v>76659026</v>
      </c>
      <c r="E26" s="88">
        <f>IF(C26=D26,"-",D26-C26)</f>
        <v>259558</v>
      </c>
      <c r="F26" s="89">
        <f t="shared" si="1"/>
        <v>1.0034000000000001</v>
      </c>
    </row>
    <row r="27" spans="1:6" ht="30" customHeight="1" x14ac:dyDescent="0.2">
      <c r="A27" s="57" t="s">
        <v>1</v>
      </c>
      <c r="B27" s="58" t="s">
        <v>117</v>
      </c>
      <c r="C27" s="7">
        <f>CENTRALA!C7+'Razem OW'!C7</f>
        <v>10170509</v>
      </c>
      <c r="D27" s="7">
        <f>CENTRALA!D7+'Razem OW'!D7</f>
        <v>10170509</v>
      </c>
      <c r="E27" s="7" t="str">
        <f t="shared" si="0"/>
        <v>-</v>
      </c>
      <c r="F27" s="42">
        <f t="shared" si="1"/>
        <v>1</v>
      </c>
    </row>
    <row r="28" spans="1:6" ht="30" customHeight="1" x14ac:dyDescent="0.2">
      <c r="A28" s="57" t="s">
        <v>2</v>
      </c>
      <c r="B28" s="58" t="s">
        <v>118</v>
      </c>
      <c r="C28" s="7">
        <f>CENTRALA!C8+'Razem OW'!C8</f>
        <v>5636323</v>
      </c>
      <c r="D28" s="7">
        <f>CENTRALA!D8+'Razem OW'!D8</f>
        <v>5636323</v>
      </c>
      <c r="E28" s="7" t="str">
        <f>IF(C28=D28,"-",D28-C28)</f>
        <v>-</v>
      </c>
      <c r="F28" s="42">
        <f t="shared" si="1"/>
        <v>1</v>
      </c>
    </row>
    <row r="29" spans="1:6" ht="30" customHeight="1" x14ac:dyDescent="0.2">
      <c r="A29" s="57" t="s">
        <v>3</v>
      </c>
      <c r="B29" s="58" t="s">
        <v>115</v>
      </c>
      <c r="C29" s="7">
        <f>CENTRALA!C9+'Razem OW'!C9</f>
        <v>38480221</v>
      </c>
      <c r="D29" s="7">
        <f>CENTRALA!D9+'Razem OW'!D9</f>
        <v>38739779</v>
      </c>
      <c r="E29" s="7">
        <f t="shared" si="0"/>
        <v>259558</v>
      </c>
      <c r="F29" s="42">
        <f t="shared" si="1"/>
        <v>1.0066999999999999</v>
      </c>
    </row>
    <row r="30" spans="1:6" ht="30" customHeight="1" x14ac:dyDescent="0.2">
      <c r="A30" s="59" t="s">
        <v>55</v>
      </c>
      <c r="B30" s="60" t="s">
        <v>140</v>
      </c>
      <c r="C30" s="7">
        <f>CENTRALA!C10+'Razem OW'!C10</f>
        <v>3624798</v>
      </c>
      <c r="D30" s="7">
        <f>CENTRALA!D10+'Razem OW'!D10</f>
        <v>3624798</v>
      </c>
      <c r="E30" s="7" t="str">
        <f t="shared" si="0"/>
        <v>-</v>
      </c>
      <c r="F30" s="42">
        <f t="shared" si="1"/>
        <v>1</v>
      </c>
    </row>
    <row r="31" spans="1:6" ht="30" customHeight="1" x14ac:dyDescent="0.2">
      <c r="A31" s="59" t="s">
        <v>141</v>
      </c>
      <c r="B31" s="60" t="s">
        <v>144</v>
      </c>
      <c r="C31" s="7">
        <f>CENTRALA!C11+'Razem OW'!C11</f>
        <v>3294212</v>
      </c>
      <c r="D31" s="7">
        <f>CENTRALA!D11+'Razem OW'!D11</f>
        <v>3294212</v>
      </c>
      <c r="E31" s="7" t="str">
        <f t="shared" si="0"/>
        <v>-</v>
      </c>
      <c r="F31" s="42">
        <f t="shared" si="1"/>
        <v>1</v>
      </c>
    </row>
    <row r="32" spans="1:6" ht="30" customHeight="1" x14ac:dyDescent="0.2">
      <c r="A32" s="59" t="s">
        <v>142</v>
      </c>
      <c r="B32" s="60" t="s">
        <v>145</v>
      </c>
      <c r="C32" s="7">
        <f>CENTRALA!C12+'Razem OW'!C12</f>
        <v>1438758</v>
      </c>
      <c r="D32" s="7">
        <f>CENTRALA!D12+'Razem OW'!D12</f>
        <v>1438758</v>
      </c>
      <c r="E32" s="7" t="str">
        <f t="shared" si="0"/>
        <v>-</v>
      </c>
      <c r="F32" s="42">
        <f t="shared" si="1"/>
        <v>1</v>
      </c>
    </row>
    <row r="33" spans="1:6" ht="30" customHeight="1" x14ac:dyDescent="0.2">
      <c r="A33" s="59" t="s">
        <v>143</v>
      </c>
      <c r="B33" s="60" t="s">
        <v>146</v>
      </c>
      <c r="C33" s="7">
        <f>CENTRALA!C13+'Razem OW'!C13</f>
        <v>675753</v>
      </c>
      <c r="D33" s="7">
        <f>CENTRALA!D13+'Razem OW'!D13</f>
        <v>675753</v>
      </c>
      <c r="E33" s="7" t="str">
        <f t="shared" si="0"/>
        <v>-</v>
      </c>
      <c r="F33" s="42">
        <f t="shared" si="1"/>
        <v>1</v>
      </c>
    </row>
    <row r="34" spans="1:6" ht="30" customHeight="1" x14ac:dyDescent="0.2">
      <c r="A34" s="57" t="s">
        <v>4</v>
      </c>
      <c r="B34" s="58" t="s">
        <v>123</v>
      </c>
      <c r="C34" s="7">
        <f>CENTRALA!C14+'Razem OW'!C14</f>
        <v>2685552</v>
      </c>
      <c r="D34" s="7">
        <f>CENTRALA!D14+'Razem OW'!D14</f>
        <v>2685552</v>
      </c>
      <c r="E34" s="7" t="str">
        <f t="shared" si="0"/>
        <v>-</v>
      </c>
      <c r="F34" s="42">
        <f t="shared" si="1"/>
        <v>1</v>
      </c>
    </row>
    <row r="35" spans="1:6" ht="30" customHeight="1" x14ac:dyDescent="0.2">
      <c r="A35" s="57" t="s">
        <v>5</v>
      </c>
      <c r="B35" s="58" t="s">
        <v>119</v>
      </c>
      <c r="C35" s="7">
        <f>CENTRALA!C15+'Razem OW'!C15</f>
        <v>2319811</v>
      </c>
      <c r="D35" s="7">
        <f>CENTRALA!D15+'Razem OW'!D15</f>
        <v>2319811</v>
      </c>
      <c r="E35" s="7" t="str">
        <f t="shared" si="0"/>
        <v>-</v>
      </c>
      <c r="F35" s="42">
        <f t="shared" si="1"/>
        <v>1</v>
      </c>
    </row>
    <row r="36" spans="1:6" ht="30" customHeight="1" x14ac:dyDescent="0.2">
      <c r="A36" s="57" t="s">
        <v>6</v>
      </c>
      <c r="B36" s="58" t="s">
        <v>125</v>
      </c>
      <c r="C36" s="7">
        <f>CENTRALA!C16+'Razem OW'!C16</f>
        <v>1437581</v>
      </c>
      <c r="D36" s="7">
        <f>CENTRALA!D16+'Razem OW'!D16</f>
        <v>1437581</v>
      </c>
      <c r="E36" s="7" t="str">
        <f t="shared" si="0"/>
        <v>-</v>
      </c>
      <c r="F36" s="42">
        <f t="shared" si="1"/>
        <v>1</v>
      </c>
    </row>
    <row r="37" spans="1:6" ht="30" customHeight="1" x14ac:dyDescent="0.2">
      <c r="A37" s="57" t="s">
        <v>7</v>
      </c>
      <c r="B37" s="58" t="s">
        <v>124</v>
      </c>
      <c r="C37" s="7">
        <f>CENTRALA!C17+'Razem OW'!C17</f>
        <v>663523</v>
      </c>
      <c r="D37" s="7">
        <f>CENTRALA!D17+'Razem OW'!D17</f>
        <v>663523</v>
      </c>
      <c r="E37" s="7" t="str">
        <f>IF(C37=D37,"-",D37-C37)</f>
        <v>-</v>
      </c>
      <c r="F37" s="42">
        <f>IF(C37=0,"-",D37/C37)</f>
        <v>1</v>
      </c>
    </row>
    <row r="38" spans="1:6" ht="30" customHeight="1" x14ac:dyDescent="0.2">
      <c r="A38" s="57" t="s">
        <v>8</v>
      </c>
      <c r="B38" s="58" t="s">
        <v>120</v>
      </c>
      <c r="C38" s="7">
        <f>CENTRALA!C18+'Razem OW'!C18</f>
        <v>1834124</v>
      </c>
      <c r="D38" s="7">
        <f>CENTRALA!D18+'Razem OW'!D18</f>
        <v>1834124</v>
      </c>
      <c r="E38" s="7" t="str">
        <f t="shared" si="0"/>
        <v>-</v>
      </c>
      <c r="F38" s="42">
        <f t="shared" si="1"/>
        <v>1</v>
      </c>
    </row>
    <row r="39" spans="1:6" ht="30" customHeight="1" x14ac:dyDescent="0.2">
      <c r="A39" s="57" t="s">
        <v>9</v>
      </c>
      <c r="B39" s="58" t="s">
        <v>121</v>
      </c>
      <c r="C39" s="7">
        <f>CENTRALA!C19+'Razem OW'!C19</f>
        <v>660225</v>
      </c>
      <c r="D39" s="7">
        <f>CENTRALA!D19+'Razem OW'!D19</f>
        <v>660225</v>
      </c>
      <c r="E39" s="7" t="str">
        <f t="shared" si="0"/>
        <v>-</v>
      </c>
      <c r="F39" s="42">
        <f t="shared" si="1"/>
        <v>1</v>
      </c>
    </row>
    <row r="40" spans="1:6" ht="30" customHeight="1" x14ac:dyDescent="0.2">
      <c r="A40" s="57" t="s">
        <v>10</v>
      </c>
      <c r="B40" s="58" t="s">
        <v>126</v>
      </c>
      <c r="C40" s="7">
        <f>CENTRALA!C20+'Razem OW'!C20</f>
        <v>49282</v>
      </c>
      <c r="D40" s="7">
        <f>CENTRALA!D20+'Razem OW'!D20</f>
        <v>49282</v>
      </c>
      <c r="E40" s="7" t="str">
        <f t="shared" si="0"/>
        <v>-</v>
      </c>
      <c r="F40" s="42">
        <f t="shared" si="1"/>
        <v>1</v>
      </c>
    </row>
    <row r="41" spans="1:6" ht="40.5" x14ac:dyDescent="0.2">
      <c r="A41" s="57" t="s">
        <v>11</v>
      </c>
      <c r="B41" s="58" t="s">
        <v>122</v>
      </c>
      <c r="C41" s="7">
        <f>CENTRALA!C21+'Razem OW'!C21</f>
        <v>196199</v>
      </c>
      <c r="D41" s="7">
        <f>CENTRALA!D21+'Razem OW'!D21</f>
        <v>196199</v>
      </c>
      <c r="E41" s="7" t="str">
        <f t="shared" si="0"/>
        <v>-</v>
      </c>
      <c r="F41" s="42">
        <f t="shared" si="1"/>
        <v>1</v>
      </c>
    </row>
    <row r="42" spans="1:6" ht="30" customHeight="1" x14ac:dyDescent="0.2">
      <c r="A42" s="57" t="s">
        <v>12</v>
      </c>
      <c r="B42" s="58" t="s">
        <v>163</v>
      </c>
      <c r="C42" s="7">
        <f>CENTRALA!C22+'Razem OW'!C22</f>
        <v>2098096</v>
      </c>
      <c r="D42" s="7">
        <f>CENTRALA!D22+'Razem OW'!D22</f>
        <v>2098096</v>
      </c>
      <c r="E42" s="7" t="str">
        <f t="shared" si="0"/>
        <v>-</v>
      </c>
      <c r="F42" s="42">
        <f t="shared" si="1"/>
        <v>1</v>
      </c>
    </row>
    <row r="43" spans="1:6" ht="40.5" x14ac:dyDescent="0.2">
      <c r="A43" s="57" t="s">
        <v>13</v>
      </c>
      <c r="B43" s="58" t="s">
        <v>147</v>
      </c>
      <c r="C43" s="7">
        <f>CENTRALA!C23+'Razem OW'!C23</f>
        <v>1029387</v>
      </c>
      <c r="D43" s="7">
        <f>CENTRALA!D23+'Razem OW'!D23</f>
        <v>1029387</v>
      </c>
      <c r="E43" s="7" t="str">
        <f t="shared" si="0"/>
        <v>-</v>
      </c>
      <c r="F43" s="42">
        <f t="shared" si="1"/>
        <v>1</v>
      </c>
    </row>
    <row r="44" spans="1:6" ht="30" customHeight="1" x14ac:dyDescent="0.2">
      <c r="A44" s="61" t="s">
        <v>14</v>
      </c>
      <c r="B44" s="62" t="s">
        <v>180</v>
      </c>
      <c r="C44" s="7">
        <f>CENTRALA!C24+'Razem OW'!C24</f>
        <v>8286218</v>
      </c>
      <c r="D44" s="7">
        <f>CENTRALA!D24+'Razem OW'!D24</f>
        <v>8286218</v>
      </c>
      <c r="E44" s="7" t="str">
        <f t="shared" si="0"/>
        <v>-</v>
      </c>
      <c r="F44" s="42">
        <f t="shared" si="1"/>
        <v>1</v>
      </c>
    </row>
    <row r="45" spans="1:6" ht="41.25" customHeight="1" x14ac:dyDescent="0.2">
      <c r="A45" s="59" t="s">
        <v>127</v>
      </c>
      <c r="B45" s="60" t="s">
        <v>149</v>
      </c>
      <c r="C45" s="7">
        <f>CENTRALA!C25+'Razem OW'!C25</f>
        <v>8251475</v>
      </c>
      <c r="D45" s="7">
        <f>CENTRALA!D25+'Razem OW'!D25</f>
        <v>8251475</v>
      </c>
      <c r="E45" s="7" t="str">
        <f t="shared" si="0"/>
        <v>-</v>
      </c>
      <c r="F45" s="42">
        <f t="shared" si="1"/>
        <v>1</v>
      </c>
    </row>
    <row r="46" spans="1:6" ht="30" customHeight="1" x14ac:dyDescent="0.2">
      <c r="A46" s="59" t="s">
        <v>148</v>
      </c>
      <c r="B46" s="60" t="s">
        <v>151</v>
      </c>
      <c r="C46" s="7">
        <f>CENTRALA!C26+'Razem OW'!C26</f>
        <v>20477</v>
      </c>
      <c r="D46" s="7">
        <f>CENTRALA!D26+'Razem OW'!D26</f>
        <v>20477</v>
      </c>
      <c r="E46" s="7" t="str">
        <f t="shared" si="0"/>
        <v>-</v>
      </c>
      <c r="F46" s="42">
        <f t="shared" si="1"/>
        <v>1</v>
      </c>
    </row>
    <row r="47" spans="1:6" ht="41.25" customHeight="1" x14ac:dyDescent="0.2">
      <c r="A47" s="59" t="s">
        <v>152</v>
      </c>
      <c r="B47" s="60" t="s">
        <v>150</v>
      </c>
      <c r="C47" s="7">
        <f>CENTRALA!C27+'Razem OW'!C27</f>
        <v>14266</v>
      </c>
      <c r="D47" s="7">
        <f>CENTRALA!D27+'Razem OW'!D27</f>
        <v>14266</v>
      </c>
      <c r="E47" s="7" t="str">
        <f t="shared" si="0"/>
        <v>-</v>
      </c>
      <c r="F47" s="42">
        <f t="shared" si="1"/>
        <v>1</v>
      </c>
    </row>
    <row r="48" spans="1:6" ht="31.5" customHeight="1" x14ac:dyDescent="0.2">
      <c r="A48" s="52" t="s">
        <v>15</v>
      </c>
      <c r="B48" s="63" t="s">
        <v>111</v>
      </c>
      <c r="C48" s="7">
        <f>CENTRALA!C28+'Razem OW'!C28</f>
        <v>545092</v>
      </c>
      <c r="D48" s="7">
        <f>CENTRALA!D28+'Razem OW'!D28</f>
        <v>545092</v>
      </c>
      <c r="E48" s="7" t="str">
        <f t="shared" si="0"/>
        <v>-</v>
      </c>
      <c r="F48" s="42">
        <f t="shared" si="1"/>
        <v>1</v>
      </c>
    </row>
    <row r="49" spans="1:6" ht="31.5" customHeight="1" x14ac:dyDescent="0.2">
      <c r="A49" s="52" t="s">
        <v>108</v>
      </c>
      <c r="B49" s="24" t="s">
        <v>153</v>
      </c>
      <c r="C49" s="7">
        <f>CENTRALA!C29+'Razem OW'!C29</f>
        <v>0</v>
      </c>
      <c r="D49" s="7">
        <f>CENTRALA!D29+'Razem OW'!D29</f>
        <v>0</v>
      </c>
      <c r="E49" s="7" t="str">
        <f t="shared" si="0"/>
        <v>-</v>
      </c>
      <c r="F49" s="42" t="str">
        <f t="shared" si="1"/>
        <v>-</v>
      </c>
    </row>
    <row r="50" spans="1:6" ht="30" customHeight="1" x14ac:dyDescent="0.2">
      <c r="A50" s="59" t="s">
        <v>154</v>
      </c>
      <c r="B50" s="60" t="s">
        <v>165</v>
      </c>
      <c r="C50" s="7">
        <f>CENTRALA!C30+'Razem OW'!C30</f>
        <v>0</v>
      </c>
      <c r="D50" s="7">
        <f>CENTRALA!D30+'Razem OW'!D30</f>
        <v>0</v>
      </c>
      <c r="E50" s="7" t="str">
        <f t="shared" si="0"/>
        <v>-</v>
      </c>
      <c r="F50" s="42" t="str">
        <f t="shared" si="1"/>
        <v>-</v>
      </c>
    </row>
    <row r="51" spans="1:6" ht="30" customHeight="1" x14ac:dyDescent="0.2">
      <c r="A51" s="52" t="s">
        <v>109</v>
      </c>
      <c r="B51" s="24" t="s">
        <v>112</v>
      </c>
      <c r="C51" s="7">
        <f>CENTRALA!C31+'Razem OW'!C31</f>
        <v>0</v>
      </c>
      <c r="D51" s="7">
        <f>CENTRALA!D31+'Razem OW'!D31</f>
        <v>0</v>
      </c>
      <c r="E51" s="7" t="str">
        <f t="shared" si="0"/>
        <v>-</v>
      </c>
      <c r="F51" s="42" t="str">
        <f t="shared" si="1"/>
        <v>-</v>
      </c>
    </row>
    <row r="52" spans="1:6" ht="30" customHeight="1" x14ac:dyDescent="0.2">
      <c r="A52" s="52" t="s">
        <v>110</v>
      </c>
      <c r="B52" s="24" t="s">
        <v>164</v>
      </c>
      <c r="C52" s="7">
        <f>CENTRALA!C32+'Razem OW'!C32</f>
        <v>221495</v>
      </c>
      <c r="D52" s="7">
        <f>CENTRALA!D32+'Razem OW'!D32</f>
        <v>221495</v>
      </c>
      <c r="E52" s="7" t="str">
        <f t="shared" si="0"/>
        <v>-</v>
      </c>
      <c r="F52" s="42">
        <f t="shared" si="1"/>
        <v>1</v>
      </c>
    </row>
    <row r="53" spans="1:6" ht="40.5" x14ac:dyDescent="0.2">
      <c r="A53" s="52" t="s">
        <v>181</v>
      </c>
      <c r="B53" s="24" t="s">
        <v>182</v>
      </c>
      <c r="C53" s="7">
        <f>CENTRALA!C33+'Razem OW'!C33</f>
        <v>50000</v>
      </c>
      <c r="D53" s="7">
        <f>CENTRALA!D33+'Razem OW'!D33</f>
        <v>50000</v>
      </c>
      <c r="E53" s="7" t="str">
        <f>IF(C53=D53,"-",D53-C53)</f>
        <v>-</v>
      </c>
      <c r="F53" s="42">
        <f>IF(C53=0,"-",D53/C53)</f>
        <v>1</v>
      </c>
    </row>
    <row r="54" spans="1:6" ht="30" customHeight="1" x14ac:dyDescent="0.2">
      <c r="A54" s="52" t="s">
        <v>190</v>
      </c>
      <c r="B54" s="24" t="s">
        <v>191</v>
      </c>
      <c r="C54" s="7">
        <f>CENTRALA!C34+'Razem OW'!C34</f>
        <v>35830</v>
      </c>
      <c r="D54" s="7">
        <f>CENTRALA!D34+'Razem OW'!D34</f>
        <v>35830</v>
      </c>
      <c r="E54" s="7" t="str">
        <f>IF(C54=D54,"-",D54-C54)</f>
        <v>-</v>
      </c>
      <c r="F54" s="42">
        <f>IF(C54=0,"-",D54/C54)</f>
        <v>1</v>
      </c>
    </row>
    <row r="55" spans="1:6" s="10" customFormat="1" ht="30.75" customHeight="1" x14ac:dyDescent="0.4">
      <c r="A55" s="90" t="s">
        <v>57</v>
      </c>
      <c r="B55" s="91" t="s">
        <v>99</v>
      </c>
      <c r="C55" s="92">
        <f>CENTRALA!C35+'Razem OW'!C35</f>
        <v>2804</v>
      </c>
      <c r="D55" s="92">
        <f>C55</f>
        <v>2804</v>
      </c>
      <c r="E55" s="92" t="str">
        <f t="shared" si="0"/>
        <v>-</v>
      </c>
      <c r="F55" s="93">
        <f t="shared" si="1"/>
        <v>1</v>
      </c>
    </row>
    <row r="56" spans="1:6" s="10" customFormat="1" ht="30.75" customHeight="1" x14ac:dyDescent="0.4">
      <c r="A56" s="94" t="s">
        <v>56</v>
      </c>
      <c r="B56" s="91" t="s">
        <v>59</v>
      </c>
      <c r="C56" s="83">
        <f>CENTRALA!C36+'Razem OW'!C36</f>
        <v>1923442</v>
      </c>
      <c r="D56" s="83">
        <f>CENTRALA!D36+'Razem OW'!D36</f>
        <v>1923442</v>
      </c>
      <c r="E56" s="83" t="str">
        <f t="shared" si="0"/>
        <v>-</v>
      </c>
      <c r="F56" s="84">
        <f t="shared" si="1"/>
        <v>1</v>
      </c>
    </row>
    <row r="57" spans="1:6" s="10" customFormat="1" ht="60.75" x14ac:dyDescent="0.4">
      <c r="A57" s="94" t="s">
        <v>192</v>
      </c>
      <c r="B57" s="91" t="s">
        <v>193</v>
      </c>
      <c r="C57" s="83">
        <f>CENTRALA!C37+'Razem OW'!C37</f>
        <v>564300</v>
      </c>
      <c r="D57" s="83">
        <f>CENTRALA!D37+'Razem OW'!D37</f>
        <v>564300</v>
      </c>
      <c r="E57" s="83" t="str">
        <f t="shared" si="0"/>
        <v>-</v>
      </c>
      <c r="F57" s="84">
        <f t="shared" si="1"/>
        <v>1</v>
      </c>
    </row>
    <row r="58" spans="1:6" s="10" customFormat="1" ht="45.75" customHeight="1" x14ac:dyDescent="0.4">
      <c r="A58" s="94" t="s">
        <v>155</v>
      </c>
      <c r="B58" s="91" t="s">
        <v>156</v>
      </c>
      <c r="C58" s="83">
        <f>CENTRALA!C38+'Razem OW'!C38</f>
        <v>12256183</v>
      </c>
      <c r="D58" s="83">
        <f>CENTRALA!D38+'Razem OW'!D38</f>
        <v>12256183</v>
      </c>
      <c r="E58" s="83" t="str">
        <f>IF(C58=D58,"-",D58-C58)</f>
        <v>-</v>
      </c>
      <c r="F58" s="84">
        <f t="shared" si="1"/>
        <v>1</v>
      </c>
    </row>
    <row r="59" spans="1:6" s="10" customFormat="1" ht="33" customHeight="1" x14ac:dyDescent="0.4">
      <c r="A59" s="81" t="s">
        <v>130</v>
      </c>
      <c r="B59" s="82" t="s">
        <v>196</v>
      </c>
      <c r="C59" s="83">
        <f>C19-C24</f>
        <v>-739242</v>
      </c>
      <c r="D59" s="83">
        <f>D19-D24</f>
        <v>-998800</v>
      </c>
      <c r="E59" s="83">
        <f t="shared" si="0"/>
        <v>-259558</v>
      </c>
      <c r="F59" s="84">
        <f t="shared" si="1"/>
        <v>1.3511</v>
      </c>
    </row>
    <row r="60" spans="1:6" s="10" customFormat="1" ht="33" customHeight="1" x14ac:dyDescent="0.4">
      <c r="A60" s="81" t="s">
        <v>131</v>
      </c>
      <c r="B60" s="82" t="s">
        <v>183</v>
      </c>
      <c r="C60" s="83">
        <f>C61+C62+C63+C71+C73+C78+C79+C80</f>
        <v>753162</v>
      </c>
      <c r="D60" s="83">
        <f>D61+D62+D63+D71+D73+D78+D79+D80</f>
        <v>753162</v>
      </c>
      <c r="E60" s="83" t="str">
        <f t="shared" si="0"/>
        <v>-</v>
      </c>
      <c r="F60" s="84">
        <f t="shared" si="1"/>
        <v>1</v>
      </c>
    </row>
    <row r="61" spans="1:6" ht="30" customHeight="1" x14ac:dyDescent="0.2">
      <c r="A61" s="52" t="s">
        <v>17</v>
      </c>
      <c r="B61" s="23" t="s">
        <v>18</v>
      </c>
      <c r="C61" s="7">
        <f>CENTRALA!C40+'Razem OW'!C40</f>
        <v>25837</v>
      </c>
      <c r="D61" s="7">
        <f>CENTRALA!D40+'Razem OW'!D40</f>
        <v>25837</v>
      </c>
      <c r="E61" s="7" t="str">
        <f t="shared" si="0"/>
        <v>-</v>
      </c>
      <c r="F61" s="42">
        <f t="shared" si="1"/>
        <v>1</v>
      </c>
    </row>
    <row r="62" spans="1:6" ht="30" customHeight="1" x14ac:dyDescent="0.2">
      <c r="A62" s="52" t="s">
        <v>19</v>
      </c>
      <c r="B62" s="23" t="s">
        <v>20</v>
      </c>
      <c r="C62" s="7">
        <f>CENTRALA!C41+'Razem OW'!C41</f>
        <v>185633</v>
      </c>
      <c r="D62" s="7">
        <f>CENTRALA!D41+'Razem OW'!D41</f>
        <v>185633</v>
      </c>
      <c r="E62" s="7" t="str">
        <f t="shared" si="0"/>
        <v>-</v>
      </c>
      <c r="F62" s="42">
        <f t="shared" si="1"/>
        <v>1</v>
      </c>
    </row>
    <row r="63" spans="1:6" ht="30" customHeight="1" x14ac:dyDescent="0.2">
      <c r="A63" s="52" t="s">
        <v>21</v>
      </c>
      <c r="B63" s="27" t="s">
        <v>184</v>
      </c>
      <c r="C63" s="7">
        <f>C64+C66+C67+C68+C69+C70</f>
        <v>4682</v>
      </c>
      <c r="D63" s="7">
        <f>D64+D66+D67+D68+D69+D70</f>
        <v>4682</v>
      </c>
      <c r="E63" s="7" t="str">
        <f t="shared" si="0"/>
        <v>-</v>
      </c>
      <c r="F63" s="42">
        <f t="shared" si="1"/>
        <v>1</v>
      </c>
    </row>
    <row r="64" spans="1:6" s="8" customFormat="1" ht="30" customHeight="1" x14ac:dyDescent="0.2">
      <c r="A64" s="64" t="s">
        <v>38</v>
      </c>
      <c r="B64" s="65" t="s">
        <v>31</v>
      </c>
      <c r="C64" s="7">
        <f>CENTRALA!C43+'Razem OW'!C43</f>
        <v>614</v>
      </c>
      <c r="D64" s="7">
        <f>CENTRALA!D43+'Razem OW'!D43</f>
        <v>614</v>
      </c>
      <c r="E64" s="7" t="str">
        <f t="shared" si="0"/>
        <v>-</v>
      </c>
      <c r="F64" s="42">
        <f t="shared" si="1"/>
        <v>1</v>
      </c>
    </row>
    <row r="65" spans="1:6" s="8" customFormat="1" ht="30" customHeight="1" x14ac:dyDescent="0.2">
      <c r="A65" s="64" t="s">
        <v>39</v>
      </c>
      <c r="B65" s="66" t="s">
        <v>32</v>
      </c>
      <c r="C65" s="7">
        <f>CENTRALA!C44+'Razem OW'!C44</f>
        <v>611</v>
      </c>
      <c r="D65" s="7">
        <f>CENTRALA!D44+'Razem OW'!D44</f>
        <v>611</v>
      </c>
      <c r="E65" s="7" t="str">
        <f t="shared" si="0"/>
        <v>-</v>
      </c>
      <c r="F65" s="42">
        <f t="shared" si="1"/>
        <v>1</v>
      </c>
    </row>
    <row r="66" spans="1:6" s="8" customFormat="1" ht="30" customHeight="1" x14ac:dyDescent="0.2">
      <c r="A66" s="64" t="s">
        <v>40</v>
      </c>
      <c r="B66" s="65" t="s">
        <v>33</v>
      </c>
      <c r="C66" s="7">
        <f>CENTRALA!C45+'Razem OW'!C45</f>
        <v>680</v>
      </c>
      <c r="D66" s="7">
        <f>CENTRALA!D45+'Razem OW'!D45</f>
        <v>680</v>
      </c>
      <c r="E66" s="7" t="str">
        <f t="shared" si="0"/>
        <v>-</v>
      </c>
      <c r="F66" s="42">
        <f t="shared" si="1"/>
        <v>1</v>
      </c>
    </row>
    <row r="67" spans="1:6" s="8" customFormat="1" ht="30" customHeight="1" x14ac:dyDescent="0.2">
      <c r="A67" s="64" t="s">
        <v>41</v>
      </c>
      <c r="B67" s="65" t="s">
        <v>34</v>
      </c>
      <c r="C67" s="7">
        <f>CENTRALA!C46+'Razem OW'!C46</f>
        <v>27</v>
      </c>
      <c r="D67" s="7">
        <f>CENTRALA!D46+'Razem OW'!D46</f>
        <v>27</v>
      </c>
      <c r="E67" s="7" t="str">
        <f t="shared" si="0"/>
        <v>-</v>
      </c>
      <c r="F67" s="42">
        <f t="shared" si="1"/>
        <v>1</v>
      </c>
    </row>
    <row r="68" spans="1:6" s="8" customFormat="1" ht="30" customHeight="1" x14ac:dyDescent="0.2">
      <c r="A68" s="64" t="s">
        <v>42</v>
      </c>
      <c r="B68" s="65" t="s">
        <v>35</v>
      </c>
      <c r="C68" s="7">
        <f>CENTRALA!C47+'Razem OW'!C47</f>
        <v>0</v>
      </c>
      <c r="D68" s="7">
        <f>CENTRALA!D47+'Razem OW'!D47</f>
        <v>0</v>
      </c>
      <c r="E68" s="7" t="str">
        <f t="shared" si="0"/>
        <v>-</v>
      </c>
      <c r="F68" s="42" t="str">
        <f t="shared" si="1"/>
        <v>-</v>
      </c>
    </row>
    <row r="69" spans="1:6" s="8" customFormat="1" ht="30" customHeight="1" x14ac:dyDescent="0.2">
      <c r="A69" s="64" t="s">
        <v>43</v>
      </c>
      <c r="B69" s="65" t="s">
        <v>36</v>
      </c>
      <c r="C69" s="7">
        <f>CENTRALA!C48+'Razem OW'!C48</f>
        <v>2973</v>
      </c>
      <c r="D69" s="7">
        <f>CENTRALA!D48+'Razem OW'!D48</f>
        <v>2973</v>
      </c>
      <c r="E69" s="7" t="str">
        <f t="shared" si="0"/>
        <v>-</v>
      </c>
      <c r="F69" s="42">
        <f t="shared" si="1"/>
        <v>1</v>
      </c>
    </row>
    <row r="70" spans="1:6" s="9" customFormat="1" ht="30" customHeight="1" x14ac:dyDescent="0.25">
      <c r="A70" s="64" t="s">
        <v>44</v>
      </c>
      <c r="B70" s="65" t="s">
        <v>37</v>
      </c>
      <c r="C70" s="7">
        <f>CENTRALA!C49+'Razem OW'!C49</f>
        <v>388</v>
      </c>
      <c r="D70" s="7">
        <f>CENTRALA!D49+'Razem OW'!D49</f>
        <v>388</v>
      </c>
      <c r="E70" s="7" t="str">
        <f t="shared" si="0"/>
        <v>-</v>
      </c>
      <c r="F70" s="42">
        <f t="shared" si="1"/>
        <v>1</v>
      </c>
    </row>
    <row r="71" spans="1:6" ht="30" customHeight="1" x14ac:dyDescent="0.2">
      <c r="A71" s="52" t="s">
        <v>22</v>
      </c>
      <c r="B71" s="23" t="s">
        <v>157</v>
      </c>
      <c r="C71" s="7">
        <f>CENTRALA!C50+'Razem OW'!C50</f>
        <v>341092</v>
      </c>
      <c r="D71" s="7">
        <f>CENTRALA!D50+'Razem OW'!D50</f>
        <v>341092</v>
      </c>
      <c r="E71" s="7" t="str">
        <f t="shared" si="0"/>
        <v>-</v>
      </c>
      <c r="F71" s="42">
        <f t="shared" si="1"/>
        <v>1</v>
      </c>
    </row>
    <row r="72" spans="1:6" ht="30" customHeight="1" x14ac:dyDescent="0.2">
      <c r="A72" s="64" t="s">
        <v>158</v>
      </c>
      <c r="B72" s="65" t="s">
        <v>159</v>
      </c>
      <c r="C72" s="7">
        <f>CENTRALA!C51+'Razem OW'!C51</f>
        <v>1183</v>
      </c>
      <c r="D72" s="7">
        <f>CENTRALA!D51+'Razem OW'!D51</f>
        <v>1183</v>
      </c>
      <c r="E72" s="7" t="str">
        <f t="shared" si="0"/>
        <v>-</v>
      </c>
      <c r="F72" s="42">
        <f t="shared" si="1"/>
        <v>1</v>
      </c>
    </row>
    <row r="73" spans="1:6" ht="30" customHeight="1" x14ac:dyDescent="0.2">
      <c r="A73" s="52" t="s">
        <v>23</v>
      </c>
      <c r="B73" s="27" t="s">
        <v>185</v>
      </c>
      <c r="C73" s="7">
        <f>SUM(C74:C77)</f>
        <v>77635</v>
      </c>
      <c r="D73" s="7">
        <f>SUM(D74:D77)</f>
        <v>77635</v>
      </c>
      <c r="E73" s="7" t="str">
        <f t="shared" si="0"/>
        <v>-</v>
      </c>
      <c r="F73" s="42">
        <f t="shared" si="1"/>
        <v>1</v>
      </c>
    </row>
    <row r="74" spans="1:6" s="8" customFormat="1" ht="30" customHeight="1" x14ac:dyDescent="0.2">
      <c r="A74" s="64" t="s">
        <v>49</v>
      </c>
      <c r="B74" s="65" t="s">
        <v>45</v>
      </c>
      <c r="C74" s="7">
        <f>CENTRALA!C53+'Razem OW'!C53</f>
        <v>58390</v>
      </c>
      <c r="D74" s="7">
        <f>CENTRALA!D53+'Razem OW'!D53</f>
        <v>58390</v>
      </c>
      <c r="E74" s="7" t="str">
        <f t="shared" si="0"/>
        <v>-</v>
      </c>
      <c r="F74" s="42">
        <f t="shared" si="1"/>
        <v>1</v>
      </c>
    </row>
    <row r="75" spans="1:6" s="8" customFormat="1" ht="30" customHeight="1" x14ac:dyDescent="0.2">
      <c r="A75" s="64" t="s">
        <v>50</v>
      </c>
      <c r="B75" s="65" t="s">
        <v>46</v>
      </c>
      <c r="C75" s="7">
        <f>CENTRALA!C54+'Razem OW'!C54</f>
        <v>8165</v>
      </c>
      <c r="D75" s="7">
        <f>CENTRALA!D54+'Razem OW'!D54</f>
        <v>8165</v>
      </c>
      <c r="E75" s="7" t="str">
        <f t="shared" si="0"/>
        <v>-</v>
      </c>
      <c r="F75" s="42">
        <f t="shared" si="1"/>
        <v>1</v>
      </c>
    </row>
    <row r="76" spans="1:6" s="8" customFormat="1" ht="30" customHeight="1" x14ac:dyDescent="0.2">
      <c r="A76" s="64" t="s">
        <v>51</v>
      </c>
      <c r="B76" s="65" t="s">
        <v>47</v>
      </c>
      <c r="C76" s="7">
        <f>CENTRALA!C55+'Razem OW'!C55</f>
        <v>0</v>
      </c>
      <c r="D76" s="7">
        <f>CENTRALA!D55+'Razem OW'!D55</f>
        <v>0</v>
      </c>
      <c r="E76" s="7" t="str">
        <f t="shared" si="0"/>
        <v>-</v>
      </c>
      <c r="F76" s="42" t="str">
        <f t="shared" si="1"/>
        <v>-</v>
      </c>
    </row>
    <row r="77" spans="1:6" s="8" customFormat="1" ht="30" customHeight="1" x14ac:dyDescent="0.2">
      <c r="A77" s="64" t="s">
        <v>52</v>
      </c>
      <c r="B77" s="65" t="s">
        <v>48</v>
      </c>
      <c r="C77" s="7">
        <f>CENTRALA!C56+'Razem OW'!C56</f>
        <v>11080</v>
      </c>
      <c r="D77" s="7">
        <f>CENTRALA!D56+'Razem OW'!D56</f>
        <v>11080</v>
      </c>
      <c r="E77" s="7" t="str">
        <f t="shared" si="0"/>
        <v>-</v>
      </c>
      <c r="F77" s="42">
        <f t="shared" si="1"/>
        <v>1</v>
      </c>
    </row>
    <row r="78" spans="1:6" ht="30.75" customHeight="1" x14ac:dyDescent="0.2">
      <c r="A78" s="52" t="s">
        <v>24</v>
      </c>
      <c r="B78" s="23" t="s">
        <v>25</v>
      </c>
      <c r="C78" s="7">
        <f>CENTRALA!C57+'Razem OW'!C57</f>
        <v>50</v>
      </c>
      <c r="D78" s="7">
        <f>CENTRALA!D57+'Razem OW'!D57</f>
        <v>50</v>
      </c>
      <c r="E78" s="7" t="str">
        <f t="shared" si="0"/>
        <v>-</v>
      </c>
      <c r="F78" s="42">
        <f t="shared" si="1"/>
        <v>1</v>
      </c>
    </row>
    <row r="79" spans="1:6" ht="30.75" customHeight="1" x14ac:dyDescent="0.2">
      <c r="A79" s="52" t="s">
        <v>26</v>
      </c>
      <c r="B79" s="23" t="s">
        <v>160</v>
      </c>
      <c r="C79" s="7">
        <f>CENTRALA!C58+'Razem OW'!C58</f>
        <v>112061</v>
      </c>
      <c r="D79" s="7">
        <f>CENTRALA!D58+'Razem OW'!D58</f>
        <v>112061</v>
      </c>
      <c r="E79" s="7" t="str">
        <f t="shared" si="0"/>
        <v>-</v>
      </c>
      <c r="F79" s="42">
        <f t="shared" si="1"/>
        <v>1</v>
      </c>
    </row>
    <row r="80" spans="1:6" ht="30.75" customHeight="1" x14ac:dyDescent="0.2">
      <c r="A80" s="52" t="s">
        <v>27</v>
      </c>
      <c r="B80" s="23" t="s">
        <v>28</v>
      </c>
      <c r="C80" s="7">
        <f>CENTRALA!C59+'Razem OW'!C59</f>
        <v>6172</v>
      </c>
      <c r="D80" s="7">
        <f>CENTRALA!D59+'Razem OW'!D59</f>
        <v>6172</v>
      </c>
      <c r="E80" s="7" t="str">
        <f t="shared" si="0"/>
        <v>-</v>
      </c>
      <c r="F80" s="42">
        <f t="shared" si="1"/>
        <v>1</v>
      </c>
    </row>
    <row r="81" spans="1:9" s="10" customFormat="1" ht="33" customHeight="1" x14ac:dyDescent="0.4">
      <c r="A81" s="96" t="s">
        <v>132</v>
      </c>
      <c r="B81" s="97" t="s">
        <v>162</v>
      </c>
      <c r="C81" s="83">
        <f>IFERROR(VLOOKUP(A81,[4]NFZ!$A$7:$D$100,4,FALSE),0)</f>
        <v>186891</v>
      </c>
      <c r="D81" s="83">
        <f>C81+216817</f>
        <v>403708</v>
      </c>
      <c r="E81" s="83">
        <f t="shared" si="0"/>
        <v>216817</v>
      </c>
      <c r="F81" s="84">
        <f t="shared" si="1"/>
        <v>2.1600999999999999</v>
      </c>
    </row>
    <row r="82" spans="1:9" s="10" customFormat="1" ht="33" customHeight="1" x14ac:dyDescent="0.4">
      <c r="A82" s="96" t="s">
        <v>133</v>
      </c>
      <c r="B82" s="97" t="s">
        <v>174</v>
      </c>
      <c r="C82" s="83">
        <f>C83+C84+C85+C86</f>
        <v>233676</v>
      </c>
      <c r="D82" s="83">
        <f>D83+D84+D85+D86</f>
        <v>235034</v>
      </c>
      <c r="E82" s="83">
        <f t="shared" ref="E82:E93" si="2">IF(C82=D82,"-",D82-C82)</f>
        <v>1358</v>
      </c>
      <c r="F82" s="84">
        <f t="shared" ref="F82:F93" si="3">IF(C82=0,"-",D82/C82)</f>
        <v>1.0058</v>
      </c>
    </row>
    <row r="83" spans="1:9" ht="47.25" customHeight="1" x14ac:dyDescent="0.2">
      <c r="A83" s="55" t="s">
        <v>100</v>
      </c>
      <c r="B83" s="24" t="s">
        <v>113</v>
      </c>
      <c r="C83" s="7">
        <f>CENTRALA!C61+'Razem OW'!C61</f>
        <v>1269</v>
      </c>
      <c r="D83" s="7">
        <f>CENTRALA!D61+'Razem OW'!D61</f>
        <v>899</v>
      </c>
      <c r="E83" s="7">
        <f t="shared" si="2"/>
        <v>-370</v>
      </c>
      <c r="F83" s="42">
        <f t="shared" si="3"/>
        <v>0.70840000000000003</v>
      </c>
    </row>
    <row r="84" spans="1:9" ht="33.75" customHeight="1" x14ac:dyDescent="0.2">
      <c r="A84" s="55" t="s">
        <v>29</v>
      </c>
      <c r="B84" s="24" t="s">
        <v>54</v>
      </c>
      <c r="C84" s="7">
        <f>CENTRALA!C62+'Razem OW'!C62</f>
        <v>192338</v>
      </c>
      <c r="D84" s="7">
        <f>CENTRALA!D62+'Razem OW'!D62</f>
        <v>163439</v>
      </c>
      <c r="E84" s="7">
        <f t="shared" si="2"/>
        <v>-28899</v>
      </c>
      <c r="F84" s="42">
        <f t="shared" si="3"/>
        <v>0.84970000000000001</v>
      </c>
    </row>
    <row r="85" spans="1:9" ht="30" customHeight="1" x14ac:dyDescent="0.2">
      <c r="A85" s="55" t="s">
        <v>30</v>
      </c>
      <c r="B85" s="24" t="s">
        <v>102</v>
      </c>
      <c r="C85" s="7">
        <f>CENTRALA!C63+'Razem OW'!C63</f>
        <v>0</v>
      </c>
      <c r="D85" s="7">
        <f>CENTRALA!D63+'Razem OW'!D63</f>
        <v>0</v>
      </c>
      <c r="E85" s="7" t="str">
        <f t="shared" si="2"/>
        <v>-</v>
      </c>
      <c r="F85" s="42" t="str">
        <f t="shared" si="3"/>
        <v>-</v>
      </c>
    </row>
    <row r="86" spans="1:9" ht="30" customHeight="1" x14ac:dyDescent="0.2">
      <c r="A86" s="55" t="s">
        <v>101</v>
      </c>
      <c r="B86" s="25" t="s">
        <v>103</v>
      </c>
      <c r="C86" s="7">
        <f>CENTRALA!C64+'Razem OW'!C64</f>
        <v>40069</v>
      </c>
      <c r="D86" s="7">
        <f>CENTRALA!D64+'Razem OW'!D64</f>
        <v>70696</v>
      </c>
      <c r="E86" s="7">
        <f t="shared" si="2"/>
        <v>30627</v>
      </c>
      <c r="F86" s="42">
        <f t="shared" si="3"/>
        <v>1.7644</v>
      </c>
    </row>
    <row r="87" spans="1:9" s="10" customFormat="1" ht="33" customHeight="1" x14ac:dyDescent="0.4">
      <c r="A87" s="96" t="s">
        <v>134</v>
      </c>
      <c r="B87" s="97" t="s">
        <v>175</v>
      </c>
      <c r="C87" s="83">
        <f>C88+C89</f>
        <v>52142</v>
      </c>
      <c r="D87" s="83">
        <f>D88+D89</f>
        <v>79044</v>
      </c>
      <c r="E87" s="83">
        <f t="shared" si="2"/>
        <v>26902</v>
      </c>
      <c r="F87" s="84">
        <f t="shared" si="3"/>
        <v>1.5159</v>
      </c>
    </row>
    <row r="88" spans="1:9" ht="30" customHeight="1" x14ac:dyDescent="0.2">
      <c r="A88" s="55" t="s">
        <v>104</v>
      </c>
      <c r="B88" s="24" t="s">
        <v>105</v>
      </c>
      <c r="C88" s="7">
        <f>IFERROR(VLOOKUP(A88,[4]NFZ!$A$7:$D$100,4,FALSE),0)</f>
        <v>44370</v>
      </c>
      <c r="D88" s="7">
        <f>C88+9726</f>
        <v>54096</v>
      </c>
      <c r="E88" s="7">
        <f t="shared" si="2"/>
        <v>9726</v>
      </c>
      <c r="F88" s="42">
        <f t="shared" si="3"/>
        <v>1.2192000000000001</v>
      </c>
    </row>
    <row r="89" spans="1:9" ht="30" customHeight="1" x14ac:dyDescent="0.2">
      <c r="A89" s="55" t="s">
        <v>106</v>
      </c>
      <c r="B89" s="25" t="s">
        <v>107</v>
      </c>
      <c r="C89" s="7">
        <f>IFERROR(VLOOKUP(A89,[4]NFZ!$A$7:$D$100,4,FALSE),0)</f>
        <v>7772</v>
      </c>
      <c r="D89" s="7">
        <f>C89+17176</f>
        <v>24948</v>
      </c>
      <c r="E89" s="7">
        <f t="shared" si="2"/>
        <v>17176</v>
      </c>
      <c r="F89" s="42">
        <f t="shared" si="3"/>
        <v>3.21</v>
      </c>
    </row>
    <row r="90" spans="1:9" s="10" customFormat="1" ht="39.75" customHeight="1" x14ac:dyDescent="0.4">
      <c r="A90" s="96" t="s">
        <v>135</v>
      </c>
      <c r="B90" s="97" t="s">
        <v>114</v>
      </c>
      <c r="C90" s="83">
        <f>CENTRALA!C65+'Razem OW'!C65</f>
        <v>86053</v>
      </c>
      <c r="D90" s="83">
        <f>CENTRALA!D65+'Razem OW'!D65</f>
        <v>68856</v>
      </c>
      <c r="E90" s="83">
        <f t="shared" si="2"/>
        <v>-17197</v>
      </c>
      <c r="F90" s="84">
        <f t="shared" si="3"/>
        <v>0.80020000000000002</v>
      </c>
    </row>
    <row r="91" spans="1:9" s="10" customFormat="1" ht="64.5" customHeight="1" x14ac:dyDescent="0.4">
      <c r="A91" s="74" t="s">
        <v>136</v>
      </c>
      <c r="B91" s="75" t="s">
        <v>195</v>
      </c>
      <c r="C91" s="71">
        <f>C59-C60+C81-C82+C87-C90</f>
        <v>-1573100</v>
      </c>
      <c r="D91" s="71">
        <f>D59-D60+D81-D82+D87-D90</f>
        <v>-1573100</v>
      </c>
      <c r="E91" s="71" t="str">
        <f t="shared" si="2"/>
        <v>-</v>
      </c>
      <c r="F91" s="73">
        <f t="shared" si="3"/>
        <v>1</v>
      </c>
    </row>
    <row r="92" spans="1:9" s="10" customFormat="1" ht="33" customHeight="1" x14ac:dyDescent="0.4">
      <c r="A92" s="81" t="s">
        <v>137</v>
      </c>
      <c r="B92" s="98" t="s">
        <v>197</v>
      </c>
      <c r="C92" s="99">
        <f>C6+C12+C20+C21+C22+C23+C81+C87-C18</f>
        <v>78535573</v>
      </c>
      <c r="D92" s="99">
        <f>D6+D12+D20+D21+D22+D23+D81+D87-D18</f>
        <v>78779292</v>
      </c>
      <c r="E92" s="99">
        <f t="shared" si="2"/>
        <v>243719</v>
      </c>
      <c r="F92" s="100">
        <f t="shared" si="3"/>
        <v>1.0031000000000001</v>
      </c>
    </row>
    <row r="93" spans="1:9" s="10" customFormat="1" ht="33" customHeight="1" x14ac:dyDescent="0.4">
      <c r="A93" s="96" t="s">
        <v>138</v>
      </c>
      <c r="B93" s="101" t="s">
        <v>198</v>
      </c>
      <c r="C93" s="99">
        <f>C9+C15+C25+C26+C55+C56+C57+C60+C82+C90</f>
        <v>80108673</v>
      </c>
      <c r="D93" s="99">
        <f>D9+D15+D25+D26+D55+D56+D57+D60+D82+D90</f>
        <v>80352392</v>
      </c>
      <c r="E93" s="99">
        <f t="shared" si="2"/>
        <v>243719</v>
      </c>
      <c r="F93" s="100">
        <f t="shared" si="3"/>
        <v>1.0029999999999999</v>
      </c>
      <c r="I93" s="109"/>
    </row>
    <row r="94" spans="1:9" ht="26.25" x14ac:dyDescent="0.2">
      <c r="C94" s="11"/>
    </row>
    <row r="95" spans="1:9" ht="26.25" x14ac:dyDescent="0.2">
      <c r="C95" s="11"/>
    </row>
    <row r="96" spans="1:9" ht="26.25" x14ac:dyDescent="0.2">
      <c r="C96" s="11"/>
    </row>
    <row r="97" spans="3:3" ht="26.25" x14ac:dyDescent="0.2">
      <c r="C97" s="11"/>
    </row>
    <row r="98" spans="3:3" ht="26.25" x14ac:dyDescent="0.2">
      <c r="C98" s="11"/>
    </row>
    <row r="99" spans="3:3" ht="26.25" x14ac:dyDescent="0.2">
      <c r="C99" s="11"/>
    </row>
    <row r="100" spans="3:3" ht="26.25" x14ac:dyDescent="0.2">
      <c r="C100" s="11"/>
    </row>
    <row r="101" spans="3:3" ht="26.25" x14ac:dyDescent="0.2">
      <c r="C101" s="11"/>
    </row>
    <row r="102" spans="3:3" ht="26.25" x14ac:dyDescent="0.2">
      <c r="C102" s="11"/>
    </row>
    <row r="103" spans="3:3" ht="26.25" x14ac:dyDescent="0.2">
      <c r="C103" s="11"/>
    </row>
    <row r="104" spans="3:3" ht="26.25" x14ac:dyDescent="0.2">
      <c r="C104" s="11"/>
    </row>
  </sheetData>
  <mergeCells count="2">
    <mergeCell ref="A2:B2"/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7" fitToHeight="2" orientation="portrait" r:id="rId1"/>
  <headerFooter alignWithMargins="0">
    <oddFooter>&amp;R&amp;20&amp;P</oddFooter>
  </headerFooter>
  <rowBreaks count="1" manualBreakCount="1">
    <brk id="59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D6" sqref="D6:D93"/>
      <selection pane="topRight" activeCell="D6" sqref="D6:D93"/>
      <selection pane="bottomLeft" activeCell="D6" sqref="D6:D93"/>
      <selection pane="bottomRight" sqref="A1:F1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1" t="str">
        <f>NFZ!A1</f>
        <v>ZMIANA PLANU FINANSOWEGO NARODOWEGO FUNDUSZU ZDROWIA NA 2017 ROK Z DNIA 8 GRUDNIA 2017 R.</v>
      </c>
      <c r="B1" s="111"/>
      <c r="C1" s="111"/>
      <c r="D1" s="111"/>
      <c r="E1" s="111"/>
      <c r="F1" s="111"/>
    </row>
    <row r="2" spans="1:6" s="22" customFormat="1" ht="33" customHeight="1" x14ac:dyDescent="0.2">
      <c r="A2" s="67" t="s">
        <v>167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595092</v>
      </c>
      <c r="D6" s="102">
        <f>D7+D8+D9+D14+D15+D16+D17+D18+D19+D20+D21+D22+D23+D24+D28+D29+D31+D32+D33+D34</f>
        <v>595092</v>
      </c>
      <c r="E6" s="83" t="str">
        <f>IF(C6=D6,"-",D6-C6)</f>
        <v>-</v>
      </c>
      <c r="F6" s="103">
        <f>IF(C6=0,"-",D6/C6)</f>
        <v>1</v>
      </c>
    </row>
    <row r="7" spans="1:6" ht="33" customHeight="1" x14ac:dyDescent="0.2">
      <c r="A7" s="48" t="s">
        <v>1</v>
      </c>
      <c r="B7" s="14" t="s">
        <v>117</v>
      </c>
      <c r="C7" s="31">
        <f>IFERROR(VLOOKUP(A7,[4]CENTRALA!$A$7:$D$100,4,FALSE),0)</f>
        <v>0</v>
      </c>
      <c r="D7" s="13">
        <f>C7</f>
        <v>0</v>
      </c>
      <c r="E7" s="38" t="str">
        <f t="shared" ref="E7:E65" si="0">IF(C7=D7,"-",D7-C7)</f>
        <v>-</v>
      </c>
      <c r="F7" s="39" t="str">
        <f t="shared" ref="F7:F65" si="1">IF(C7=0,"-",D7/C7)</f>
        <v>-</v>
      </c>
    </row>
    <row r="8" spans="1:6" ht="33" customHeight="1" x14ac:dyDescent="0.2">
      <c r="A8" s="48" t="s">
        <v>2</v>
      </c>
      <c r="B8" s="14" t="s">
        <v>118</v>
      </c>
      <c r="C8" s="31">
        <f>IFERROR(VLOOKUP(A8,[4]CENTRALA!$A$7:$D$100,4,FALSE),0)</f>
        <v>0</v>
      </c>
      <c r="D8" s="13">
        <f>C8</f>
        <v>0</v>
      </c>
      <c r="E8" s="38" t="str">
        <f t="shared" si="0"/>
        <v>-</v>
      </c>
      <c r="F8" s="39" t="str">
        <f t="shared" si="1"/>
        <v>-</v>
      </c>
    </row>
    <row r="9" spans="1:6" ht="33" customHeight="1" x14ac:dyDescent="0.2">
      <c r="A9" s="48" t="s">
        <v>3</v>
      </c>
      <c r="B9" s="14" t="s">
        <v>115</v>
      </c>
      <c r="C9" s="31">
        <f>IFERROR(VLOOKUP(A9,[4]CENTRALA!$A$7:$D$100,4,FALSE),0)</f>
        <v>0</v>
      </c>
      <c r="D9" s="13">
        <f t="shared" ref="D9:D34" si="2">C9</f>
        <v>0</v>
      </c>
      <c r="E9" s="38" t="str">
        <f t="shared" si="0"/>
        <v>-</v>
      </c>
      <c r="F9" s="39" t="str">
        <f t="shared" si="1"/>
        <v>-</v>
      </c>
    </row>
    <row r="10" spans="1:6" ht="31.5" customHeight="1" x14ac:dyDescent="0.2">
      <c r="A10" s="49" t="s">
        <v>55</v>
      </c>
      <c r="B10" s="45" t="s">
        <v>140</v>
      </c>
      <c r="C10" s="31">
        <f>IFERROR(VLOOKUP(A10,[4]CENTRALA!$A$7:$D$100,4,FALSE),0)</f>
        <v>0</v>
      </c>
      <c r="D10" s="13">
        <f t="shared" si="2"/>
        <v>0</v>
      </c>
      <c r="E10" s="38" t="str">
        <f t="shared" si="0"/>
        <v>-</v>
      </c>
      <c r="F10" s="39" t="str">
        <f t="shared" si="1"/>
        <v>-</v>
      </c>
    </row>
    <row r="11" spans="1:6" ht="31.5" customHeight="1" x14ac:dyDescent="0.2">
      <c r="A11" s="49" t="s">
        <v>141</v>
      </c>
      <c r="B11" s="45" t="s">
        <v>144</v>
      </c>
      <c r="C11" s="31">
        <f>IFERROR(VLOOKUP(A11,[4]CENTRALA!$A$7:$D$100,4,FALSE),0)</f>
        <v>0</v>
      </c>
      <c r="D11" s="13">
        <f t="shared" si="2"/>
        <v>0</v>
      </c>
      <c r="E11" s="38" t="str">
        <f t="shared" si="0"/>
        <v>-</v>
      </c>
      <c r="F11" s="39" t="str">
        <f t="shared" si="1"/>
        <v>-</v>
      </c>
    </row>
    <row r="12" spans="1:6" ht="31.5" customHeight="1" x14ac:dyDescent="0.2">
      <c r="A12" s="49" t="s">
        <v>142</v>
      </c>
      <c r="B12" s="45" t="s">
        <v>145</v>
      </c>
      <c r="C12" s="31">
        <f>IFERROR(VLOOKUP(A12,[4]CENTRALA!$A$7:$D$100,4,FALSE),0)</f>
        <v>0</v>
      </c>
      <c r="D12" s="13">
        <f t="shared" si="2"/>
        <v>0</v>
      </c>
      <c r="E12" s="38" t="str">
        <f t="shared" si="0"/>
        <v>-</v>
      </c>
      <c r="F12" s="39" t="str">
        <f t="shared" si="1"/>
        <v>-</v>
      </c>
    </row>
    <row r="13" spans="1:6" ht="31.5" customHeight="1" x14ac:dyDescent="0.2">
      <c r="A13" s="49" t="s">
        <v>143</v>
      </c>
      <c r="B13" s="45" t="s">
        <v>146</v>
      </c>
      <c r="C13" s="31">
        <f>IFERROR(VLOOKUP(A13,[4]CENTRALA!$A$7:$D$100,4,FALSE),0)</f>
        <v>0</v>
      </c>
      <c r="D13" s="13">
        <f t="shared" si="2"/>
        <v>0</v>
      </c>
      <c r="E13" s="38" t="str">
        <f t="shared" si="0"/>
        <v>-</v>
      </c>
      <c r="F13" s="39" t="str">
        <f t="shared" si="1"/>
        <v>-</v>
      </c>
    </row>
    <row r="14" spans="1:6" ht="33" customHeight="1" x14ac:dyDescent="0.2">
      <c r="A14" s="48" t="s">
        <v>4</v>
      </c>
      <c r="B14" s="14" t="s">
        <v>123</v>
      </c>
      <c r="C14" s="31">
        <f>IFERROR(VLOOKUP(A14,[4]CENTRALA!$A$7:$D$100,4,FALSE),0)</f>
        <v>0</v>
      </c>
      <c r="D14" s="13">
        <f t="shared" si="2"/>
        <v>0</v>
      </c>
      <c r="E14" s="38" t="str">
        <f t="shared" si="0"/>
        <v>-</v>
      </c>
      <c r="F14" s="39" t="str">
        <f t="shared" si="1"/>
        <v>-</v>
      </c>
    </row>
    <row r="15" spans="1:6" ht="33" customHeight="1" x14ac:dyDescent="0.2">
      <c r="A15" s="48" t="s">
        <v>5</v>
      </c>
      <c r="B15" s="14" t="s">
        <v>119</v>
      </c>
      <c r="C15" s="31">
        <f>IFERROR(VLOOKUP(A15,[4]CENTRALA!$A$7:$D$100,4,FALSE),0)</f>
        <v>0</v>
      </c>
      <c r="D15" s="13">
        <f t="shared" si="2"/>
        <v>0</v>
      </c>
      <c r="E15" s="38" t="str">
        <f t="shared" si="0"/>
        <v>-</v>
      </c>
      <c r="F15" s="39" t="str">
        <f t="shared" si="1"/>
        <v>-</v>
      </c>
    </row>
    <row r="16" spans="1:6" ht="33" customHeight="1" x14ac:dyDescent="0.2">
      <c r="A16" s="48" t="s">
        <v>6</v>
      </c>
      <c r="B16" s="14" t="s">
        <v>125</v>
      </c>
      <c r="C16" s="31">
        <f>IFERROR(VLOOKUP(A16,[4]CENTRALA!$A$7:$D$100,4,FALSE),0)</f>
        <v>0</v>
      </c>
      <c r="D16" s="13">
        <f t="shared" si="2"/>
        <v>0</v>
      </c>
      <c r="E16" s="38" t="str">
        <f t="shared" si="0"/>
        <v>-</v>
      </c>
      <c r="F16" s="39" t="str">
        <f t="shared" si="1"/>
        <v>-</v>
      </c>
    </row>
    <row r="17" spans="1:6" ht="33" customHeight="1" x14ac:dyDescent="0.2">
      <c r="A17" s="48" t="s">
        <v>7</v>
      </c>
      <c r="B17" s="14" t="s">
        <v>124</v>
      </c>
      <c r="C17" s="31">
        <f>IFERROR(VLOOKUP(A17,[4]CENTRALA!$A$7:$D$100,4,FALSE),0)</f>
        <v>0</v>
      </c>
      <c r="D17" s="13">
        <f t="shared" si="2"/>
        <v>0</v>
      </c>
      <c r="E17" s="38" t="str">
        <f t="shared" si="0"/>
        <v>-</v>
      </c>
      <c r="F17" s="39" t="str">
        <f t="shared" si="1"/>
        <v>-</v>
      </c>
    </row>
    <row r="18" spans="1:6" ht="33" customHeight="1" x14ac:dyDescent="0.2">
      <c r="A18" s="48" t="s">
        <v>8</v>
      </c>
      <c r="B18" s="14" t="s">
        <v>120</v>
      </c>
      <c r="C18" s="31">
        <f>IFERROR(VLOOKUP(A18,[4]CENTRALA!$A$7:$D$100,4,FALSE),0)</f>
        <v>0</v>
      </c>
      <c r="D18" s="13">
        <f t="shared" si="2"/>
        <v>0</v>
      </c>
      <c r="E18" s="38" t="str">
        <f t="shared" si="0"/>
        <v>-</v>
      </c>
      <c r="F18" s="39" t="str">
        <f t="shared" si="1"/>
        <v>-</v>
      </c>
    </row>
    <row r="19" spans="1:6" ht="33" customHeight="1" x14ac:dyDescent="0.2">
      <c r="A19" s="48" t="s">
        <v>9</v>
      </c>
      <c r="B19" s="14" t="s">
        <v>121</v>
      </c>
      <c r="C19" s="31">
        <f>IFERROR(VLOOKUP(A19,[4]CENTRALA!$A$7:$D$100,4,FALSE),0)</f>
        <v>0</v>
      </c>
      <c r="D19" s="13">
        <f t="shared" si="2"/>
        <v>0</v>
      </c>
      <c r="E19" s="38" t="str">
        <f t="shared" si="0"/>
        <v>-</v>
      </c>
      <c r="F19" s="39" t="str">
        <f t="shared" si="1"/>
        <v>-</v>
      </c>
    </row>
    <row r="20" spans="1:6" ht="33" customHeight="1" x14ac:dyDescent="0.2">
      <c r="A20" s="48" t="s">
        <v>10</v>
      </c>
      <c r="B20" s="14" t="s">
        <v>126</v>
      </c>
      <c r="C20" s="31">
        <f>IFERROR(VLOOKUP(A20,[4]CENTRALA!$A$7:$D$100,4,FALSE),0)</f>
        <v>0</v>
      </c>
      <c r="D20" s="13">
        <f t="shared" si="2"/>
        <v>0</v>
      </c>
      <c r="E20" s="38" t="str">
        <f t="shared" si="0"/>
        <v>-</v>
      </c>
      <c r="F20" s="39" t="str">
        <f t="shared" si="1"/>
        <v>-</v>
      </c>
    </row>
    <row r="21" spans="1:6" ht="46.5" customHeight="1" x14ac:dyDescent="0.2">
      <c r="A21" s="48" t="s">
        <v>11</v>
      </c>
      <c r="B21" s="14" t="s">
        <v>122</v>
      </c>
      <c r="C21" s="31">
        <f>IFERROR(VLOOKUP(A21,[4]CENTRALA!$A$7:$D$100,4,FALSE),0)</f>
        <v>0</v>
      </c>
      <c r="D21" s="13">
        <f t="shared" si="2"/>
        <v>0</v>
      </c>
      <c r="E21" s="38" t="str">
        <f t="shared" si="0"/>
        <v>-</v>
      </c>
      <c r="F21" s="39" t="str">
        <f t="shared" si="1"/>
        <v>-</v>
      </c>
    </row>
    <row r="22" spans="1:6" ht="33" customHeight="1" x14ac:dyDescent="0.2">
      <c r="A22" s="48" t="s">
        <v>12</v>
      </c>
      <c r="B22" s="14" t="s">
        <v>163</v>
      </c>
      <c r="C22" s="31">
        <f>IFERROR(VLOOKUP(A22,[4]CENTRALA!$A$7:$D$100,4,FALSE),0)</f>
        <v>0</v>
      </c>
      <c r="D22" s="13">
        <f t="shared" si="2"/>
        <v>0</v>
      </c>
      <c r="E22" s="38" t="str">
        <f t="shared" si="0"/>
        <v>-</v>
      </c>
      <c r="F22" s="39" t="str">
        <f t="shared" si="1"/>
        <v>-</v>
      </c>
    </row>
    <row r="23" spans="1:6" ht="33" customHeight="1" x14ac:dyDescent="0.2">
      <c r="A23" s="48" t="s">
        <v>13</v>
      </c>
      <c r="B23" s="14" t="s">
        <v>147</v>
      </c>
      <c r="C23" s="31">
        <f>IFERROR(VLOOKUP(A23,[4]CENTRALA!$A$7:$D$100,4,FALSE),0)</f>
        <v>0</v>
      </c>
      <c r="D23" s="13">
        <f t="shared" si="2"/>
        <v>0</v>
      </c>
      <c r="E23" s="38" t="str">
        <f t="shared" si="0"/>
        <v>-</v>
      </c>
      <c r="F23" s="39" t="str">
        <f t="shared" si="1"/>
        <v>-</v>
      </c>
    </row>
    <row r="24" spans="1:6" ht="33" customHeight="1" x14ac:dyDescent="0.2">
      <c r="A24" s="50" t="s">
        <v>14</v>
      </c>
      <c r="B24" s="30" t="s">
        <v>180</v>
      </c>
      <c r="C24" s="31">
        <f>IFERROR(VLOOKUP(A24,[4]CENTRALA!$A$7:$D$100,4,FALSE),0)</f>
        <v>0</v>
      </c>
      <c r="D24" s="31">
        <f>SUM(D25:D27)</f>
        <v>0</v>
      </c>
      <c r="E24" s="38" t="str">
        <f t="shared" si="0"/>
        <v>-</v>
      </c>
      <c r="F24" s="39" t="str">
        <f t="shared" si="1"/>
        <v>-</v>
      </c>
    </row>
    <row r="25" spans="1:6" ht="37.5" x14ac:dyDescent="0.2">
      <c r="A25" s="49" t="s">
        <v>127</v>
      </c>
      <c r="B25" s="45" t="s">
        <v>149</v>
      </c>
      <c r="C25" s="31">
        <f>IFERROR(VLOOKUP(A25,[4]CENTRALA!$A$7:$D$100,4,FALSE),0)</f>
        <v>0</v>
      </c>
      <c r="D25" s="13">
        <f t="shared" si="2"/>
        <v>0</v>
      </c>
      <c r="E25" s="38" t="str">
        <f t="shared" si="0"/>
        <v>-</v>
      </c>
      <c r="F25" s="39" t="str">
        <f t="shared" si="1"/>
        <v>-</v>
      </c>
    </row>
    <row r="26" spans="1:6" ht="31.5" customHeight="1" x14ac:dyDescent="0.2">
      <c r="A26" s="49" t="s">
        <v>148</v>
      </c>
      <c r="B26" s="45" t="s">
        <v>151</v>
      </c>
      <c r="C26" s="31">
        <f>IFERROR(VLOOKUP(A26,[4]CENTRALA!$A$7:$D$100,4,FALSE),0)</f>
        <v>0</v>
      </c>
      <c r="D26" s="13">
        <f t="shared" si="2"/>
        <v>0</v>
      </c>
      <c r="E26" s="38" t="str">
        <f t="shared" si="0"/>
        <v>-</v>
      </c>
      <c r="F26" s="39" t="str">
        <f t="shared" si="1"/>
        <v>-</v>
      </c>
    </row>
    <row r="27" spans="1:6" ht="37.5" x14ac:dyDescent="0.2">
      <c r="A27" s="49" t="s">
        <v>152</v>
      </c>
      <c r="B27" s="45" t="s">
        <v>150</v>
      </c>
      <c r="C27" s="31">
        <f>IFERROR(VLOOKUP(A27,[4]CENTRALA!$A$7:$D$100,4,FALSE),0)</f>
        <v>0</v>
      </c>
      <c r="D27" s="13">
        <f t="shared" si="2"/>
        <v>0</v>
      </c>
      <c r="E27" s="38" t="str">
        <f t="shared" si="0"/>
        <v>-</v>
      </c>
      <c r="F27" s="39" t="str">
        <f t="shared" si="1"/>
        <v>-</v>
      </c>
    </row>
    <row r="28" spans="1:6" ht="33" customHeight="1" x14ac:dyDescent="0.2">
      <c r="A28" s="51" t="s">
        <v>15</v>
      </c>
      <c r="B28" s="15" t="s">
        <v>111</v>
      </c>
      <c r="C28" s="31">
        <f>IFERROR(VLOOKUP(A28,[4]CENTRALA!$A$7:$D$100,4,FALSE),0)</f>
        <v>545092</v>
      </c>
      <c r="D28" s="13">
        <f t="shared" si="2"/>
        <v>545092</v>
      </c>
      <c r="E28" s="38" t="str">
        <f t="shared" si="0"/>
        <v>-</v>
      </c>
      <c r="F28" s="39">
        <f t="shared" si="1"/>
        <v>1</v>
      </c>
    </row>
    <row r="29" spans="1:6" ht="33" customHeight="1" x14ac:dyDescent="0.2">
      <c r="A29" s="51" t="s">
        <v>108</v>
      </c>
      <c r="B29" s="16" t="s">
        <v>153</v>
      </c>
      <c r="C29" s="31">
        <f>IFERROR(VLOOKUP(A29,[4]CENTRALA!$A$7:$D$100,4,FALSE),0)</f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f>IFERROR(VLOOKUP(A30,[4]CENTRALA!$A$7:$D$100,4,FALSE),0)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f>IFERROR(VLOOKUP(A31,[4]CENTRALA!$A$7:$D$100,4,FALSE),0)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f>IFERROR(VLOOKUP(A32,[4]CENTRALA!$A$7:$D$100,4,FALSE),0)</f>
        <v>0</v>
      </c>
      <c r="D32" s="13">
        <f t="shared" si="2"/>
        <v>0</v>
      </c>
      <c r="E32" s="38" t="str">
        <f t="shared" si="0"/>
        <v>-</v>
      </c>
      <c r="F32" s="39" t="str">
        <f t="shared" si="1"/>
        <v>-</v>
      </c>
    </row>
    <row r="33" spans="1:6" ht="42.75" customHeight="1" x14ac:dyDescent="0.2">
      <c r="A33" s="51" t="s">
        <v>181</v>
      </c>
      <c r="B33" s="16" t="s">
        <v>182</v>
      </c>
      <c r="C33" s="31">
        <f>IFERROR(VLOOKUP(A33,[4]CENTRALA!$A$7:$D$100,4,FALSE),0)</f>
        <v>50000</v>
      </c>
      <c r="D33" s="13">
        <f t="shared" si="2"/>
        <v>50000</v>
      </c>
      <c r="E33" s="38" t="str">
        <f>IF(C33=D33,"-",D33-C33)</f>
        <v>-</v>
      </c>
      <c r="F33" s="39">
        <f>IF(C33=0,"-",D33/C33)</f>
        <v>1</v>
      </c>
    </row>
    <row r="34" spans="1:6" ht="33" customHeight="1" x14ac:dyDescent="0.2">
      <c r="A34" s="51" t="s">
        <v>190</v>
      </c>
      <c r="B34" s="16" t="s">
        <v>191</v>
      </c>
      <c r="C34" s="31">
        <f>IFERROR(VLOOKUP(A34,[4]CENTRALA!$A$7:$D$100,4,FALSE),0)</f>
        <v>0</v>
      </c>
      <c r="D34" s="13">
        <f t="shared" si="2"/>
        <v>0</v>
      </c>
      <c r="E34" s="38" t="str">
        <f>IF(C34=D34,"-",D34-C34)</f>
        <v>-</v>
      </c>
      <c r="F34" s="39" t="str">
        <f>IF(C34=0,"-",D34/C34)</f>
        <v>-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f>IFERROR(VLOOKUP(A35,[4]CENTRALA!$A$7:$D$100,4,FALSE),0)</f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f>IFERROR(VLOOKUP(A36,[4]CENTRALA!$A$7:$D$100,4,FALSE),0)</f>
        <v>0</v>
      </c>
      <c r="D36" s="37">
        <f>C36</f>
        <v>0</v>
      </c>
      <c r="E36" s="7" t="str">
        <f t="shared" si="0"/>
        <v>-</v>
      </c>
      <c r="F36" s="40" t="str">
        <f t="shared" si="1"/>
        <v>-</v>
      </c>
    </row>
    <row r="37" spans="1:6" s="2" customFormat="1" ht="60.75" x14ac:dyDescent="0.2">
      <c r="A37" s="52" t="s">
        <v>192</v>
      </c>
      <c r="B37" s="17" t="s">
        <v>193</v>
      </c>
      <c r="C37" s="32">
        <f>IFERROR(VLOOKUP(A37,[4]CENTRALA!$A$7:$D$100,4,FALSE),0)</f>
        <v>0</v>
      </c>
      <c r="D37" s="37">
        <f>C37</f>
        <v>0</v>
      </c>
      <c r="E37" s="7" t="str">
        <f t="shared" si="0"/>
        <v>-</v>
      </c>
      <c r="F37" s="40" t="str">
        <f t="shared" si="1"/>
        <v>-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0</v>
      </c>
      <c r="D38" s="32">
        <f>D11+D13+D24+D30</f>
        <v>0</v>
      </c>
      <c r="E38" s="7" t="str">
        <f t="shared" si="0"/>
        <v>-</v>
      </c>
      <c r="F38" s="40" t="str">
        <f t="shared" si="1"/>
        <v>-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233968</v>
      </c>
      <c r="D39" s="87">
        <f>D40+D41+D42+D50+D52+D58+D59+D57</f>
        <v>233968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f>IFERROR(VLOOKUP(A40,[4]CENTRALA!$A$7:$D$100,4,FALSE),0)</f>
        <v>3632</v>
      </c>
      <c r="D40" s="33">
        <f>C40</f>
        <v>3632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f>IFERROR(VLOOKUP(A41,[4]CENTRALA!$A$7:$D$100,4,FALSE),0)</f>
        <v>116349</v>
      </c>
      <c r="D41" s="33">
        <f t="shared" ref="D41:D59" si="3">C41</f>
        <v>116349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713</v>
      </c>
      <c r="D42" s="33">
        <f>D43+D45+D46+D47+D48+D49</f>
        <v>713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f>IFERROR(VLOOKUP(A43,[4]CENTRALA!$A$7:$D$100,4,FALSE),0)</f>
        <v>100</v>
      </c>
      <c r="D43" s="33">
        <f t="shared" si="3"/>
        <v>100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f>IFERROR(VLOOKUP(A44,[4]CENTRALA!$A$7:$D$100,4,FALSE),0)</f>
        <v>100</v>
      </c>
      <c r="D44" s="33">
        <f t="shared" si="3"/>
        <v>100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f>IFERROR(VLOOKUP(A45,[4]CENTRALA!$A$7:$D$100,4,FALSE),0)</f>
        <v>94</v>
      </c>
      <c r="D45" s="33">
        <f t="shared" si="3"/>
        <v>94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f>IFERROR(VLOOKUP(A46,[4]CENTRALA!$A$7:$D$100,4,FALSE),0)</f>
        <v>22</v>
      </c>
      <c r="D46" s="33">
        <f t="shared" si="3"/>
        <v>22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53" t="s">
        <v>42</v>
      </c>
      <c r="B47" s="46" t="s">
        <v>35</v>
      </c>
      <c r="C47" s="31">
        <f>IFERROR(VLOOKUP(A47,[4]CENTRALA!$A$7:$D$100,4,FALSE),0)</f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f>IFERROR(VLOOKUP(A48,[4]CENTRALA!$A$7:$D$100,4,FALSE),0)</f>
        <v>382</v>
      </c>
      <c r="D48" s="33">
        <f t="shared" si="3"/>
        <v>382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f>IFERROR(VLOOKUP(A49,[4]CENTRALA!$A$7:$D$100,4,FALSE),0)</f>
        <v>115</v>
      </c>
      <c r="D49" s="33">
        <f t="shared" si="3"/>
        <v>115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f>IFERROR(VLOOKUP(A50,[4]CENTRALA!$A$7:$D$100,4,FALSE),0)</f>
        <v>37918</v>
      </c>
      <c r="D50" s="33">
        <f t="shared" si="3"/>
        <v>37918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f>IFERROR(VLOOKUP(A51,[4]CENTRALA!$A$7:$D$100,4,FALSE),0)</f>
        <v>358</v>
      </c>
      <c r="D51" s="33">
        <f t="shared" si="3"/>
        <v>358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9399</v>
      </c>
      <c r="D52" s="29">
        <f>D53+D54+D55+D56</f>
        <v>9399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f>IFERROR(VLOOKUP(A53,[4]CENTRALA!$A$7:$D$100,4,FALSE),0)</f>
        <v>6519</v>
      </c>
      <c r="D53" s="33">
        <f t="shared" si="3"/>
        <v>6519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f>IFERROR(VLOOKUP(A54,[4]CENTRALA!$A$7:$D$100,4,FALSE),0)</f>
        <v>930</v>
      </c>
      <c r="D54" s="33">
        <f t="shared" si="3"/>
        <v>930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f>IFERROR(VLOOKUP(A55,[4]CENTRALA!$A$7:$D$100,4,FALSE),0)</f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f>IFERROR(VLOOKUP(A56,[4]CENTRALA!$A$7:$D$100,4,FALSE),0)</f>
        <v>1950</v>
      </c>
      <c r="D56" s="33">
        <f t="shared" si="3"/>
        <v>1950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f>IFERROR(VLOOKUP(A57,[4]CENTRALA!$A$7:$D$100,4,FALSE),0)</f>
        <v>50</v>
      </c>
      <c r="D57" s="33">
        <f t="shared" si="3"/>
        <v>50</v>
      </c>
      <c r="E57" s="38" t="str">
        <f t="shared" si="0"/>
        <v>-</v>
      </c>
      <c r="F57" s="39">
        <f t="shared" si="1"/>
        <v>1</v>
      </c>
    </row>
    <row r="58" spans="1:6" ht="28.5" customHeight="1" x14ac:dyDescent="0.2">
      <c r="A58" s="51" t="s">
        <v>26</v>
      </c>
      <c r="B58" s="18" t="s">
        <v>160</v>
      </c>
      <c r="C58" s="31">
        <f>IFERROR(VLOOKUP(A58,[4]CENTRALA!$A$7:$D$100,4,FALSE),0)</f>
        <v>64000</v>
      </c>
      <c r="D58" s="33">
        <f t="shared" si="3"/>
        <v>64000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f>IFERROR(VLOOKUP(A59,[4]CENTRALA!$A$7:$D$100,4,FALSE),0)</f>
        <v>1907</v>
      </c>
      <c r="D59" s="33">
        <f t="shared" si="3"/>
        <v>1907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7555</v>
      </c>
      <c r="D60" s="107">
        <f>D61+D62+D63+D64</f>
        <v>41220</v>
      </c>
      <c r="E60" s="83">
        <f t="shared" si="0"/>
        <v>33665</v>
      </c>
      <c r="F60" s="108">
        <f t="shared" si="1"/>
        <v>5.4560000000000004</v>
      </c>
    </row>
    <row r="61" spans="1:6" ht="42" customHeight="1" x14ac:dyDescent="0.2">
      <c r="A61" s="51" t="s">
        <v>100</v>
      </c>
      <c r="B61" s="18" t="s">
        <v>113</v>
      </c>
      <c r="C61" s="31">
        <f>IFERROR(VLOOKUP(A61,[4]CENTRALA!$A$7:$D$100,4,FALSE),0)</f>
        <v>875</v>
      </c>
      <c r="D61" s="33">
        <f>C61-335</f>
        <v>540</v>
      </c>
      <c r="E61" s="29">
        <f t="shared" si="0"/>
        <v>-335</v>
      </c>
      <c r="F61" s="39">
        <f t="shared" si="1"/>
        <v>0.61709999999999998</v>
      </c>
    </row>
    <row r="62" spans="1:6" ht="31.5" customHeight="1" x14ac:dyDescent="0.2">
      <c r="A62" s="51" t="s">
        <v>29</v>
      </c>
      <c r="B62" s="18" t="s">
        <v>54</v>
      </c>
      <c r="C62" s="31">
        <f>IFERROR(VLOOKUP(A62,[4]CENTRALA!$A$7:$D$100,4,FALSE),0)</f>
        <v>1180</v>
      </c>
      <c r="D62" s="33">
        <f>C62-500</f>
        <v>680</v>
      </c>
      <c r="E62" s="29">
        <f t="shared" si="0"/>
        <v>-500</v>
      </c>
      <c r="F62" s="39">
        <f t="shared" si="1"/>
        <v>0.57630000000000003</v>
      </c>
    </row>
    <row r="63" spans="1:6" ht="31.5" customHeight="1" x14ac:dyDescent="0.2">
      <c r="A63" s="51" t="s">
        <v>30</v>
      </c>
      <c r="B63" s="18" t="s">
        <v>102</v>
      </c>
      <c r="C63" s="31">
        <f>IFERROR(VLOOKUP(A63,[4]CENTRALA!$A$7:$D$100,4,FALSE),0)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f>IFERROR(VLOOKUP(A64,[4]CENTRALA!$A$7:$D$100,4,FALSE),0)</f>
        <v>5500</v>
      </c>
      <c r="D64" s="33">
        <f>C64+34500</f>
        <v>40000</v>
      </c>
      <c r="E64" s="29">
        <f t="shared" si="0"/>
        <v>34500</v>
      </c>
      <c r="F64" s="39">
        <f t="shared" si="1"/>
        <v>7.2727000000000004</v>
      </c>
    </row>
    <row r="65" spans="1:6" ht="32.25" customHeight="1" x14ac:dyDescent="0.2">
      <c r="A65" s="94" t="s">
        <v>135</v>
      </c>
      <c r="B65" s="95" t="s">
        <v>114</v>
      </c>
      <c r="C65" s="107">
        <f>IFERROR(VLOOKUP(A65,[4]CENTRALA!$A$7:$D$100,4,FALSE),0)</f>
        <v>30182</v>
      </c>
      <c r="D65" s="107">
        <f>C65-10182-50</f>
        <v>19950</v>
      </c>
      <c r="E65" s="83">
        <f t="shared" si="0"/>
        <v>-10232</v>
      </c>
      <c r="F65" s="108">
        <f t="shared" si="1"/>
        <v>0.66100000000000003</v>
      </c>
    </row>
    <row r="71" spans="1:6" x14ac:dyDescent="0.2">
      <c r="C71" s="34"/>
    </row>
  </sheetData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7" orientation="portrait" r:id="rId1"/>
  <headerFooter alignWithMargins="0">
    <oddFooter>&amp;R&amp;20&amp;P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view="pageBreakPreview" zoomScale="55" zoomScaleNormal="60" zoomScaleSheetLayoutView="55" workbookViewId="0">
      <pane xSplit="2" ySplit="6" topLeftCell="C46" activePane="bottomRight" state="frozen"/>
      <selection activeCell="D6" sqref="D6:D93"/>
      <selection pane="topRight" activeCell="D6" sqref="D6:D93"/>
      <selection pane="bottomLeft" activeCell="D6" sqref="D6:D93"/>
      <selection pane="bottomRight" activeCell="D6" sqref="D6:D93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1" t="str">
        <f>NFZ!A1</f>
        <v>ZMIANA PLANU FINANSOWEGO NARODOWEGO FUNDUSZU ZDROWIA NA 2017 ROK Z DNIA 8 GRUDNIA 2017 R.</v>
      </c>
      <c r="B1" s="111"/>
      <c r="C1" s="111"/>
      <c r="D1" s="111"/>
      <c r="E1" s="111"/>
      <c r="F1" s="111"/>
    </row>
    <row r="2" spans="1:6" s="22" customFormat="1" ht="33" customHeight="1" x14ac:dyDescent="0.2">
      <c r="A2" s="67" t="s">
        <v>168</v>
      </c>
      <c r="B2" s="67"/>
      <c r="C2" s="67"/>
    </row>
    <row r="3" spans="1:6" ht="33" customHeight="1" x14ac:dyDescent="0.25">
      <c r="A3" s="4"/>
      <c r="B3" s="5"/>
      <c r="C3" s="35"/>
      <c r="D3" s="43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75804376</v>
      </c>
      <c r="D6" s="102">
        <f>D7+D8+D9+D14+D15+D16+D17+D18+D19+D20+D21+D22+D23+D24+D28+D29+D31+D32+D33+D34</f>
        <v>76063934</v>
      </c>
      <c r="E6" s="83">
        <f>IF(C6=D6,"-",D6-C6)</f>
        <v>259558</v>
      </c>
      <c r="F6" s="103">
        <f>IF(C6=0,"-",D6/C6)</f>
        <v>1.0029999999999999</v>
      </c>
    </row>
    <row r="7" spans="1:6" ht="33" customHeight="1" x14ac:dyDescent="0.2">
      <c r="A7" s="48" t="s">
        <v>1</v>
      </c>
      <c r="B7" s="14" t="s">
        <v>117</v>
      </c>
      <c r="C7" s="31">
        <f>Dolnośląski!C7+KujawskoPomorski!C7+Lubelski!C7+Lubuski!C7+Łódzki!C7+Małopolski!C7+Mazowiecki!C7+Opolski!C7+Podkarpacki!C7+Podlaski!C7+Pomorski!C7+Śląski!C7+Świętokrzyski!C7+WarmińskoMazurski!C7+Wielkopolski!C7+Zachodniopomorski!C7</f>
        <v>10170509</v>
      </c>
      <c r="D7" s="13">
        <f>Dolnośląski!D7+KujawskoPomorski!D7+Lubelski!D7+Lubuski!D7+Łódzki!D7+Małopolski!D7+Mazowiecki!D7+Opolski!D7+Podkarpacki!D7+Podlaski!D7+Pomorski!D7+Śląski!D7+Świętokrzyski!D7+WarmińskoMazurski!D7+Wielkopolski!D7+Zachodniopomorski!D7</f>
        <v>10170509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f>Dolnośląski!C8+KujawskoPomorski!C8+Lubelski!C8+Lubuski!C8+Łódzki!C8+Małopolski!C8+Mazowiecki!C8+Opolski!C8+Podkarpacki!C8+Podlaski!C8+Pomorski!C8+Śląski!C8+Świętokrzyski!C8+WarmińskoMazurski!C8+Wielkopolski!C8+Zachodniopomorski!C8</f>
        <v>5636323</v>
      </c>
      <c r="D8" s="13">
        <f>Dolnośląski!D8+KujawskoPomorski!D8+Lubelski!D8+Lubuski!D8+Łódzki!D8+Małopolski!D8+Mazowiecki!D8+Opolski!D8+Podkarpacki!D8+Podlaski!D8+Pomorski!D8+Śląski!D8+Świętokrzyski!D8+WarmińskoMazurski!D8+Wielkopolski!D8+Zachodniopomorski!D8</f>
        <v>5636323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f>Dolnośląski!C9+KujawskoPomorski!C9+Lubelski!C9+Lubuski!C9+Łódzki!C9+Małopolski!C9+Mazowiecki!C9+Opolski!C9+Podkarpacki!C9+Podlaski!C9+Pomorski!C9+Śląski!C9+Świętokrzyski!C9+WarmińskoMazurski!C9+Wielkopolski!C9+Zachodniopomorski!C9</f>
        <v>38480221</v>
      </c>
      <c r="D9" s="13">
        <f>Dolnośląski!D9+KujawskoPomorski!D9+Lubelski!D9+Lubuski!D9+Łódzki!D9+Małopolski!D9+Mazowiecki!D9+Opolski!D9+Podkarpacki!D9+Podlaski!D9+Pomorski!D9+Śląski!D9+Świętokrzyski!D9+WarmińskoMazurski!D9+Wielkopolski!D9+Zachodniopomorski!D9</f>
        <v>38739779</v>
      </c>
      <c r="E9" s="38">
        <f t="shared" si="0"/>
        <v>259558</v>
      </c>
      <c r="F9" s="39">
        <f t="shared" si="1"/>
        <v>1.0066999999999999</v>
      </c>
    </row>
    <row r="10" spans="1:6" ht="31.5" customHeight="1" x14ac:dyDescent="0.2">
      <c r="A10" s="49" t="s">
        <v>55</v>
      </c>
      <c r="B10" s="45" t="s">
        <v>140</v>
      </c>
      <c r="C10" s="31">
        <f>Dolnośląski!C10+KujawskoPomorski!C10+Lubelski!C10+Lubuski!C10+Łódzki!C10+Małopolski!C10+Mazowiecki!C10+Opolski!C10+Podkarpacki!C10+Podlaski!C10+Pomorski!C10+Śląski!C10+Świętokrzyski!C10+WarmińskoMazurski!C10+Wielkopolski!C10+Zachodniopomorski!C10</f>
        <v>3624798</v>
      </c>
      <c r="D10" s="13">
        <f>Dolnośląski!D10+KujawskoPomorski!D10+Lubelski!D10+Lubuski!D10+Łódzki!D10+Małopolski!D10+Mazowiecki!D10+Opolski!D10+Podkarpacki!D10+Podlaski!D10+Pomorski!D10+Śląski!D10+Świętokrzyski!D10+WarmińskoMazurski!D10+Wielkopolski!D10+Zachodniopomorski!D10</f>
        <v>3624798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f>Dolnośląski!C11+KujawskoPomorski!C11+Lubelski!C11+Lubuski!C11+Łódzki!C11+Małopolski!C11+Mazowiecki!C11+Opolski!C11+Podkarpacki!C11+Podlaski!C11+Pomorski!C11+Śląski!C11+Świętokrzyski!C11+WarmińskoMazurski!C11+Wielkopolski!C11+Zachodniopomorski!C11</f>
        <v>3294212</v>
      </c>
      <c r="D11" s="13">
        <f>Dolnośląski!D11+KujawskoPomorski!D11+Lubelski!D11+Lubuski!D11+Łódzki!D11+Małopolski!D11+Mazowiecki!D11+Opolski!D11+Podkarpacki!D11+Podlaski!D11+Pomorski!D11+Śląski!D11+Świętokrzyski!D11+WarmińskoMazurski!D11+Wielkopolski!D11+Zachodniopomorski!D11</f>
        <v>3294212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f>Dolnośląski!C12+KujawskoPomorski!C12+Lubelski!C12+Lubuski!C12+Łódzki!C12+Małopolski!C12+Mazowiecki!C12+Opolski!C12+Podkarpacki!C12+Podlaski!C12+Pomorski!C12+Śląski!C12+Świętokrzyski!C12+WarmińskoMazurski!C12+Wielkopolski!C12+Zachodniopomorski!C12</f>
        <v>1438758</v>
      </c>
      <c r="D12" s="13">
        <f>Dolnośląski!D12+KujawskoPomorski!D12+Lubelski!D12+Lubuski!D12+Łódzki!D12+Małopolski!D12+Mazowiecki!D12+Opolski!D12+Podkarpacki!D12+Podlaski!D12+Pomorski!D12+Śląski!D12+Świętokrzyski!D12+WarmińskoMazurski!D12+Wielkopolski!D12+Zachodniopomorski!D12</f>
        <v>1438758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f>Dolnośląski!C13+KujawskoPomorski!C13+Lubelski!C13+Lubuski!C13+Łódzki!C13+Małopolski!C13+Mazowiecki!C13+Opolski!C13+Podkarpacki!C13+Podlaski!C13+Pomorski!C13+Śląski!C13+Świętokrzyski!C13+WarmińskoMazurski!C13+Wielkopolski!C13+Zachodniopomorski!C13</f>
        <v>675753</v>
      </c>
      <c r="D13" s="13">
        <f>Dolnośląski!D13+KujawskoPomorski!D13+Lubelski!D13+Lubuski!D13+Łódzki!D13+Małopolski!D13+Mazowiecki!D13+Opolski!D13+Podkarpacki!D13+Podlaski!D13+Pomorski!D13+Śląski!D13+Świętokrzyski!D13+WarmińskoMazurski!D13+Wielkopolski!D13+Zachodniopomorski!D13</f>
        <v>675753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f>Dolnośląski!C14+KujawskoPomorski!C14+Lubelski!C14+Lubuski!C14+Łódzki!C14+Małopolski!C14+Mazowiecki!C14+Opolski!C14+Podkarpacki!C14+Podlaski!C14+Pomorski!C14+Śląski!C14+Świętokrzyski!C14+WarmińskoMazurski!C14+Wielkopolski!C14+Zachodniopomorski!C14</f>
        <v>2685552</v>
      </c>
      <c r="D14" s="13">
        <f>Dolnośląski!D14+KujawskoPomorski!D14+Lubelski!D14+Lubuski!D14+Łódzki!D14+Małopolski!D14+Mazowiecki!D14+Opolski!D14+Podkarpacki!D14+Podlaski!D14+Pomorski!D14+Śląski!D14+Świętokrzyski!D14+WarmińskoMazurski!D14+Wielkopolski!D14+Zachodniopomorski!D14</f>
        <v>2685552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f>Dolnośląski!C15+KujawskoPomorski!C15+Lubelski!C15+Lubuski!C15+Łódzki!C15+Małopolski!C15+Mazowiecki!C15+Opolski!C15+Podkarpacki!C15+Podlaski!C15+Pomorski!C15+Śląski!C15+Świętokrzyski!C15+WarmińskoMazurski!C15+Wielkopolski!C15+Zachodniopomorski!C15</f>
        <v>2319811</v>
      </c>
      <c r="D15" s="13">
        <f>Dolnośląski!D15+KujawskoPomorski!D15+Lubelski!D15+Lubuski!D15+Łódzki!D15+Małopolski!D15+Mazowiecki!D15+Opolski!D15+Podkarpacki!D15+Podlaski!D15+Pomorski!D15+Śląski!D15+Świętokrzyski!D15+WarmińskoMazurski!D15+Wielkopolski!D15+Zachodniopomorski!D15</f>
        <v>2319811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f>Dolnośląski!C16+KujawskoPomorski!C16+Lubelski!C16+Lubuski!C16+Łódzki!C16+Małopolski!C16+Mazowiecki!C16+Opolski!C16+Podkarpacki!C16+Podlaski!C16+Pomorski!C16+Śląski!C16+Świętokrzyski!C16+WarmińskoMazurski!C16+Wielkopolski!C16+Zachodniopomorski!C16</f>
        <v>1437581</v>
      </c>
      <c r="D16" s="13">
        <f>Dolnośląski!D16+KujawskoPomorski!D16+Lubelski!D16+Lubuski!D16+Łódzki!D16+Małopolski!D16+Mazowiecki!D16+Opolski!D16+Podkarpacki!D16+Podlaski!D16+Pomorski!D16+Śląski!D16+Świętokrzyski!D16+WarmińskoMazurski!D16+Wielkopolski!D16+Zachodniopomorski!D16</f>
        <v>1437581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f>Dolnośląski!C17+KujawskoPomorski!C17+Lubelski!C17+Lubuski!C17+Łódzki!C17+Małopolski!C17+Mazowiecki!C17+Opolski!C17+Podkarpacki!C17+Podlaski!C17+Pomorski!C17+Śląski!C17+Świętokrzyski!C17+WarmińskoMazurski!C17+Wielkopolski!C17+Zachodniopomorski!C17</f>
        <v>663523</v>
      </c>
      <c r="D17" s="13">
        <f>Dolnośląski!D17+KujawskoPomorski!D17+Lubelski!D17+Lubuski!D17+Łódzki!D17+Małopolski!D17+Mazowiecki!D17+Opolski!D17+Podkarpacki!D17+Podlaski!D17+Pomorski!D17+Śląski!D17+Świętokrzyski!D17+WarmińskoMazurski!D17+Wielkopolski!D17+Zachodniopomorski!D17</f>
        <v>663523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f>Dolnośląski!C18+KujawskoPomorski!C18+Lubelski!C18+Lubuski!C18+Łódzki!C18+Małopolski!C18+Mazowiecki!C18+Opolski!C18+Podkarpacki!C18+Podlaski!C18+Pomorski!C18+Śląski!C18+Świętokrzyski!C18+WarmińskoMazurski!C18+Wielkopolski!C18+Zachodniopomorski!C18</f>
        <v>1834124</v>
      </c>
      <c r="D18" s="13">
        <f>Dolnośląski!D18+KujawskoPomorski!D18+Lubelski!D18+Lubuski!D18+Łódzki!D18+Małopolski!D18+Mazowiecki!D18+Opolski!D18+Podkarpacki!D18+Podlaski!D18+Pomorski!D18+Śląski!D18+Świętokrzyski!D18+WarmińskoMazurski!D18+Wielkopolski!D18+Zachodniopomorski!D18</f>
        <v>1834124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f>Dolnośląski!C19+KujawskoPomorski!C19+Lubelski!C19+Lubuski!C19+Łódzki!C19+Małopolski!C19+Mazowiecki!C19+Opolski!C19+Podkarpacki!C19+Podlaski!C19+Pomorski!C19+Śląski!C19+Świętokrzyski!C19+WarmińskoMazurski!C19+Wielkopolski!C19+Zachodniopomorski!C19</f>
        <v>660225</v>
      </c>
      <c r="D19" s="13">
        <f>Dolnośląski!D19+KujawskoPomorski!D19+Lubelski!D19+Lubuski!D19+Łódzki!D19+Małopolski!D19+Mazowiecki!D19+Opolski!D19+Podkarpacki!D19+Podlaski!D19+Pomorski!D19+Śląski!D19+Świętokrzyski!D19+WarmińskoMazurski!D19+Wielkopolski!D19+Zachodniopomorski!D19</f>
        <v>660225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f>Dolnośląski!C20+KujawskoPomorski!C20+Lubelski!C20+Lubuski!C20+Łódzki!C20+Małopolski!C20+Mazowiecki!C20+Opolski!C20+Podkarpacki!C20+Podlaski!C20+Pomorski!C20+Śląski!C20+Świętokrzyski!C20+WarmińskoMazurski!C20+Wielkopolski!C20+Zachodniopomorski!C20</f>
        <v>49282</v>
      </c>
      <c r="D20" s="13">
        <f>Dolnośląski!D20+KujawskoPomorski!D20+Lubelski!D20+Lubuski!D20+Łódzki!D20+Małopolski!D20+Mazowiecki!D20+Opolski!D20+Podkarpacki!D20+Podlaski!D20+Pomorski!D20+Śląski!D20+Świętokrzyski!D20+WarmińskoMazurski!D20+Wielkopolski!D20+Zachodniopomorski!D20</f>
        <v>49282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f>Dolnośląski!C21+KujawskoPomorski!C21+Lubelski!C21+Lubuski!C21+Łódzki!C21+Małopolski!C21+Mazowiecki!C21+Opolski!C21+Podkarpacki!C21+Podlaski!C21+Pomorski!C21+Śląski!C21+Świętokrzyski!C21+WarmińskoMazurski!C21+Wielkopolski!C21+Zachodniopomorski!C21</f>
        <v>196199</v>
      </c>
      <c r="D21" s="13">
        <f>Dolnośląski!D21+KujawskoPomorski!D21+Lubelski!D21+Lubuski!D21+Łódzki!D21+Małopolski!D21+Mazowiecki!D21+Opolski!D21+Podkarpacki!D21+Podlaski!D21+Pomorski!D21+Śląski!D21+Świętokrzyski!D21+WarmińskoMazurski!D21+Wielkopolski!D21+Zachodniopomorski!D21</f>
        <v>196199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f>Dolnośląski!C22+KujawskoPomorski!C22+Lubelski!C22+Lubuski!C22+Łódzki!C22+Małopolski!C22+Mazowiecki!C22+Opolski!C22+Podkarpacki!C22+Podlaski!C22+Pomorski!C22+Śląski!C22+Świętokrzyski!C22+WarmińskoMazurski!C22+Wielkopolski!C22+Zachodniopomorski!C22</f>
        <v>2098096</v>
      </c>
      <c r="D22" s="13">
        <f>Dolnośląski!D22+KujawskoPomorski!D22+Lubelski!D22+Lubuski!D22+Łódzki!D22+Małopolski!D22+Mazowiecki!D22+Opolski!D22+Podkarpacki!D22+Podlaski!D22+Pomorski!D22+Śląski!D22+Świętokrzyski!D22+WarmińskoMazurski!D22+Wielkopolski!D22+Zachodniopomorski!D22</f>
        <v>2098096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f>Dolnośląski!C23+KujawskoPomorski!C23+Lubelski!C23+Lubuski!C23+Łódzki!C23+Małopolski!C23+Mazowiecki!C23+Opolski!C23+Podkarpacki!C23+Podlaski!C23+Pomorski!C23+Śląski!C23+Świętokrzyski!C23+WarmińskoMazurski!C23+Wielkopolski!C23+Zachodniopomorski!C23</f>
        <v>1029387</v>
      </c>
      <c r="D23" s="13">
        <f>Dolnośląski!D23+KujawskoPomorski!D23+Lubelski!D23+Lubuski!D23+Łódzki!D23+Małopolski!D23+Mazowiecki!D23+Opolski!D23+Podkarpacki!D23+Podlaski!D23+Pomorski!D23+Śląski!D23+Świętokrzyski!D23+WarmińskoMazurski!D23+Wielkopolski!D23+Zachodniopomorski!D23</f>
        <v>1029387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f>Dolnośląski!C24+KujawskoPomorski!C24+Lubelski!C24+Lubuski!C24+Łódzki!C24+Małopolski!C24+Mazowiecki!C24+Opolski!C24+Podkarpacki!C24+Podlaski!C24+Pomorski!C24+Śląski!C24+Świętokrzyski!C24+WarmińskoMazurski!C24+Wielkopolski!C24+Zachodniopomorski!C24</f>
        <v>8286218</v>
      </c>
      <c r="D24" s="31">
        <f>Dolnośląski!D24+KujawskoPomorski!D24+Lubelski!D24+Lubuski!D24+Łódzki!D24+Małopolski!D24+Mazowiecki!D24+Opolski!D24+Podkarpacki!D24+Podlaski!D24+Pomorski!D24+Śląski!D24+Świętokrzyski!D24+WarmińskoMazurski!D24+Wielkopolski!D24+Zachodniopomorski!D24</f>
        <v>8286218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f>Dolnośląski!C25+KujawskoPomorski!C25+Lubelski!C25+Lubuski!C25+Łódzki!C25+Małopolski!C25+Mazowiecki!C25+Opolski!C25+Podkarpacki!C25+Podlaski!C25+Pomorski!C25+Śląski!C25+Świętokrzyski!C25+WarmińskoMazurski!C25+Wielkopolski!C25+Zachodniopomorski!C25</f>
        <v>8251475</v>
      </c>
      <c r="D25" s="13">
        <f>Dolnośląski!D25+KujawskoPomorski!D25+Lubelski!D25+Lubuski!D25+Łódzki!D25+Małopolski!D25+Mazowiecki!D25+Opolski!D25+Podkarpacki!D25+Podlaski!D25+Pomorski!D25+Śląski!D25+Świętokrzyski!D25+WarmińskoMazurski!D25+Wielkopolski!D25+Zachodniopomorski!D25</f>
        <v>8251475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f>Dolnośląski!C26+KujawskoPomorski!C26+Lubelski!C26+Lubuski!C26+Łódzki!C26+Małopolski!C26+Mazowiecki!C26+Opolski!C26+Podkarpacki!C26+Podlaski!C26+Pomorski!C26+Śląski!C26+Świętokrzyski!C26+WarmińskoMazurski!C26+Wielkopolski!C26+Zachodniopomorski!C26</f>
        <v>20477</v>
      </c>
      <c r="D26" s="13">
        <f>Dolnośląski!D26+KujawskoPomorski!D26+Lubelski!D26+Lubuski!D26+Łódzki!D26+Małopolski!D26+Mazowiecki!D26+Opolski!D26+Podkarpacki!D26+Podlaski!D26+Pomorski!D26+Śląski!D26+Świętokrzyski!D26+WarmińskoMazurski!D26+Wielkopolski!D26+Zachodniopomorski!D26</f>
        <v>20477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f>Dolnośląski!C27+KujawskoPomorski!C27+Lubelski!C27+Lubuski!C27+Łódzki!C27+Małopolski!C27+Mazowiecki!C27+Opolski!C27+Podkarpacki!C27+Podlaski!C27+Pomorski!C27+Śląski!C27+Świętokrzyski!C27+WarmińskoMazurski!C27+Wielkopolski!C27+Zachodniopomorski!C27</f>
        <v>14266</v>
      </c>
      <c r="D27" s="13">
        <f>Dolnośląski!D27+KujawskoPomorski!D27+Lubelski!D27+Lubuski!D27+Łódzki!D27+Małopolski!D27+Mazowiecki!D27+Opolski!D27+Podkarpacki!D27+Podlaski!D27+Pomorski!D27+Śląski!D27+Świętokrzyski!D27+WarmińskoMazurski!D27+Wielkopolski!D27+Zachodniopomorski!D27</f>
        <v>14266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f>Dolnośląski!C28+KujawskoPomorski!C28+Lubelski!C28+Lubuski!C28+Łódzki!C28+Małopolski!C28+Mazowiecki!C28+Opolski!C28+Podkarpacki!C28+Podlaski!C28+Pomorski!C28+Śląski!C28+Świętokrzyski!C28+WarmińskoMazurski!C28+Wielkopolski!C28+Zachodniopomorski!C28</f>
        <v>0</v>
      </c>
      <c r="D28" s="13">
        <f>Dolnośląski!D28+KujawskoPomorski!D28+Lubelski!D28+Lubuski!D28+Łódzki!D28+Małopolski!D28+Mazowiecki!D28+Opolski!D28+Podkarpacki!D28+Podlaski!D28+Pomorski!D28+Śląski!D28+Świętokrzyski!D28+WarmińskoMazurski!D28+Wielkopolski!D28+Zachodniopomorski!D28</f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f>Dolnośląski!C29+KujawskoPomorski!C29+Lubelski!C29+Lubuski!C29+Łódzki!C29+Małopolski!C29+Mazowiecki!C29+Opolski!C29+Podkarpacki!C29+Podlaski!C29+Pomorski!C29+Śląski!C29+Świętokrzyski!C29+WarmińskoMazurski!C29+Wielkopolski!C29+Zachodniopomorski!C29</f>
        <v>0</v>
      </c>
      <c r="D29" s="13">
        <f>Dolnośląski!D29+KujawskoPomorski!D29+Lubelski!D29+Lubuski!D29+Łódzki!D29+Małopolski!D29+Mazowiecki!D29+Opolski!D29+Podkarpacki!D29+Podlaski!D29+Pomorski!D29+Śląski!D29+Świętokrzyski!D29+WarmińskoMazurski!D29+Wielkopolski!D29+Zachodniopomorski!D29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f>Dolnośląski!C30+KujawskoPomorski!C30+Lubelski!C30+Lubuski!C30+Łódzki!C30+Małopolski!C30+Mazowiecki!C30+Opolski!C30+Podkarpacki!C30+Podlaski!C30+Pomorski!C30+Śląski!C30+Świętokrzyski!C30+WarmińskoMazurski!C30+Wielkopolski!C30+Zachodniopomorski!C30</f>
        <v>0</v>
      </c>
      <c r="D30" s="13">
        <f>Dolnośląski!D30+KujawskoPomorski!D30+Lubelski!D30+Lubuski!D30+Łódzki!D30+Małopolski!D30+Mazowiecki!D30+Opolski!D30+Podkarpacki!D30+Podlaski!D30+Pomorski!D30+Śląski!D30+Świętokrzyski!D30+WarmińskoMazurski!D30+Wielkopolski!D30+Zachodniopomorski!D30</f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f>Dolnośląski!C31+KujawskoPomorski!C31+Lubelski!C31+Lubuski!C31+Łódzki!C31+Małopolski!C31+Mazowiecki!C31+Opolski!C31+Podkarpacki!C31+Podlaski!C31+Pomorski!C31+Śląski!C31+Świętokrzyski!C31+WarmińskoMazurski!C31+Wielkopolski!C31+Zachodniopomorski!C31</f>
        <v>0</v>
      </c>
      <c r="D31" s="13">
        <f>Dolnośląski!D31+KujawskoPomorski!D31+Lubelski!D31+Lubuski!D31+Łódzki!D31+Małopolski!D31+Mazowiecki!D31+Opolski!D31+Podkarpacki!D31+Podlaski!D31+Pomorski!D31+Śląski!D31+Świętokrzyski!D31+WarmińskoMazurski!D31+Wielkopolski!D31+Zachodniopomorski!D31</f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f>Dolnośląski!C32+KujawskoPomorski!C32+Lubelski!C32+Lubuski!C32+Łódzki!C32+Małopolski!C32+Mazowiecki!C32+Opolski!C32+Podkarpacki!C32+Podlaski!C32+Pomorski!C32+Śląski!C32+Świętokrzyski!C32+WarmińskoMazurski!C32+Wielkopolski!C32+Zachodniopomorski!C32</f>
        <v>221495</v>
      </c>
      <c r="D32" s="13">
        <f>Dolnośląski!D32+KujawskoPomorski!D32+Lubelski!D32+Lubuski!D32+Łódzki!D32+Małopolski!D32+Mazowiecki!D32+Opolski!D32+Podkarpacki!D32+Podlaski!D32+Pomorski!D32+Śląski!D32+Świętokrzyski!D32+WarmińskoMazurski!D32+Wielkopolski!D32+Zachodniopomorski!D32</f>
        <v>221495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f>Dolnośląski!C33+KujawskoPomorski!C33+Lubelski!C33+Lubuski!C33+Łódzki!C33+Małopolski!C33+Mazowiecki!C33+Opolski!C33+Podkarpacki!C33+Podlaski!C33+Pomorski!C33+Śląski!C33+Świętokrzyski!C33+WarmińskoMazurski!C33+Wielkopolski!C33+Zachodniopomorski!C33</f>
        <v>0</v>
      </c>
      <c r="D33" s="13">
        <f>Dolnośląski!D33+KujawskoPomorski!D33+Lubelski!D33+Lubuski!D33+Łódzki!D33+Małopolski!D33+Mazowiecki!D33+Opolski!D33+Podkarpacki!D33+Podlaski!D33+Pomorski!D33+Śląski!D33+Świętokrzyski!D33+WarmińskoMazurski!D33+Wielkopolski!D33+Zachodniopomorski!D33</f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f>Dolnośląski!C34+KujawskoPomorski!C34+Lubelski!C34+Lubuski!C34+Łódzki!C34+Małopolski!C34+Mazowiecki!C34+Opolski!C34+Podkarpacki!C34+Podlaski!C34+Pomorski!C34+Śląski!C34+Świętokrzyski!C34+WarmińskoMazurski!C34+Wielkopolski!C34+Zachodniopomorski!C34</f>
        <v>35830</v>
      </c>
      <c r="D34" s="13">
        <f>Dolnośląski!D34+KujawskoPomorski!D34+Lubelski!D34+Lubuski!D34+Łódzki!D34+Małopolski!D34+Mazowiecki!D34+Opolski!D34+Podkarpacki!D34+Podlaski!D34+Pomorski!D34+Śląski!D34+Świętokrzyski!D34+WarmińskoMazurski!D34+Wielkopolski!D34+Zachodniopomorski!D34</f>
        <v>35830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7">
        <f>Dolnośląski!C35+KujawskoPomorski!C35+Lubelski!C35+Lubuski!C35+Łódzki!C35+Małopolski!C35+Mazowiecki!C35+Opolski!C35+Podkarpacki!C35+Podlaski!C35+Pomorski!C35+Śląski!C35+Świętokrzyski!C35+WarmińskoMazurski!C35+Wielkopolski!C35+Zachodniopomorski!C35</f>
        <v>2804</v>
      </c>
      <c r="D35" s="37">
        <f>Dolnośląski!D35+KujawskoPomorski!D35+Lubelski!D35+Lubuski!D35+Łódzki!D35+Małopolski!D35+Mazowiecki!D35+Opolski!D35+Podkarpacki!D35+Podlaski!D35+Pomorski!D35+Śląski!D35+Świętokrzyski!D35+WarmińskoMazurski!D35+Wielkopolski!D35+Zachodniopomorski!D35</f>
        <v>2804</v>
      </c>
      <c r="E35" s="7" t="str">
        <f t="shared" si="0"/>
        <v>-</v>
      </c>
      <c r="F35" s="40">
        <f t="shared" si="1"/>
        <v>1</v>
      </c>
    </row>
    <row r="36" spans="1:6" s="2" customFormat="1" ht="31.5" customHeight="1" x14ac:dyDescent="0.2">
      <c r="A36" s="52" t="s">
        <v>56</v>
      </c>
      <c r="B36" s="17" t="s">
        <v>59</v>
      </c>
      <c r="C36" s="37">
        <f>Dolnośląski!C36+KujawskoPomorski!C36+Lubelski!C36+Lubuski!C36+Łódzki!C36+Małopolski!C36+Mazowiecki!C36+Opolski!C36+Podkarpacki!C36+Podlaski!C36+Pomorski!C36+Śląski!C36+Świętokrzyski!C36+WarmińskoMazurski!C36+Wielkopolski!C36+Zachodniopomorski!C36</f>
        <v>1923442</v>
      </c>
      <c r="D36" s="37">
        <f>Dolnośląski!D36+KujawskoPomorski!D36+Lubelski!D36+Lubuski!D36+Łódzki!D36+Małopolski!D36+Mazowiecki!D36+Opolski!D36+Podkarpacki!D36+Podlaski!D36+Pomorski!D36+Śląski!D36+Świętokrzyski!D36+WarmińskoMazurski!D36+Wielkopolski!D36+Zachodniopomorski!D36</f>
        <v>1923442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7">
        <f>Dolnośląski!C37+KujawskoPomorski!C37+Lubelski!C37+Lubuski!C37+Łódzki!C37+Małopolski!C37+Mazowiecki!C37+Opolski!C37+Podkarpacki!C37+Podlaski!C37+Pomorski!C37+Śląski!C37+Świętokrzyski!C37+WarmińskoMazurski!C37+Wielkopolski!C37+Zachodniopomorski!C37</f>
        <v>564300</v>
      </c>
      <c r="D37" s="37">
        <f>Dolnośląski!D37+KujawskoPomorski!D37+Lubelski!D37+Lubuski!D37+Łódzki!D37+Małopolski!D37+Mazowiecki!D37+Opolski!D37+Podkarpacki!D37+Podlaski!D37+Pomorski!D37+Śląski!D37+Świętokrzyski!D37+WarmińskoMazurski!D37+Wielkopolski!D37+Zachodniopomorski!D37</f>
        <v>564300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Dolnośląski!C38+KujawskoPomorski!C38+Lubelski!C38+Lubuski!C38+Łódzki!C38+Małopolski!C38+Mazowiecki!C38+Opolski!C38+Podkarpacki!C38+Podlaski!C38+Pomorski!C38+Śląski!C38+Świętokrzyski!C38+WarmińskoMazurski!C38+Wielkopolski!C38+Zachodniopomorski!C38</f>
        <v>12256183</v>
      </c>
      <c r="D38" s="32">
        <f>Dolnośląski!D38+KujawskoPomorski!D38+Lubelski!D38+Lubuski!D38+Łódzki!D38+Małopolski!D38+Mazowiecki!D38+Opolski!D38+Podkarpacki!D38+Podlaski!D38+Pomorski!D38+Śląski!D38+Świętokrzyski!D38+WarmińskoMazurski!D38+Wielkopolski!D38+Zachodniopomorski!D38</f>
        <v>12256183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519194</v>
      </c>
      <c r="D39" s="87">
        <f>D40+D41+D42+D50+D52+D58+D59+D57</f>
        <v>519194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f>Dolnośląski!C40+KujawskoPomorski!C40+Lubelski!C40+Lubuski!C40+Łódzki!C40+Małopolski!C40+Mazowiecki!C40+Opolski!C40+Podkarpacki!C40+Podlaski!C40+Pomorski!C40+Śląski!C40+Świętokrzyski!C40+WarmińskoMazurski!C40+Wielkopolski!C40+Zachodniopomorski!C40</f>
        <v>22205</v>
      </c>
      <c r="D40" s="33">
        <f>Dolnośląski!D40+KujawskoPomorski!D40+Lubelski!D40+Lubuski!D40+Łódzki!D40+Małopolski!D40+Mazowiecki!D40+Opolski!D40+Podkarpacki!D40+Podlaski!D40+Pomorski!D40+Śląski!D40+Świętokrzyski!D40+WarmińskoMazurski!D40+Wielkopolski!D40+Zachodniopomorski!D40</f>
        <v>22205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f>Dolnośląski!C41+KujawskoPomorski!C41+Lubelski!C41+Lubuski!C41+Łódzki!C41+Małopolski!C41+Mazowiecki!C41+Opolski!C41+Podkarpacki!C41+Podlaski!C41+Pomorski!C41+Śląski!C41+Świętokrzyski!C41+WarmińskoMazurski!C41+Wielkopolski!C41+Zachodniopomorski!C41</f>
        <v>69284</v>
      </c>
      <c r="D41" s="33">
        <f>Dolnośląski!D41+KujawskoPomorski!D41+Lubelski!D41+Lubuski!D41+Łódzki!D41+Małopolski!D41+Mazowiecki!D41+Opolski!D41+Podkarpacki!D41+Podlaski!D41+Pomorski!D41+Śląski!D41+Świętokrzyski!D41+WarmińskoMazurski!D41+Wielkopolski!D41+Zachodniopomorski!D41</f>
        <v>69284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3969</v>
      </c>
      <c r="D42" s="33">
        <f>D43+D45+D46+D47+D48+D49</f>
        <v>3969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f>Dolnośląski!C43+KujawskoPomorski!C43+Lubelski!C43+Lubuski!C43+Łódzki!C43+Małopolski!C43+Mazowiecki!C43+Opolski!C43+Podkarpacki!C43+Podlaski!C43+Pomorski!C43+Śląski!C43+Świętokrzyski!C43+WarmińskoMazurski!C43+Wielkopolski!C43+Zachodniopomorski!C43</f>
        <v>514</v>
      </c>
      <c r="D43" s="33">
        <f>Dolnośląski!D43+KujawskoPomorski!D43+Lubelski!D43+Lubuski!D43+Łódzki!D43+Małopolski!D43+Mazowiecki!D43+Opolski!D43+Podkarpacki!D43+Podlaski!D43+Pomorski!D43+Śląski!D43+Świętokrzyski!D43+WarmińskoMazurski!D43+Wielkopolski!D43+Zachodniopomorski!D43</f>
        <v>514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f>Dolnośląski!C44+KujawskoPomorski!C44+Lubelski!C44+Lubuski!C44+Łódzki!C44+Małopolski!C44+Mazowiecki!C44+Opolski!C44+Podkarpacki!C44+Podlaski!C44+Pomorski!C44+Śląski!C44+Świętokrzyski!C44+WarmińskoMazurski!C44+Wielkopolski!C44+Zachodniopomorski!C44</f>
        <v>511</v>
      </c>
      <c r="D44" s="33">
        <f>Dolnośląski!D44+KujawskoPomorski!D44+Lubelski!D44+Lubuski!D44+Łódzki!D44+Małopolski!D44+Mazowiecki!D44+Opolski!D44+Podkarpacki!D44+Podlaski!D44+Pomorski!D44+Śląski!D44+Świętokrzyski!D44+WarmińskoMazurski!D44+Wielkopolski!D44+Zachodniopomorski!D44</f>
        <v>511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f>Dolnośląski!C45+KujawskoPomorski!C45+Lubelski!C45+Lubuski!C45+Łódzki!C45+Małopolski!C45+Mazowiecki!C45+Opolski!C45+Podkarpacki!C45+Podlaski!C45+Pomorski!C45+Śląski!C45+Świętokrzyski!C45+WarmińskoMazurski!C45+Wielkopolski!C45+Zachodniopomorski!C45</f>
        <v>586</v>
      </c>
      <c r="D45" s="33">
        <f>Dolnośląski!D45+KujawskoPomorski!D45+Lubelski!D45+Lubuski!D45+Łódzki!D45+Małopolski!D45+Mazowiecki!D45+Opolski!D45+Podkarpacki!D45+Podlaski!D45+Pomorski!D45+Śląski!D45+Świętokrzyski!D45+WarmińskoMazurski!D45+Wielkopolski!D45+Zachodniopomorski!D45</f>
        <v>586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f>Dolnośląski!C46+KujawskoPomorski!C46+Lubelski!C46+Lubuski!C46+Łódzki!C46+Małopolski!C46+Mazowiecki!C46+Opolski!C46+Podkarpacki!C46+Podlaski!C46+Pomorski!C46+Śląski!C46+Świętokrzyski!C46+WarmińskoMazurski!C46+Wielkopolski!C46+Zachodniopomorski!C46</f>
        <v>5</v>
      </c>
      <c r="D46" s="33">
        <f>Dolnośląski!D46+KujawskoPomorski!D46+Lubelski!D46+Lubuski!D46+Łódzki!D46+Małopolski!D46+Mazowiecki!D46+Opolski!D46+Podkarpacki!D46+Podlaski!D46+Pomorski!D46+Śląski!D46+Świętokrzyski!D46+WarmińskoMazurski!D46+Wielkopolski!D46+Zachodniopomorski!D46</f>
        <v>5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53" t="s">
        <v>42</v>
      </c>
      <c r="B47" s="46" t="s">
        <v>35</v>
      </c>
      <c r="C47" s="31">
        <f>Dolnośląski!C47+KujawskoPomorski!C47+Lubelski!C47+Lubuski!C47+Łódzki!C47+Małopolski!C47+Mazowiecki!C47+Opolski!C47+Podkarpacki!C47+Podlaski!C47+Pomorski!C47+Śląski!C47+Świętokrzyski!C47+WarmińskoMazurski!C47+Wielkopolski!C47+Zachodniopomorski!C47</f>
        <v>0</v>
      </c>
      <c r="D47" s="33">
        <f>Dolnośląski!D47+KujawskoPomorski!D47+Lubelski!D47+Lubuski!D47+Łódzki!D47+Małopolski!D47+Mazowiecki!D47+Opolski!D47+Podkarpacki!D47+Podlaski!D47+Pomorski!D47+Śląski!D47+Świętokrzyski!D47+WarmińskoMazurski!D47+Wielkopolski!D47+Zachodniopomorski!D47</f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f>Dolnośląski!C48+KujawskoPomorski!C48+Lubelski!C48+Lubuski!C48+Łódzki!C48+Małopolski!C48+Mazowiecki!C48+Opolski!C48+Podkarpacki!C48+Podlaski!C48+Pomorski!C48+Śląski!C48+Świętokrzyski!C48+WarmińskoMazurski!C48+Wielkopolski!C48+Zachodniopomorski!C48</f>
        <v>2591</v>
      </c>
      <c r="D48" s="33">
        <f>Dolnośląski!D48+KujawskoPomorski!D48+Lubelski!D48+Lubuski!D48+Łódzki!D48+Małopolski!D48+Mazowiecki!D48+Opolski!D48+Podkarpacki!D48+Podlaski!D48+Pomorski!D48+Śląski!D48+Świętokrzyski!D48+WarmińskoMazurski!D48+Wielkopolski!D48+Zachodniopomorski!D48</f>
        <v>2591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f>Dolnośląski!C49+KujawskoPomorski!C49+Lubelski!C49+Lubuski!C49+Łódzki!C49+Małopolski!C49+Mazowiecki!C49+Opolski!C49+Podkarpacki!C49+Podlaski!C49+Pomorski!C49+Śląski!C49+Świętokrzyski!C49+WarmińskoMazurski!C49+Wielkopolski!C49+Zachodniopomorski!C49</f>
        <v>273</v>
      </c>
      <c r="D49" s="33">
        <f>Dolnośląski!D49+KujawskoPomorski!D49+Lubelski!D49+Lubuski!D49+Łódzki!D49+Małopolski!D49+Mazowiecki!D49+Opolski!D49+Podkarpacki!D49+Podlaski!D49+Pomorski!D49+Śląski!D49+Świętokrzyski!D49+WarmińskoMazurski!D49+Wielkopolski!D49+Zachodniopomorski!D49</f>
        <v>273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f>Dolnośląski!C50+KujawskoPomorski!C50+Lubelski!C50+Lubuski!C50+Łódzki!C50+Małopolski!C50+Mazowiecki!C50+Opolski!C50+Podkarpacki!C50+Podlaski!C50+Pomorski!C50+Śląski!C50+Świętokrzyski!C50+WarmińskoMazurski!C50+Wielkopolski!C50+Zachodniopomorski!C50</f>
        <v>303174</v>
      </c>
      <c r="D50" s="33">
        <f>Dolnośląski!D50+KujawskoPomorski!D50+Lubelski!D50+Lubuski!D50+Łódzki!D50+Małopolski!D50+Mazowiecki!D50+Opolski!D50+Podkarpacki!D50+Podlaski!D50+Pomorski!D50+Śląski!D50+Świętokrzyski!D50+WarmińskoMazurski!D50+Wielkopolski!D50+Zachodniopomorski!D50</f>
        <v>303174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f>Dolnośląski!C51+KujawskoPomorski!C51+Lubelski!C51+Lubuski!C51+Łódzki!C51+Małopolski!C51+Mazowiecki!C51+Opolski!C51+Podkarpacki!C51+Podlaski!C51+Pomorski!C51+Śląski!C51+Świętokrzyski!C51+WarmińskoMazurski!C51+Wielkopolski!C51+Zachodniopomorski!C51</f>
        <v>825</v>
      </c>
      <c r="D51" s="33">
        <f>Dolnośląski!D51+KujawskoPomorski!D51+Lubelski!D51+Lubuski!D51+Łódzki!D51+Małopolski!D51+Mazowiecki!D51+Opolski!D51+Podkarpacki!D51+Podlaski!D51+Pomorski!D51+Śląski!D51+Świętokrzyski!D51+WarmińskoMazurski!D51+Wielkopolski!D51+Zachodniopomorski!D51</f>
        <v>825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68236</v>
      </c>
      <c r="D52" s="29">
        <f>D53+D54+D55+D56</f>
        <v>68236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f>Dolnośląski!C53+KujawskoPomorski!C53+Lubelski!C53+Lubuski!C53+Łódzki!C53+Małopolski!C53+Mazowiecki!C53+Opolski!C53+Podkarpacki!C53+Podlaski!C53+Pomorski!C53+Śląski!C53+Świętokrzyski!C53+WarmińskoMazurski!C53+Wielkopolski!C53+Zachodniopomorski!C53</f>
        <v>51871</v>
      </c>
      <c r="D53" s="33">
        <f>Dolnośląski!D53+KujawskoPomorski!D53+Lubelski!D53+Lubuski!D53+Łódzki!D53+Małopolski!D53+Mazowiecki!D53+Opolski!D53+Podkarpacki!D53+Podlaski!D53+Pomorski!D53+Śląski!D53+Świętokrzyski!D53+WarmińskoMazurski!D53+Wielkopolski!D53+Zachodniopomorski!D53</f>
        <v>51871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f>Dolnośląski!C54+KujawskoPomorski!C54+Lubelski!C54+Lubuski!C54+Łódzki!C54+Małopolski!C54+Mazowiecki!C54+Opolski!C54+Podkarpacki!C54+Podlaski!C54+Pomorski!C54+Śląski!C54+Świętokrzyski!C54+WarmińskoMazurski!C54+Wielkopolski!C54+Zachodniopomorski!C54</f>
        <v>7235</v>
      </c>
      <c r="D54" s="33">
        <f>Dolnośląski!D54+KujawskoPomorski!D54+Lubelski!D54+Lubuski!D54+Łódzki!D54+Małopolski!D54+Mazowiecki!D54+Opolski!D54+Podkarpacki!D54+Podlaski!D54+Pomorski!D54+Śląski!D54+Świętokrzyski!D54+WarmińskoMazurski!D54+Wielkopolski!D54+Zachodniopomorski!D54</f>
        <v>7235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f>Dolnośląski!C55+KujawskoPomorski!C55+Lubelski!C55+Lubuski!C55+Łódzki!C55+Małopolski!C55+Mazowiecki!C55+Opolski!C55+Podkarpacki!C55+Podlaski!C55+Pomorski!C55+Śląski!C55+Świętokrzyski!C55+WarmińskoMazurski!C55+Wielkopolski!C55+Zachodniopomorski!C55</f>
        <v>0</v>
      </c>
      <c r="D55" s="33">
        <f>Dolnośląski!D55+KujawskoPomorski!D55+Lubelski!D55+Lubuski!D55+Łódzki!D55+Małopolski!D55+Mazowiecki!D55+Opolski!D55+Podkarpacki!D55+Podlaski!D55+Pomorski!D55+Śląski!D55+Świętokrzyski!D55+WarmińskoMazurski!D55+Wielkopolski!D55+Zachodniopomorski!D55</f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f>Dolnośląski!C56+KujawskoPomorski!C56+Lubelski!C56+Lubuski!C56+Łódzki!C56+Małopolski!C56+Mazowiecki!C56+Opolski!C56+Podkarpacki!C56+Podlaski!C56+Pomorski!C56+Śląski!C56+Świętokrzyski!C56+WarmińskoMazurski!C56+Wielkopolski!C56+Zachodniopomorski!C56</f>
        <v>9130</v>
      </c>
      <c r="D56" s="33">
        <f>Dolnośląski!D56+KujawskoPomorski!D56+Lubelski!D56+Lubuski!D56+Łódzki!D56+Małopolski!D56+Mazowiecki!D56+Opolski!D56+Podkarpacki!D56+Podlaski!D56+Pomorski!D56+Śląski!D56+Świętokrzyski!D56+WarmińskoMazurski!D56+Wielkopolski!D56+Zachodniopomorski!D56</f>
        <v>9130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f>Dolnośląski!C57+KujawskoPomorski!C57+Lubelski!C57+Lubuski!C57+Łódzki!C57+Małopolski!C57+Mazowiecki!C57+Opolski!C57+Podkarpacki!C57+Podlaski!C57+Pomorski!C57+Śląski!C57+Świętokrzyski!C57+WarmińskoMazurski!C57+Wielkopolski!C57+Zachodniopomorski!C57</f>
        <v>0</v>
      </c>
      <c r="D57" s="33">
        <f>Dolnośląski!D57+KujawskoPomorski!D57+Lubelski!D57+Lubuski!D57+Łódzki!D57+Małopolski!D57+Mazowiecki!D57+Opolski!D57+Podkarpacki!D57+Podlaski!D57+Pomorski!D57+Śląski!D57+Świętokrzyski!D57+WarmińskoMazurski!D57+Wielkopolski!D57+Zachodniopomorski!D57</f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f>Dolnośląski!C58+KujawskoPomorski!C58+Lubelski!C58+Lubuski!C58+Łódzki!C58+Małopolski!C58+Mazowiecki!C58+Opolski!C58+Podkarpacki!C58+Podlaski!C58+Pomorski!C58+Śląski!C58+Świętokrzyski!C58+WarmińskoMazurski!C58+Wielkopolski!C58+Zachodniopomorski!C58</f>
        <v>48061</v>
      </c>
      <c r="D58" s="33">
        <f>Dolnośląski!D58+KujawskoPomorski!D58+Lubelski!D58+Lubuski!D58+Łódzki!D58+Małopolski!D58+Mazowiecki!D58+Opolski!D58+Podkarpacki!D58+Podlaski!D58+Pomorski!D58+Śląski!D58+Świętokrzyski!D58+WarmińskoMazurski!D58+Wielkopolski!D58+Zachodniopomorski!D58</f>
        <v>48061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f>Dolnośląski!C59+KujawskoPomorski!C59+Lubelski!C59+Lubuski!C59+Łódzki!C59+Małopolski!C59+Mazowiecki!C59+Opolski!C59+Podkarpacki!C59+Podlaski!C59+Pomorski!C59+Śląski!C59+Świętokrzyski!C59+WarmińskoMazurski!C59+Wielkopolski!C59+Zachodniopomorski!C59</f>
        <v>4265</v>
      </c>
      <c r="D59" s="33">
        <f>Dolnośląski!D59+KujawskoPomorski!D59+Lubelski!D59+Lubuski!D59+Łódzki!D59+Małopolski!D59+Mazowiecki!D59+Opolski!D59+Podkarpacki!D59+Podlaski!D59+Pomorski!D59+Śląski!D59+Świętokrzyski!D59+WarmińskoMazurski!D59+Wielkopolski!D59+Zachodniopomorski!D59</f>
        <v>4265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226121</v>
      </c>
      <c r="D60" s="107">
        <f>D61+D62+D63+D64</f>
        <v>193814</v>
      </c>
      <c r="E60" s="83">
        <f t="shared" si="0"/>
        <v>-32307</v>
      </c>
      <c r="F60" s="108">
        <f t="shared" si="1"/>
        <v>0.85709999999999997</v>
      </c>
    </row>
    <row r="61" spans="1:6" ht="42" customHeight="1" x14ac:dyDescent="0.2">
      <c r="A61" s="51" t="s">
        <v>100</v>
      </c>
      <c r="B61" s="18" t="s">
        <v>113</v>
      </c>
      <c r="C61" s="31">
        <f>Dolnośląski!C61+KujawskoPomorski!C61+Lubelski!C61+Lubuski!C61+Łódzki!C61+Małopolski!C61+Mazowiecki!C61+Opolski!C61+Podkarpacki!C61+Podlaski!C61+Pomorski!C61+Śląski!C61+Świętokrzyski!C61+WarmińskoMazurski!C61+Wielkopolski!C61+Zachodniopomorski!C61</f>
        <v>394</v>
      </c>
      <c r="D61" s="33">
        <f>Dolnośląski!D61+KujawskoPomorski!D61+Lubelski!D61+Lubuski!D61+Łódzki!D61+Małopolski!D61+Mazowiecki!D61+Opolski!D61+Podkarpacki!D61+Podlaski!D61+Pomorski!D61+Śląski!D61+Świętokrzyski!D61+WarmińskoMazurski!D61+Wielkopolski!D61+Zachodniopomorski!D61</f>
        <v>359</v>
      </c>
      <c r="E61" s="29">
        <f t="shared" si="0"/>
        <v>-35</v>
      </c>
      <c r="F61" s="39">
        <f t="shared" si="1"/>
        <v>0.91120000000000001</v>
      </c>
    </row>
    <row r="62" spans="1:6" ht="31.5" customHeight="1" x14ac:dyDescent="0.2">
      <c r="A62" s="51" t="s">
        <v>29</v>
      </c>
      <c r="B62" s="18" t="s">
        <v>54</v>
      </c>
      <c r="C62" s="31">
        <f>Dolnośląski!C62+KujawskoPomorski!C62+Lubelski!C62+Lubuski!C62+Łódzki!C62+Małopolski!C62+Mazowiecki!C62+Opolski!C62+Podkarpacki!C62+Podlaski!C62+Pomorski!C62+Śląski!C62+Świętokrzyski!C62+WarmińskoMazurski!C62+Wielkopolski!C62+Zachodniopomorski!C62</f>
        <v>191158</v>
      </c>
      <c r="D62" s="33">
        <f>Dolnośląski!D62+KujawskoPomorski!D62+Lubelski!D62+Lubuski!D62+Łódzki!D62+Małopolski!D62+Mazowiecki!D62+Opolski!D62+Podkarpacki!D62+Podlaski!D62+Pomorski!D62+Śląski!D62+Świętokrzyski!D62+WarmińskoMazurski!D62+Wielkopolski!D62+Zachodniopomorski!D62</f>
        <v>162759</v>
      </c>
      <c r="E62" s="29">
        <f t="shared" si="0"/>
        <v>-28399</v>
      </c>
      <c r="F62" s="39">
        <f t="shared" si="1"/>
        <v>0.85140000000000005</v>
      </c>
    </row>
    <row r="63" spans="1:6" ht="31.5" customHeight="1" x14ac:dyDescent="0.2">
      <c r="A63" s="51" t="s">
        <v>30</v>
      </c>
      <c r="B63" s="18" t="s">
        <v>102</v>
      </c>
      <c r="C63" s="31">
        <f>Dolnośląski!C63+KujawskoPomorski!C63+Lubelski!C63+Lubuski!C63+Łódzki!C63+Małopolski!C63+Mazowiecki!C63+Opolski!C63+Podkarpacki!C63+Podlaski!C63+Pomorski!C63+Śląski!C63+Świętokrzyski!C63+WarmińskoMazurski!C63+Wielkopolski!C63+Zachodniopomorski!C63</f>
        <v>0</v>
      </c>
      <c r="D63" s="33">
        <f>Dolnośląski!D63+KujawskoPomorski!D63+Lubelski!D63+Lubuski!D63+Łódzki!D63+Małopolski!D63+Mazowiecki!D63+Opolski!D63+Podkarpacki!D63+Podlaski!D63+Pomorski!D63+Śląski!D63+Świętokrzyski!D63+WarmińskoMazurski!D63+Wielkopolski!D63+Zachodniopomorski!D63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f>Dolnośląski!C64+KujawskoPomorski!C64+Lubelski!C64+Lubuski!C64+Łódzki!C64+Małopolski!C64+Mazowiecki!C64+Opolski!C64+Podkarpacki!C64+Podlaski!C64+Pomorski!C64+Śląski!C64+Świętokrzyski!C64+WarmińskoMazurski!C64+Wielkopolski!C64+Zachodniopomorski!C64</f>
        <v>34569</v>
      </c>
      <c r="D64" s="33">
        <f>Dolnośląski!D64+KujawskoPomorski!D64+Lubelski!D64+Lubuski!D64+Łódzki!D64+Małopolski!D64+Mazowiecki!D64+Opolski!D64+Podkarpacki!D64+Podlaski!D64+Pomorski!D64+Śląski!D64+Świętokrzyski!D64+WarmińskoMazurski!D64+Wielkopolski!D64+Zachodniopomorski!D64</f>
        <v>30696</v>
      </c>
      <c r="E64" s="29">
        <f t="shared" si="0"/>
        <v>-3873</v>
      </c>
      <c r="F64" s="39">
        <f t="shared" si="1"/>
        <v>0.88800000000000001</v>
      </c>
    </row>
    <row r="65" spans="1:6" ht="32.25" customHeight="1" x14ac:dyDescent="0.2">
      <c r="A65" s="94" t="s">
        <v>135</v>
      </c>
      <c r="B65" s="95" t="s">
        <v>114</v>
      </c>
      <c r="C65" s="107">
        <f>Dolnośląski!C65+KujawskoPomorski!C65+Lubelski!C65+Lubuski!C65+Łódzki!C65+Małopolski!C65+Mazowiecki!C65+Opolski!C65+Podkarpacki!C65+Podlaski!C65+Pomorski!C65+Śląski!C65+Świętokrzyski!C65+WarmińskoMazurski!C65+Wielkopolski!C65+Zachodniopomorski!C65</f>
        <v>55871</v>
      </c>
      <c r="D65" s="107">
        <f>Dolnośląski!D65+KujawskoPomorski!D65+Lubelski!D65+Lubuski!D65+Łódzki!D65+Małopolski!D65+Mazowiecki!D65+Opolski!D65+Podkarpacki!D65+Podlaski!D65+Pomorski!D65+Śląski!D65+Świętokrzyski!D65+WarmińskoMazurski!D65+Wielkopolski!D65+Zachodniopomorski!D65</f>
        <v>48906</v>
      </c>
      <c r="E65" s="83">
        <f t="shared" si="0"/>
        <v>-6965</v>
      </c>
      <c r="F65" s="108">
        <f t="shared" si="1"/>
        <v>0.87529999999999997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0" type="noConversion"/>
  <printOptions horizontalCentered="1"/>
  <pageMargins left="0" right="0" top="0.39370078740157483" bottom="0.59055118110236227" header="0.51181102362204722" footer="0.39370078740157483"/>
  <pageSetup paperSize="9" scale="37" orientation="portrait" r:id="rId1"/>
  <headerFooter alignWithMargins="0">
    <oddFooter>&amp;R&amp;20&amp;P</oddFooter>
  </headerFooter>
  <ignoredErrors>
    <ignoredError sqref="C58 C9:C10 C7:C8 C11:C3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F65"/>
  <sheetViews>
    <sheetView showGridLines="0" view="pageBreakPreview" zoomScale="55" zoomScaleNormal="70" zoomScaleSheetLayoutView="55" workbookViewId="0">
      <pane ySplit="6" topLeftCell="A7" activePane="bottomLeft" state="frozen"/>
      <selection activeCell="D6" sqref="D6:D93"/>
      <selection pane="bottomLeft" activeCell="D6" sqref="D6:D93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1" t="str">
        <f>NFZ!A1</f>
        <v>ZMIANA PLANU FINANSOWEGO NARODOWEGO FUNDUSZU ZDROWIA NA 2017 ROK Z DNIA 8 GRUDNIA 2017 R.</v>
      </c>
      <c r="B1" s="111"/>
      <c r="C1" s="111"/>
      <c r="D1" s="111"/>
      <c r="E1" s="111"/>
      <c r="F1" s="111"/>
    </row>
    <row r="2" spans="1:6" s="22" customFormat="1" ht="33" customHeight="1" x14ac:dyDescent="0.2">
      <c r="A2" s="67" t="s">
        <v>60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5686302</v>
      </c>
      <c r="D6" s="102">
        <f>D7+D8+D9+D14+D15+D16+D17+D18+D19+D20+D21+D22+D23+D24+D28+D29+D31+D32+D33+D34</f>
        <v>5705771</v>
      </c>
      <c r="E6" s="83">
        <f>IF(C6=D6,"-",D6-C6)</f>
        <v>19469</v>
      </c>
      <c r="F6" s="103">
        <f>IF(C6=0,"-",D6/C6)</f>
        <v>1.0029999999999999</v>
      </c>
    </row>
    <row r="7" spans="1:6" ht="33" customHeight="1" x14ac:dyDescent="0.2">
      <c r="A7" s="48" t="s">
        <v>1</v>
      </c>
      <c r="B7" s="14" t="s">
        <v>117</v>
      </c>
      <c r="C7" s="31">
        <f>IFERROR(VLOOKUP(A7,[4]Dolnośląski!$A$7:$D$100,4,FALSE),0)</f>
        <v>762998</v>
      </c>
      <c r="D7" s="13">
        <f>C7</f>
        <v>762998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f>IFERROR(VLOOKUP(A8,[4]Dolnośląski!$A$7:$D$100,4,FALSE),0)</f>
        <v>423209</v>
      </c>
      <c r="D8" s="13">
        <f>C8</f>
        <v>423209</v>
      </c>
      <c r="E8" s="38" t="str">
        <f>IF(C8=D8,"-",D8-C8)</f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f>IFERROR(VLOOKUP(A9,[4]Dolnośląski!$A$7:$D$100,4,FALSE),0)</f>
        <v>2875226</v>
      </c>
      <c r="D9" s="13">
        <f>C9+19469</f>
        <v>2894695</v>
      </c>
      <c r="E9" s="38">
        <f t="shared" si="0"/>
        <v>19469</v>
      </c>
      <c r="F9" s="39">
        <f t="shared" si="1"/>
        <v>1.0067999999999999</v>
      </c>
    </row>
    <row r="10" spans="1:6" ht="31.5" customHeight="1" x14ac:dyDescent="0.2">
      <c r="A10" s="49" t="s">
        <v>55</v>
      </c>
      <c r="B10" s="45" t="s">
        <v>140</v>
      </c>
      <c r="C10" s="31">
        <f>IFERROR(VLOOKUP(A10,[4]Dolnośląski!$A$7:$D$100,4,FALSE),0)</f>
        <v>281712</v>
      </c>
      <c r="D10" s="13">
        <f t="shared" ref="D10:D12" si="2">C10</f>
        <v>281712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f>IFERROR(VLOOKUP(A11,[4]Dolnośląski!$A$7:$D$100,4,FALSE),0)</f>
        <v>257192</v>
      </c>
      <c r="D11" s="13">
        <f t="shared" si="2"/>
        <v>257192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f>IFERROR(VLOOKUP(A12,[4]Dolnośląski!$A$7:$D$100,4,FALSE),0)</f>
        <v>116591</v>
      </c>
      <c r="D12" s="13">
        <f t="shared" si="2"/>
        <v>116591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f>IFERROR(VLOOKUP(A13,[4]Dolnośląski!$A$7:$D$100,4,FALSE),0)</f>
        <v>50995</v>
      </c>
      <c r="D13" s="13">
        <f t="shared" ref="D13:D34" si="3">C13</f>
        <v>50995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f>IFERROR(VLOOKUP(A14,[4]Dolnośląski!$A$7:$D$100,4,FALSE),0)</f>
        <v>209651</v>
      </c>
      <c r="D14" s="13">
        <f t="shared" si="3"/>
        <v>209651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f>IFERROR(VLOOKUP(A15,[4]Dolnośląski!$A$7:$D$100,4,FALSE),0)</f>
        <v>180579</v>
      </c>
      <c r="D15" s="13">
        <f t="shared" si="3"/>
        <v>180579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f>IFERROR(VLOOKUP(A16,[4]Dolnośląski!$A$7:$D$100,4,FALSE),0)</f>
        <v>120014</v>
      </c>
      <c r="D16" s="13">
        <f t="shared" si="3"/>
        <v>120014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f>IFERROR(VLOOKUP(A17,[4]Dolnośląski!$A$7:$D$100,4,FALSE),0)</f>
        <v>62744</v>
      </c>
      <c r="D17" s="13">
        <f t="shared" si="3"/>
        <v>62744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f>IFERROR(VLOOKUP(A18,[4]Dolnośląski!$A$7:$D$100,4,FALSE),0)</f>
        <v>122937</v>
      </c>
      <c r="D18" s="13">
        <f t="shared" si="3"/>
        <v>122937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f>IFERROR(VLOOKUP(A19,[4]Dolnośląski!$A$7:$D$100,4,FALSE),0)</f>
        <v>64571</v>
      </c>
      <c r="D19" s="13">
        <f t="shared" si="3"/>
        <v>64571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f>IFERROR(VLOOKUP(A20,[4]Dolnośląski!$A$7:$D$100,4,FALSE),0)</f>
        <v>4782</v>
      </c>
      <c r="D20" s="13">
        <f t="shared" si="3"/>
        <v>4782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f>IFERROR(VLOOKUP(A21,[4]Dolnośląski!$A$7:$D$100,4,FALSE),0)</f>
        <v>15204</v>
      </c>
      <c r="D21" s="13">
        <f t="shared" si="3"/>
        <v>15204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f>IFERROR(VLOOKUP(A22,[4]Dolnośląski!$A$7:$D$100,4,FALSE),0)</f>
        <v>141045</v>
      </c>
      <c r="D22" s="13">
        <f t="shared" si="3"/>
        <v>141045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f>IFERROR(VLOOKUP(A23,[4]Dolnośląski!$A$7:$D$100,4,FALSE),0)</f>
        <v>84300</v>
      </c>
      <c r="D23" s="13">
        <f t="shared" si="3"/>
        <v>84300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f>IFERROR(VLOOKUP(A24,[4]Dolnośląski!$A$7:$D$100,4,FALSE),0)</f>
        <v>610761</v>
      </c>
      <c r="D24" s="31">
        <f>SUM(D25:D27)</f>
        <v>610761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f>IFERROR(VLOOKUP(A25,[4]Dolnośląski!$A$7:$D$100,4,FALSE),0)</f>
        <v>608761</v>
      </c>
      <c r="D25" s="13">
        <f t="shared" si="3"/>
        <v>608761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f>IFERROR(VLOOKUP(A26,[4]Dolnośląski!$A$7:$D$100,4,FALSE),0)</f>
        <v>1000</v>
      </c>
      <c r="D26" s="13">
        <f t="shared" si="3"/>
        <v>1000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f>IFERROR(VLOOKUP(A27,[4]Dolnośląski!$A$7:$D$100,4,FALSE),0)</f>
        <v>1000</v>
      </c>
      <c r="D27" s="13">
        <f t="shared" si="3"/>
        <v>1000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f>IFERROR(VLOOKUP(A28,[4]Dolnośląski!$A$7:$D$100,4,FALSE),0)</f>
        <v>0</v>
      </c>
      <c r="D28" s="13">
        <f t="shared" si="3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f>IFERROR(VLOOKUP(A29,[4]Dolnośląski!$A$7:$D$100,4,FALSE),0)</f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f>IFERROR(VLOOKUP(A30,[4]Dolnośląski!$A$7:$D$100,4,FALSE),0)</f>
        <v>0</v>
      </c>
      <c r="D30" s="13">
        <f t="shared" si="3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f>IFERROR(VLOOKUP(A31,[4]Dolnośląski!$A$7:$D$100,4,FALSE),0)</f>
        <v>0</v>
      </c>
      <c r="D31" s="13">
        <f t="shared" si="3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f>IFERROR(VLOOKUP(A32,[4]Dolnośląski!$A$7:$D$100,4,FALSE),0)</f>
        <v>8181</v>
      </c>
      <c r="D32" s="13">
        <f t="shared" si="3"/>
        <v>8181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f>IFERROR(VLOOKUP(A33,[4]Dolnośląski!$A$7:$D$100,4,FALSE),0)</f>
        <v>0</v>
      </c>
      <c r="D33" s="13">
        <f t="shared" si="3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f>IFERROR(VLOOKUP(A34,[4]Dolnośląski!$A$7:$D$100,4,FALSE),0)</f>
        <v>100</v>
      </c>
      <c r="D34" s="13">
        <f t="shared" si="3"/>
        <v>100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f>IFERROR(VLOOKUP(A35,[4]Dolnośląski!$A$7:$D$100,4,FALSE),0)</f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f>IFERROR(VLOOKUP(A36,[4]Dolnośląski!$A$7:$D$100,4,FALSE),0)</f>
        <v>145215</v>
      </c>
      <c r="D36" s="37">
        <f>C36</f>
        <v>145215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f>IFERROR(VLOOKUP(A37,[4]Dolnośląski!$A$7:$D$100,4,FALSE),0)</f>
        <v>43362</v>
      </c>
      <c r="D37" s="37">
        <f>C37</f>
        <v>43362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918948</v>
      </c>
      <c r="D38" s="32">
        <f>D11+D13+D24+D30</f>
        <v>918948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36700</v>
      </c>
      <c r="D39" s="87">
        <f>D40+D41+D42+D50+D52+D58+D59+D57</f>
        <v>36700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f>IFERROR(VLOOKUP(A40,[4]Dolnośląski!$A$7:$D$100,4,FALSE),0)</f>
        <v>1397</v>
      </c>
      <c r="D40" s="33">
        <f>C40</f>
        <v>1397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f>IFERROR(VLOOKUP(A41,[4]Dolnośląski!$A$7:$D$100,4,FALSE),0)</f>
        <v>4690</v>
      </c>
      <c r="D41" s="33">
        <f t="shared" ref="D41:D59" si="4">C41</f>
        <v>4690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351</v>
      </c>
      <c r="D42" s="33">
        <f>D43+D45+D46+D47+D48+D49</f>
        <v>351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f>IFERROR(VLOOKUP(A43,[4]Dolnośląski!$A$7:$D$100,4,FALSE),0)</f>
        <v>54</v>
      </c>
      <c r="D43" s="33">
        <f t="shared" si="4"/>
        <v>54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f>IFERROR(VLOOKUP(A44,[4]Dolnośląski!$A$7:$D$100,4,FALSE),0)</f>
        <v>54</v>
      </c>
      <c r="D44" s="33">
        <f t="shared" si="4"/>
        <v>54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f>IFERROR(VLOOKUP(A45,[4]Dolnośląski!$A$7:$D$100,4,FALSE),0)</f>
        <v>66</v>
      </c>
      <c r="D45" s="33">
        <f t="shared" si="4"/>
        <v>66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f>IFERROR(VLOOKUP(A46,[4]Dolnośląski!$A$7:$D$100,4,FALSE),0)</f>
        <v>1</v>
      </c>
      <c r="D46" s="33">
        <f t="shared" si="4"/>
        <v>1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53" t="s">
        <v>42</v>
      </c>
      <c r="B47" s="46" t="s">
        <v>35</v>
      </c>
      <c r="C47" s="31">
        <f>IFERROR(VLOOKUP(A47,[4]Dolnośląski!$A$7:$D$100,4,FALSE),0)</f>
        <v>0</v>
      </c>
      <c r="D47" s="33">
        <f t="shared" si="4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f>IFERROR(VLOOKUP(A48,[4]Dolnośląski!$A$7:$D$100,4,FALSE),0)</f>
        <v>228</v>
      </c>
      <c r="D48" s="33">
        <f t="shared" si="4"/>
        <v>228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f>IFERROR(VLOOKUP(A49,[4]Dolnośląski!$A$7:$D$100,4,FALSE),0)</f>
        <v>2</v>
      </c>
      <c r="D49" s="33">
        <f t="shared" si="4"/>
        <v>2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f>IFERROR(VLOOKUP(A50,[4]Dolnośląski!$A$7:$D$100,4,FALSE),0)</f>
        <v>21910</v>
      </c>
      <c r="D50" s="33">
        <f t="shared" si="4"/>
        <v>21910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f>IFERROR(VLOOKUP(A51,[4]Dolnośląski!$A$7:$D$100,4,FALSE),0)</f>
        <v>100</v>
      </c>
      <c r="D51" s="33">
        <f t="shared" si="4"/>
        <v>100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4925</v>
      </c>
      <c r="D52" s="29">
        <f>D53+D54+D55+D56</f>
        <v>4925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f>IFERROR(VLOOKUP(A53,[4]Dolnośląski!$A$7:$D$100,4,FALSE),0)</f>
        <v>3659</v>
      </c>
      <c r="D53" s="33">
        <f t="shared" si="4"/>
        <v>3659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f>IFERROR(VLOOKUP(A54,[4]Dolnośląski!$A$7:$D$100,4,FALSE),0)</f>
        <v>441</v>
      </c>
      <c r="D54" s="33">
        <f t="shared" si="4"/>
        <v>441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f>IFERROR(VLOOKUP(A55,[4]Dolnośląski!$A$7:$D$100,4,FALSE),0)</f>
        <v>0</v>
      </c>
      <c r="D55" s="33">
        <f t="shared" si="4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f>IFERROR(VLOOKUP(A56,[4]Dolnośląski!$A$7:$D$100,4,FALSE),0)</f>
        <v>825</v>
      </c>
      <c r="D56" s="33">
        <f t="shared" si="4"/>
        <v>825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f>IFERROR(VLOOKUP(A57,[4]Dolnośląski!$A$7:$D$100,4,FALSE),0)</f>
        <v>0</v>
      </c>
      <c r="D57" s="33">
        <f t="shared" si="4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f>IFERROR(VLOOKUP(A58,[4]Dolnośląski!$A$7:$D$100,4,FALSE),0)</f>
        <v>3232</v>
      </c>
      <c r="D58" s="33">
        <f t="shared" si="4"/>
        <v>3232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f>IFERROR(VLOOKUP(A59,[4]Dolnośląski!$A$7:$D$100,4,FALSE),0)</f>
        <v>195</v>
      </c>
      <c r="D59" s="33">
        <f t="shared" si="4"/>
        <v>195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16705</v>
      </c>
      <c r="D60" s="107">
        <f>D61+D62+D63+D64</f>
        <v>6301</v>
      </c>
      <c r="E60" s="83">
        <f t="shared" si="0"/>
        <v>-10404</v>
      </c>
      <c r="F60" s="108">
        <f t="shared" si="1"/>
        <v>0.37719999999999998</v>
      </c>
    </row>
    <row r="61" spans="1:6" ht="42" customHeight="1" x14ac:dyDescent="0.2">
      <c r="A61" s="51" t="s">
        <v>100</v>
      </c>
      <c r="B61" s="18" t="s">
        <v>113</v>
      </c>
      <c r="C61" s="31">
        <f>IFERROR(VLOOKUP(A61,[4]Dolnośląski!$A$7:$D$100,4,FALSE),0)</f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f>IFERROR(VLOOKUP(A62,[4]Dolnośląski!$A$7:$D$100,4,FALSE),0)</f>
        <v>15045</v>
      </c>
      <c r="D62" s="33">
        <f>C62-11891</f>
        <v>3154</v>
      </c>
      <c r="E62" s="29">
        <f t="shared" si="0"/>
        <v>-11891</v>
      </c>
      <c r="F62" s="39">
        <f t="shared" si="1"/>
        <v>0.20960000000000001</v>
      </c>
    </row>
    <row r="63" spans="1:6" ht="31.5" customHeight="1" x14ac:dyDescent="0.2">
      <c r="A63" s="51" t="s">
        <v>30</v>
      </c>
      <c r="B63" s="18" t="s">
        <v>102</v>
      </c>
      <c r="C63" s="31">
        <f>IFERROR(VLOOKUP(A63,[4]Dolnośląski!$A$7:$D$100,4,FALSE),0)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f>IFERROR(VLOOKUP(A64,[4]Dolnośląski!$A$7:$D$100,4,FALSE),0)</f>
        <v>1660</v>
      </c>
      <c r="D64" s="33">
        <f>C64+1487</f>
        <v>3147</v>
      </c>
      <c r="E64" s="29">
        <f t="shared" si="0"/>
        <v>1487</v>
      </c>
      <c r="F64" s="39">
        <f t="shared" si="1"/>
        <v>1.8957999999999999</v>
      </c>
    </row>
    <row r="65" spans="1:6" ht="32.25" customHeight="1" x14ac:dyDescent="0.2">
      <c r="A65" s="94" t="s">
        <v>135</v>
      </c>
      <c r="B65" s="95" t="s">
        <v>114</v>
      </c>
      <c r="C65" s="107">
        <f>IFERROR(VLOOKUP(A65,[4]Dolnośląski!$A$7:$D$100,4,FALSE),0)</f>
        <v>1981</v>
      </c>
      <c r="D65" s="107">
        <f>C65+548</f>
        <v>2529</v>
      </c>
      <c r="E65" s="83">
        <f t="shared" si="0"/>
        <v>548</v>
      </c>
      <c r="F65" s="108">
        <f t="shared" si="1"/>
        <v>1.2766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7" orientation="portrait" r:id="rId1"/>
  <headerFooter alignWithMargins="0">
    <oddFooter>&amp;R&amp;20&amp;P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D6" sqref="D6:D93"/>
      <selection pane="topRight" activeCell="D6" sqref="D6:D93"/>
      <selection pane="bottomLeft" activeCell="D6" sqref="D6:D93"/>
      <selection pane="bottomRight" activeCell="D6" sqref="D6:D93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1" t="str">
        <f>NFZ!A1</f>
        <v>ZMIANA PLANU FINANSOWEGO NARODOWEGO FUNDUSZU ZDROWIA NA 2017 ROK Z DNIA 8 GRUDNIA 2017 R.</v>
      </c>
      <c r="B1" s="111"/>
      <c r="C1" s="111"/>
      <c r="D1" s="111"/>
      <c r="E1" s="111"/>
      <c r="F1" s="111"/>
    </row>
    <row r="2" spans="1:6" s="22" customFormat="1" ht="33" customHeight="1" x14ac:dyDescent="0.2">
      <c r="A2" s="67" t="s">
        <v>61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4071726</v>
      </c>
      <c r="D6" s="102">
        <f>D7+D8+D9+D14+D15+D16+D17+D18+D19+D20+D21+D22+D23+D24+D28+D29+D31+D32+D33+D34</f>
        <v>4085707</v>
      </c>
      <c r="E6" s="83">
        <f>IF(C6=D6,"-",D6-C6)</f>
        <v>13981</v>
      </c>
      <c r="F6" s="103">
        <f>IF(C6=0,"-",D6/C6)</f>
        <v>1.0029999999999999</v>
      </c>
    </row>
    <row r="7" spans="1:6" ht="33" customHeight="1" x14ac:dyDescent="0.2">
      <c r="A7" s="48" t="s">
        <v>1</v>
      </c>
      <c r="B7" s="14" t="s">
        <v>117</v>
      </c>
      <c r="C7" s="31">
        <f>IFERROR(VLOOKUP(A7,[4]KujawskoPomorski!$A$7:$D$100,4,FALSE),0)</f>
        <v>549600</v>
      </c>
      <c r="D7" s="13">
        <f>C7</f>
        <v>549600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f>IFERROR(VLOOKUP(A8,[4]KujawskoPomorski!$A$7:$D$100,4,FALSE),0)</f>
        <v>284581</v>
      </c>
      <c r="D8" s="13">
        <f>C8</f>
        <v>284581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f>IFERROR(VLOOKUP(A9,[4]KujawskoPomorski!$A$7:$D$100,4,FALSE),0)</f>
        <v>2073217</v>
      </c>
      <c r="D9" s="13">
        <f>C9+13981</f>
        <v>2087198</v>
      </c>
      <c r="E9" s="38">
        <f t="shared" si="0"/>
        <v>13981</v>
      </c>
      <c r="F9" s="39">
        <f t="shared" si="1"/>
        <v>1.0066999999999999</v>
      </c>
    </row>
    <row r="10" spans="1:6" ht="31.5" customHeight="1" x14ac:dyDescent="0.2">
      <c r="A10" s="49" t="s">
        <v>55</v>
      </c>
      <c r="B10" s="45" t="s">
        <v>140</v>
      </c>
      <c r="C10" s="31">
        <f>IFERROR(VLOOKUP(A10,[4]KujawskoPomorski!$A$7:$D$100,4,FALSE),0)</f>
        <v>170807</v>
      </c>
      <c r="D10" s="13">
        <f t="shared" ref="D10:D34" si="2">C10</f>
        <v>170807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f>IFERROR(VLOOKUP(A11,[4]KujawskoPomorski!$A$7:$D$100,4,FALSE),0)</f>
        <v>154647</v>
      </c>
      <c r="D11" s="13">
        <f t="shared" si="2"/>
        <v>154647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f>IFERROR(VLOOKUP(A12,[4]KujawskoPomorski!$A$7:$D$100,4,FALSE),0)</f>
        <v>69836</v>
      </c>
      <c r="D12" s="13">
        <f t="shared" si="2"/>
        <v>69836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f>IFERROR(VLOOKUP(A13,[4]KujawskoPomorski!$A$7:$D$100,4,FALSE),0)</f>
        <v>33838</v>
      </c>
      <c r="D13" s="13">
        <f t="shared" si="2"/>
        <v>33838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f>IFERROR(VLOOKUP(A14,[4]KujawskoPomorski!$A$7:$D$100,4,FALSE),0)</f>
        <v>141017</v>
      </c>
      <c r="D14" s="13">
        <f t="shared" si="2"/>
        <v>141017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f>IFERROR(VLOOKUP(A15,[4]KujawskoPomorski!$A$7:$D$100,4,FALSE),0)</f>
        <v>105153</v>
      </c>
      <c r="D15" s="13">
        <f t="shared" si="2"/>
        <v>105153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f>IFERROR(VLOOKUP(A16,[4]KujawskoPomorski!$A$7:$D$100,4,FALSE),0)</f>
        <v>64633</v>
      </c>
      <c r="D16" s="13">
        <f t="shared" si="2"/>
        <v>64633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f>IFERROR(VLOOKUP(A17,[4]KujawskoPomorski!$A$7:$D$100,4,FALSE),0)</f>
        <v>42467</v>
      </c>
      <c r="D17" s="13">
        <f t="shared" si="2"/>
        <v>42467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f>IFERROR(VLOOKUP(A18,[4]KujawskoPomorski!$A$7:$D$100,4,FALSE),0)</f>
        <v>98133</v>
      </c>
      <c r="D18" s="13">
        <f t="shared" si="2"/>
        <v>98133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f>IFERROR(VLOOKUP(A19,[4]KujawskoPomorski!$A$7:$D$100,4,FALSE),0)</f>
        <v>35327</v>
      </c>
      <c r="D19" s="13">
        <f t="shared" si="2"/>
        <v>35327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f>IFERROR(VLOOKUP(A20,[4]KujawskoPomorski!$A$7:$D$100,4,FALSE),0)</f>
        <v>2977</v>
      </c>
      <c r="D20" s="13">
        <f t="shared" si="2"/>
        <v>2977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f>IFERROR(VLOOKUP(A21,[4]KujawskoPomorski!$A$7:$D$100,4,FALSE),0)</f>
        <v>11930</v>
      </c>
      <c r="D21" s="13">
        <f t="shared" si="2"/>
        <v>11930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f>IFERROR(VLOOKUP(A22,[4]KujawskoPomorski!$A$7:$D$100,4,FALSE),0)</f>
        <v>109824</v>
      </c>
      <c r="D22" s="13">
        <f t="shared" si="2"/>
        <v>109824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f>IFERROR(VLOOKUP(A23,[4]KujawskoPomorski!$A$7:$D$100,4,FALSE),0)</f>
        <v>54546</v>
      </c>
      <c r="D23" s="13">
        <f t="shared" si="2"/>
        <v>54546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f>IFERROR(VLOOKUP(A24,[4]KujawskoPomorski!$A$7:$D$100,4,FALSE),0)</f>
        <v>475111</v>
      </c>
      <c r="D24" s="31">
        <f>SUM(D25:D27)</f>
        <v>475111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f>IFERROR(VLOOKUP(A25,[4]KujawskoPomorski!$A$7:$D$100,4,FALSE),0)</f>
        <v>474078</v>
      </c>
      <c r="D25" s="13">
        <f t="shared" si="2"/>
        <v>474078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f>IFERROR(VLOOKUP(A26,[4]KujawskoPomorski!$A$7:$D$100,4,FALSE),0)</f>
        <v>600</v>
      </c>
      <c r="D26" s="13">
        <f t="shared" si="2"/>
        <v>600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f>IFERROR(VLOOKUP(A27,[4]KujawskoPomorski!$A$7:$D$100,4,FALSE),0)</f>
        <v>433</v>
      </c>
      <c r="D27" s="13">
        <f t="shared" si="2"/>
        <v>433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f>IFERROR(VLOOKUP(A28,[4]KujawskoPomorski!$A$7:$D$100,4,FALSE),0)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f>IFERROR(VLOOKUP(A29,[4]KujawskoPomorski!$A$7:$D$100,4,FALSE),0)</f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f>IFERROR(VLOOKUP(A30,[4]KujawskoPomorski!$A$7:$D$100,4,FALSE),0)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f>IFERROR(VLOOKUP(A31,[4]KujawskoPomorski!$A$7:$D$100,4,FALSE),0)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f>IFERROR(VLOOKUP(A32,[4]KujawskoPomorski!$A$7:$D$100,4,FALSE),0)</f>
        <v>23110</v>
      </c>
      <c r="D32" s="13">
        <f t="shared" si="2"/>
        <v>23110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f>IFERROR(VLOOKUP(A33,[4]KujawskoPomorski!$A$7:$D$100,4,FALSE),0)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f>IFERROR(VLOOKUP(A34,[4]KujawskoPomorski!$A$7:$D$100,4,FALSE),0)</f>
        <v>100</v>
      </c>
      <c r="D34" s="13">
        <f t="shared" si="2"/>
        <v>100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f>IFERROR(VLOOKUP(A35,[4]KujawskoPomorski!$A$7:$D$100,4,FALSE),0)</f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f>IFERROR(VLOOKUP(A36,[4]KujawskoPomorski!$A$7:$D$100,4,FALSE),0)</f>
        <v>112602</v>
      </c>
      <c r="D36" s="37">
        <f>C36</f>
        <v>112602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f>IFERROR(VLOOKUP(A37,[4]KujawskoPomorski!$A$7:$D$100,4,FALSE),0)</f>
        <v>32592</v>
      </c>
      <c r="D37" s="37">
        <f>C37</f>
        <v>32592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663596</v>
      </c>
      <c r="D38" s="32">
        <f>D11+D13+D24+D30</f>
        <v>663596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31600</v>
      </c>
      <c r="D39" s="87">
        <f>D40+D41+D42+D50+D52+D58+D59+D57</f>
        <v>31600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f>IFERROR(VLOOKUP(A40,[4]KujawskoPomorski!$A$7:$D$100,4,FALSE),0)</f>
        <v>2740</v>
      </c>
      <c r="D40" s="33">
        <f>C40</f>
        <v>2740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f>IFERROR(VLOOKUP(A41,[4]KujawskoPomorski!$A$7:$D$100,4,FALSE),0)</f>
        <v>4502</v>
      </c>
      <c r="D41" s="33">
        <f t="shared" ref="D41:D59" si="3">C41</f>
        <v>4502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236</v>
      </c>
      <c r="D42" s="33">
        <f>D43+D45+D46+D47+D48+D49</f>
        <v>236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f>IFERROR(VLOOKUP(A43,[4]KujawskoPomorski!$A$7:$D$100,4,FALSE),0)</f>
        <v>33</v>
      </c>
      <c r="D43" s="33">
        <f t="shared" si="3"/>
        <v>33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f>IFERROR(VLOOKUP(A44,[4]KujawskoPomorski!$A$7:$D$100,4,FALSE),0)</f>
        <v>33</v>
      </c>
      <c r="D44" s="33">
        <f t="shared" si="3"/>
        <v>33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f>IFERROR(VLOOKUP(A45,[4]KujawskoPomorski!$A$7:$D$100,4,FALSE),0)</f>
        <v>26</v>
      </c>
      <c r="D45" s="33">
        <f t="shared" si="3"/>
        <v>26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f>IFERROR(VLOOKUP(A46,[4]KujawskoPomorski!$A$7:$D$100,4,FALSE),0)</f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f>IFERROR(VLOOKUP(A47,[4]KujawskoPomorski!$A$7:$D$100,4,FALSE),0)</f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f>IFERROR(VLOOKUP(A48,[4]KujawskoPomorski!$A$7:$D$100,4,FALSE),0)</f>
        <v>167</v>
      </c>
      <c r="D48" s="33">
        <f t="shared" si="3"/>
        <v>167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f>IFERROR(VLOOKUP(A49,[4]KujawskoPomorski!$A$7:$D$100,4,FALSE),0)</f>
        <v>10</v>
      </c>
      <c r="D49" s="33">
        <f t="shared" si="3"/>
        <v>10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f>IFERROR(VLOOKUP(A50,[4]KujawskoPomorski!$A$7:$D$100,4,FALSE),0)</f>
        <v>15346</v>
      </c>
      <c r="D50" s="33">
        <f t="shared" si="3"/>
        <v>15346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f>IFERROR(VLOOKUP(A51,[4]KujawskoPomorski!$A$7:$D$100,4,FALSE),0)</f>
        <v>0</v>
      </c>
      <c r="D51" s="33">
        <f t="shared" si="3"/>
        <v>0</v>
      </c>
      <c r="E51" s="38" t="str">
        <f t="shared" si="0"/>
        <v>-</v>
      </c>
      <c r="F51" s="39" t="str">
        <f t="shared" si="1"/>
        <v>-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3453</v>
      </c>
      <c r="D52" s="29">
        <f>D53+D54+D55+D56</f>
        <v>3453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f>IFERROR(VLOOKUP(A53,[4]KujawskoPomorski!$A$7:$D$100,4,FALSE),0)</f>
        <v>2576</v>
      </c>
      <c r="D53" s="33">
        <f t="shared" si="3"/>
        <v>2576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f>IFERROR(VLOOKUP(A54,[4]KujawskoPomorski!$A$7:$D$100,4,FALSE),0)</f>
        <v>297</v>
      </c>
      <c r="D54" s="33">
        <f t="shared" si="3"/>
        <v>297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f>IFERROR(VLOOKUP(A55,[4]KujawskoPomorski!$A$7:$D$100,4,FALSE),0)</f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f>IFERROR(VLOOKUP(A56,[4]KujawskoPomorski!$A$7:$D$100,4,FALSE),0)</f>
        <v>580</v>
      </c>
      <c r="D56" s="33">
        <f t="shared" si="3"/>
        <v>580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f>IFERROR(VLOOKUP(A57,[4]KujawskoPomorski!$A$7:$D$100,4,FALSE),0)</f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f>IFERROR(VLOOKUP(A58,[4]KujawskoPomorski!$A$7:$D$100,4,FALSE),0)</f>
        <v>5025</v>
      </c>
      <c r="D58" s="33">
        <f t="shared" si="3"/>
        <v>5025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f>IFERROR(VLOOKUP(A59,[4]KujawskoPomorski!$A$7:$D$100,4,FALSE),0)</f>
        <v>298</v>
      </c>
      <c r="D59" s="33">
        <f t="shared" si="3"/>
        <v>298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45501</v>
      </c>
      <c r="D60" s="107">
        <f>D61+D62+D63+D64</f>
        <v>32409</v>
      </c>
      <c r="E60" s="83">
        <f t="shared" si="0"/>
        <v>-13092</v>
      </c>
      <c r="F60" s="108">
        <f t="shared" si="1"/>
        <v>0.71230000000000004</v>
      </c>
    </row>
    <row r="61" spans="1:6" ht="42" customHeight="1" x14ac:dyDescent="0.2">
      <c r="A61" s="51" t="s">
        <v>100</v>
      </c>
      <c r="B61" s="18" t="s">
        <v>113</v>
      </c>
      <c r="C61" s="31">
        <f>IFERROR(VLOOKUP(A61,[4]KujawskoPomorski!$A$7:$D$100,4,FALSE),0)</f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f>IFERROR(VLOOKUP(A62,[4]KujawskoPomorski!$A$7:$D$100,4,FALSE),0)</f>
        <v>38601</v>
      </c>
      <c r="D62" s="33">
        <f>C62-7060</f>
        <v>31541</v>
      </c>
      <c r="E62" s="29">
        <f t="shared" si="0"/>
        <v>-7060</v>
      </c>
      <c r="F62" s="39">
        <f t="shared" si="1"/>
        <v>0.81710000000000005</v>
      </c>
    </row>
    <row r="63" spans="1:6" ht="31.5" customHeight="1" x14ac:dyDescent="0.2">
      <c r="A63" s="51" t="s">
        <v>30</v>
      </c>
      <c r="B63" s="18" t="s">
        <v>102</v>
      </c>
      <c r="C63" s="31">
        <f>IFERROR(VLOOKUP(A63,[4]KujawskoPomorski!$A$7:$D$100,4,FALSE),0)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f>IFERROR(VLOOKUP(A64,[4]KujawskoPomorski!$A$7:$D$100,4,FALSE),0)</f>
        <v>6900</v>
      </c>
      <c r="D64" s="33">
        <f>C64-6032</f>
        <v>868</v>
      </c>
      <c r="E64" s="29">
        <f t="shared" si="0"/>
        <v>-6032</v>
      </c>
      <c r="F64" s="39">
        <f t="shared" si="1"/>
        <v>0.1258</v>
      </c>
    </row>
    <row r="65" spans="1:6" ht="32.25" customHeight="1" x14ac:dyDescent="0.2">
      <c r="A65" s="94" t="s">
        <v>135</v>
      </c>
      <c r="B65" s="95" t="s">
        <v>114</v>
      </c>
      <c r="C65" s="107">
        <f>IFERROR(VLOOKUP(A65,[4]KujawskoPomorski!$A$7:$D$100,4,FALSE),0)</f>
        <v>18259</v>
      </c>
      <c r="D65" s="107">
        <f>C65-4524</f>
        <v>13735</v>
      </c>
      <c r="E65" s="83">
        <f t="shared" si="0"/>
        <v>-4524</v>
      </c>
      <c r="F65" s="108">
        <f t="shared" si="1"/>
        <v>0.75219999999999998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7" orientation="portrait" r:id="rId1"/>
  <headerFooter alignWithMargins="0">
    <oddFooter>&amp;R&amp;20&amp;P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D6" sqref="D6:D93"/>
      <selection pane="topRight" activeCell="D6" sqref="D6:D93"/>
      <selection pane="bottomLeft" activeCell="D6" sqref="D6:D93"/>
      <selection pane="bottomRight" activeCell="K7" sqref="K7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1" t="str">
        <f>NFZ!A1</f>
        <v>ZMIANA PLANU FINANSOWEGO NARODOWEGO FUNDUSZU ZDROWIA NA 2017 ROK Z DNIA 8 GRUDNIA 2017 R.</v>
      </c>
      <c r="B1" s="111"/>
      <c r="C1" s="111"/>
      <c r="D1" s="111"/>
      <c r="E1" s="111"/>
      <c r="F1" s="111"/>
    </row>
    <row r="2" spans="1:6" s="22" customFormat="1" ht="33" customHeight="1" x14ac:dyDescent="0.2">
      <c r="A2" s="67" t="s">
        <v>62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4265320</v>
      </c>
      <c r="D6" s="102">
        <f>D7+D8+D9+D14+D15+D16+D17+D18+D19+D20+D21+D22+D23+D24+D28+D29+D31+D32+D33+D34</f>
        <v>4279996</v>
      </c>
      <c r="E6" s="83">
        <f>IF(C6=D6,"-",D6-C6)</f>
        <v>14676</v>
      </c>
      <c r="F6" s="103">
        <f>IF(C6=0,"-",D6/C6)</f>
        <v>1.0029999999999999</v>
      </c>
    </row>
    <row r="7" spans="1:6" ht="33" customHeight="1" x14ac:dyDescent="0.2">
      <c r="A7" s="48" t="s">
        <v>1</v>
      </c>
      <c r="B7" s="14" t="s">
        <v>117</v>
      </c>
      <c r="C7" s="31">
        <f>IFERROR(VLOOKUP(A7,[4]Lubelski!$A$7:$D$100,4,FALSE),0)</f>
        <v>558216</v>
      </c>
      <c r="D7" s="13">
        <f>C7</f>
        <v>558216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f>IFERROR(VLOOKUP(A8,[4]Lubelski!$A$7:$D$100,4,FALSE),0)</f>
        <v>291428</v>
      </c>
      <c r="D8" s="13">
        <f>C8</f>
        <v>291428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f>IFERROR(VLOOKUP(A9,[4]Lubelski!$A$7:$D$100,4,FALSE),0)</f>
        <v>2166002</v>
      </c>
      <c r="D9" s="13">
        <f>C9+14676</f>
        <v>2180678</v>
      </c>
      <c r="E9" s="38">
        <f t="shared" si="0"/>
        <v>14676</v>
      </c>
      <c r="F9" s="39">
        <f t="shared" si="1"/>
        <v>1.0067999999999999</v>
      </c>
    </row>
    <row r="10" spans="1:6" ht="31.5" customHeight="1" x14ac:dyDescent="0.2">
      <c r="A10" s="49" t="s">
        <v>55</v>
      </c>
      <c r="B10" s="45" t="s">
        <v>140</v>
      </c>
      <c r="C10" s="31">
        <f>IFERROR(VLOOKUP(A10,[4]Lubelski!$A$7:$D$100,4,FALSE),0)</f>
        <v>177352</v>
      </c>
      <c r="D10" s="13">
        <f t="shared" ref="D10:D34" si="2">C10</f>
        <v>177352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f>IFERROR(VLOOKUP(A11,[4]Lubelski!$A$7:$D$100,4,FALSE),0)</f>
        <v>159770</v>
      </c>
      <c r="D11" s="13">
        <f t="shared" si="2"/>
        <v>159770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f>IFERROR(VLOOKUP(A12,[4]Lubelski!$A$7:$D$100,4,FALSE),0)</f>
        <v>93461</v>
      </c>
      <c r="D12" s="13">
        <f t="shared" si="2"/>
        <v>93461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f>IFERROR(VLOOKUP(A13,[4]Lubelski!$A$7:$D$100,4,FALSE),0)</f>
        <v>40723</v>
      </c>
      <c r="D13" s="13">
        <f t="shared" si="2"/>
        <v>40723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f>IFERROR(VLOOKUP(A14,[4]Lubelski!$A$7:$D$100,4,FALSE),0)</f>
        <v>163626</v>
      </c>
      <c r="D14" s="13">
        <f t="shared" si="2"/>
        <v>163626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f>IFERROR(VLOOKUP(A15,[4]Lubelski!$A$7:$D$100,4,FALSE),0)</f>
        <v>125328</v>
      </c>
      <c r="D15" s="13">
        <f t="shared" si="2"/>
        <v>125328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f>IFERROR(VLOOKUP(A16,[4]Lubelski!$A$7:$D$100,4,FALSE),0)</f>
        <v>78482</v>
      </c>
      <c r="D16" s="13">
        <f t="shared" si="2"/>
        <v>78482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f>IFERROR(VLOOKUP(A17,[4]Lubelski!$A$7:$D$100,4,FALSE),0)</f>
        <v>28947</v>
      </c>
      <c r="D17" s="13">
        <f t="shared" si="2"/>
        <v>28947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f>IFERROR(VLOOKUP(A18,[4]Lubelski!$A$7:$D$100,4,FALSE),0)</f>
        <v>127230</v>
      </c>
      <c r="D18" s="13">
        <f t="shared" si="2"/>
        <v>127230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f>IFERROR(VLOOKUP(A19,[4]Lubelski!$A$7:$D$100,4,FALSE),0)</f>
        <v>42042</v>
      </c>
      <c r="D19" s="13">
        <f t="shared" si="2"/>
        <v>42042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f>IFERROR(VLOOKUP(A20,[4]Lubelski!$A$7:$D$100,4,FALSE),0)</f>
        <v>3387</v>
      </c>
      <c r="D20" s="13">
        <f t="shared" si="2"/>
        <v>3387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f>IFERROR(VLOOKUP(A21,[4]Lubelski!$A$7:$D$100,4,FALSE),0)</f>
        <v>10183</v>
      </c>
      <c r="D21" s="13">
        <f t="shared" si="2"/>
        <v>10183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f>IFERROR(VLOOKUP(A22,[4]Lubelski!$A$7:$D$100,4,FALSE),0)</f>
        <v>136438</v>
      </c>
      <c r="D22" s="13">
        <f t="shared" si="2"/>
        <v>136438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f>IFERROR(VLOOKUP(A23,[4]Lubelski!$A$7:$D$100,4,FALSE),0)</f>
        <v>54913</v>
      </c>
      <c r="D23" s="13">
        <f t="shared" si="2"/>
        <v>54913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f>IFERROR(VLOOKUP(A24,[4]Lubelski!$A$7:$D$100,4,FALSE),0)</f>
        <v>462588</v>
      </c>
      <c r="D24" s="31">
        <f>SUM(D25:D27)</f>
        <v>462588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f>IFERROR(VLOOKUP(A25,[4]Lubelski!$A$7:$D$100,4,FALSE),0)</f>
        <v>460088</v>
      </c>
      <c r="D25" s="13">
        <f t="shared" si="2"/>
        <v>460088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f>IFERROR(VLOOKUP(A26,[4]Lubelski!$A$7:$D$100,4,FALSE),0)</f>
        <v>2000</v>
      </c>
      <c r="D26" s="13">
        <f t="shared" si="2"/>
        <v>2000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f>IFERROR(VLOOKUP(A27,[4]Lubelski!$A$7:$D$100,4,FALSE),0)</f>
        <v>500</v>
      </c>
      <c r="D27" s="13">
        <f t="shared" si="2"/>
        <v>500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f>IFERROR(VLOOKUP(A28,[4]Lubelski!$A$7:$D$100,4,FALSE),0)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f>IFERROR(VLOOKUP(A29,[4]Lubelski!$A$7:$D$100,4,FALSE),0)</f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f>IFERROR(VLOOKUP(A30,[4]Lubelski!$A$7:$D$100,4,FALSE),0)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f>IFERROR(VLOOKUP(A31,[4]Lubelski!$A$7:$D$100,4,FALSE),0)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f>IFERROR(VLOOKUP(A32,[4]Lubelski!$A$7:$D$100,4,FALSE),0)</f>
        <v>15510</v>
      </c>
      <c r="D32" s="13">
        <f t="shared" si="2"/>
        <v>15510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f>IFERROR(VLOOKUP(A33,[4]Lubelski!$A$7:$D$100,4,FALSE),0)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f>IFERROR(VLOOKUP(A34,[4]Lubelski!$A$7:$D$100,4,FALSE),0)</f>
        <v>1000</v>
      </c>
      <c r="D34" s="13">
        <f t="shared" si="2"/>
        <v>1000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f>IFERROR(VLOOKUP(A35,[4]Lubelski!$A$7:$D$100,4,FALSE),0)</f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f>IFERROR(VLOOKUP(A36,[4]Lubelski!$A$7:$D$100,4,FALSE),0)</f>
        <v>118011</v>
      </c>
      <c r="D36" s="37">
        <f>C36</f>
        <v>118011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f>IFERROR(VLOOKUP(A37,[4]Lubelski!$A$7:$D$100,4,FALSE),0)</f>
        <v>29357</v>
      </c>
      <c r="D37" s="37">
        <f>C37</f>
        <v>29357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663081</v>
      </c>
      <c r="D38" s="32">
        <f>D11+D13+D24+D30</f>
        <v>663081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25683</v>
      </c>
      <c r="D39" s="87">
        <f>D40+D41+D42+D50+D52+D58+D59+D57</f>
        <v>25683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f>IFERROR(VLOOKUP(A40,[4]Lubelski!$A$7:$D$100,4,FALSE),0)</f>
        <v>903</v>
      </c>
      <c r="D40" s="33">
        <f>C40</f>
        <v>903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f>IFERROR(VLOOKUP(A41,[4]Lubelski!$A$7:$D$100,4,FALSE),0)</f>
        <v>2803</v>
      </c>
      <c r="D41" s="33">
        <f t="shared" ref="D41:D59" si="3">C41</f>
        <v>2803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265</v>
      </c>
      <c r="D42" s="33">
        <f>D43+D45+D46+D47+D48+D49</f>
        <v>265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f>IFERROR(VLOOKUP(A43,[4]Lubelski!$A$7:$D$100,4,FALSE),0)</f>
        <v>31</v>
      </c>
      <c r="D43" s="33">
        <f t="shared" si="3"/>
        <v>31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f>IFERROR(VLOOKUP(A44,[4]Lubelski!$A$7:$D$100,4,FALSE),0)</f>
        <v>31</v>
      </c>
      <c r="D44" s="33">
        <f t="shared" si="3"/>
        <v>31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f>IFERROR(VLOOKUP(A45,[4]Lubelski!$A$7:$D$100,4,FALSE),0)</f>
        <v>0</v>
      </c>
      <c r="D45" s="33">
        <f t="shared" si="3"/>
        <v>0</v>
      </c>
      <c r="E45" s="38" t="str">
        <f t="shared" si="0"/>
        <v>-</v>
      </c>
      <c r="F45" s="39" t="str">
        <f t="shared" si="1"/>
        <v>-</v>
      </c>
    </row>
    <row r="46" spans="1:6" ht="28.5" customHeight="1" x14ac:dyDescent="0.2">
      <c r="A46" s="53" t="s">
        <v>41</v>
      </c>
      <c r="B46" s="46" t="s">
        <v>34</v>
      </c>
      <c r="C46" s="31">
        <f>IFERROR(VLOOKUP(A46,[4]Lubelski!$A$7:$D$100,4,FALSE),0)</f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f>IFERROR(VLOOKUP(A47,[4]Lubelski!$A$7:$D$100,4,FALSE),0)</f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f>IFERROR(VLOOKUP(A48,[4]Lubelski!$A$7:$D$100,4,FALSE),0)</f>
        <v>220</v>
      </c>
      <c r="D48" s="33">
        <f t="shared" si="3"/>
        <v>220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f>IFERROR(VLOOKUP(A49,[4]Lubelski!$A$7:$D$100,4,FALSE),0)</f>
        <v>14</v>
      </c>
      <c r="D49" s="33">
        <f t="shared" si="3"/>
        <v>14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f>IFERROR(VLOOKUP(A50,[4]Lubelski!$A$7:$D$100,4,FALSE),0)</f>
        <v>16033</v>
      </c>
      <c r="D50" s="33">
        <f t="shared" si="3"/>
        <v>16033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f>IFERROR(VLOOKUP(A51,[4]Lubelski!$A$7:$D$100,4,FALSE),0)</f>
        <v>144</v>
      </c>
      <c r="D51" s="33">
        <f t="shared" si="3"/>
        <v>144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3604</v>
      </c>
      <c r="D52" s="29">
        <f>D53+D54+D55+D56</f>
        <v>3604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f>IFERROR(VLOOKUP(A53,[4]Lubelski!$A$7:$D$100,4,FALSE),0)</f>
        <v>2753</v>
      </c>
      <c r="D53" s="33">
        <f t="shared" si="3"/>
        <v>2753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f>IFERROR(VLOOKUP(A54,[4]Lubelski!$A$7:$D$100,4,FALSE),0)</f>
        <v>393</v>
      </c>
      <c r="D54" s="33">
        <f t="shared" si="3"/>
        <v>393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f>IFERROR(VLOOKUP(A55,[4]Lubelski!$A$7:$D$100,4,FALSE),0)</f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f>IFERROR(VLOOKUP(A56,[4]Lubelski!$A$7:$D$100,4,FALSE),0)</f>
        <v>458</v>
      </c>
      <c r="D56" s="33">
        <f t="shared" si="3"/>
        <v>458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f>IFERROR(VLOOKUP(A57,[4]Lubelski!$A$7:$D$100,4,FALSE),0)</f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f>IFERROR(VLOOKUP(A58,[4]Lubelski!$A$7:$D$100,4,FALSE),0)</f>
        <v>1730</v>
      </c>
      <c r="D58" s="33">
        <f t="shared" si="3"/>
        <v>1730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f>IFERROR(VLOOKUP(A59,[4]Lubelski!$A$7:$D$100,4,FALSE),0)</f>
        <v>345</v>
      </c>
      <c r="D59" s="33">
        <f t="shared" si="3"/>
        <v>345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41705</v>
      </c>
      <c r="D60" s="107">
        <f>D61+D62+D63+D64</f>
        <v>46505</v>
      </c>
      <c r="E60" s="83">
        <f t="shared" si="0"/>
        <v>4800</v>
      </c>
      <c r="F60" s="108">
        <f t="shared" si="1"/>
        <v>1.1151</v>
      </c>
    </row>
    <row r="61" spans="1:6" ht="42" customHeight="1" x14ac:dyDescent="0.2">
      <c r="A61" s="51" t="s">
        <v>100</v>
      </c>
      <c r="B61" s="18" t="s">
        <v>113</v>
      </c>
      <c r="C61" s="31">
        <f>IFERROR(VLOOKUP(A61,[4]Lubelski!$A$7:$D$100,4,FALSE),0)</f>
        <v>5</v>
      </c>
      <c r="D61" s="33">
        <f>C61-5</f>
        <v>0</v>
      </c>
      <c r="E61" s="29">
        <f t="shared" si="0"/>
        <v>-5</v>
      </c>
      <c r="F61" s="39">
        <f t="shared" si="1"/>
        <v>0</v>
      </c>
    </row>
    <row r="62" spans="1:6" ht="31.5" customHeight="1" x14ac:dyDescent="0.2">
      <c r="A62" s="51" t="s">
        <v>29</v>
      </c>
      <c r="B62" s="18" t="s">
        <v>54</v>
      </c>
      <c r="C62" s="31">
        <f>IFERROR(VLOOKUP(A62,[4]Lubelski!$A$7:$D$100,4,FALSE),0)</f>
        <v>40500</v>
      </c>
      <c r="D62" s="33">
        <f>C62+5500</f>
        <v>46000</v>
      </c>
      <c r="E62" s="29">
        <f t="shared" si="0"/>
        <v>5500</v>
      </c>
      <c r="F62" s="39">
        <f t="shared" si="1"/>
        <v>1.1357999999999999</v>
      </c>
    </row>
    <row r="63" spans="1:6" ht="31.5" customHeight="1" x14ac:dyDescent="0.2">
      <c r="A63" s="51" t="s">
        <v>30</v>
      </c>
      <c r="B63" s="18" t="s">
        <v>102</v>
      </c>
      <c r="C63" s="31">
        <f>IFERROR(VLOOKUP(A63,[4]Lubelski!$A$7:$D$100,4,FALSE),0)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f>IFERROR(VLOOKUP(A64,[4]Lubelski!$A$7:$D$100,4,FALSE),0)</f>
        <v>1200</v>
      </c>
      <c r="D64" s="33">
        <f>C64-695</f>
        <v>505</v>
      </c>
      <c r="E64" s="29">
        <f t="shared" si="0"/>
        <v>-695</v>
      </c>
      <c r="F64" s="39">
        <f t="shared" si="1"/>
        <v>0.42080000000000001</v>
      </c>
    </row>
    <row r="65" spans="1:6" ht="32.25" customHeight="1" x14ac:dyDescent="0.2">
      <c r="A65" s="94" t="s">
        <v>135</v>
      </c>
      <c r="B65" s="95" t="s">
        <v>114</v>
      </c>
      <c r="C65" s="107">
        <f>IFERROR(VLOOKUP(A65,[4]Lubelski!$A$7:$D$100,4,FALSE),0)</f>
        <v>5000</v>
      </c>
      <c r="D65" s="107">
        <f>C65-4800</f>
        <v>200</v>
      </c>
      <c r="E65" s="83">
        <f t="shared" si="0"/>
        <v>-4800</v>
      </c>
      <c r="F65" s="108">
        <f t="shared" si="1"/>
        <v>0.04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7" orientation="portrait" r:id="rId1"/>
  <headerFooter alignWithMargins="0">
    <oddFooter>&amp;R&amp;20&amp;P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D6" sqref="D6:D93"/>
      <selection pane="topRight" activeCell="D6" sqref="D6:D93"/>
      <selection pane="bottomLeft" activeCell="D6" sqref="D6:D93"/>
      <selection pane="bottomRight" activeCell="H8" sqref="H8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3" style="1" customWidth="1"/>
    <col min="7" max="16384" width="9.140625" style="1"/>
  </cols>
  <sheetData>
    <row r="1" spans="1:6" s="20" customFormat="1" ht="46.5" customHeight="1" x14ac:dyDescent="0.2">
      <c r="A1" s="111" t="str">
        <f>NFZ!A1</f>
        <v>ZMIANA PLANU FINANSOWEGO NARODOWEGO FUNDUSZU ZDROWIA NA 2017 ROK Z DNIA 8 GRUDNIA 2017 R.</v>
      </c>
      <c r="B1" s="111"/>
      <c r="C1" s="111"/>
      <c r="D1" s="111"/>
      <c r="E1" s="111"/>
      <c r="F1" s="111"/>
    </row>
    <row r="2" spans="1:6" s="22" customFormat="1" ht="33" customHeight="1" x14ac:dyDescent="0.2">
      <c r="A2" s="67" t="s">
        <v>63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1941057</v>
      </c>
      <c r="D6" s="102">
        <f>D7+D8+D9+D14+D15+D16+D17+D18+D19+D20+D21+D22+D23+D24+D28+D29+D31+D32+D33+D34</f>
        <v>1947730</v>
      </c>
      <c r="E6" s="83">
        <f>IF(C6=D6,"-",D6-C6)</f>
        <v>6673</v>
      </c>
      <c r="F6" s="103">
        <f>IF(C6=0,"-",D6/C6)</f>
        <v>1.0029999999999999</v>
      </c>
    </row>
    <row r="7" spans="1:6" ht="33" customHeight="1" x14ac:dyDescent="0.2">
      <c r="A7" s="48" t="s">
        <v>1</v>
      </c>
      <c r="B7" s="14" t="s">
        <v>117</v>
      </c>
      <c r="C7" s="31">
        <f>IFERROR(VLOOKUP(A7,[4]Lubuski!$A$7:$D$100,4,FALSE),0)</f>
        <v>265273</v>
      </c>
      <c r="D7" s="13">
        <f>C7</f>
        <v>265273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f>IFERROR(VLOOKUP(A8,[4]Lubuski!$A$7:$D$100,4,FALSE),0)</f>
        <v>150351</v>
      </c>
      <c r="D8" s="13">
        <f>C8</f>
        <v>150351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f>IFERROR(VLOOKUP(A9,[4]Lubuski!$A$7:$D$100,4,FALSE),0)</f>
        <v>965541</v>
      </c>
      <c r="D9" s="13">
        <f>C9+6673</f>
        <v>972214</v>
      </c>
      <c r="E9" s="38">
        <f t="shared" si="0"/>
        <v>6673</v>
      </c>
      <c r="F9" s="39">
        <f t="shared" si="1"/>
        <v>1.0068999999999999</v>
      </c>
    </row>
    <row r="10" spans="1:6" ht="31.5" customHeight="1" x14ac:dyDescent="0.2">
      <c r="A10" s="49" t="s">
        <v>55</v>
      </c>
      <c r="B10" s="45" t="s">
        <v>140</v>
      </c>
      <c r="C10" s="31">
        <f>IFERROR(VLOOKUP(A10,[4]Lubuski!$A$7:$D$100,4,FALSE),0)</f>
        <v>86838</v>
      </c>
      <c r="D10" s="13">
        <f t="shared" ref="D10:D34" si="2">C10</f>
        <v>86838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f>IFERROR(VLOOKUP(A11,[4]Lubuski!$A$7:$D$100,4,FALSE),0)</f>
        <v>80231</v>
      </c>
      <c r="D11" s="13">
        <f t="shared" si="2"/>
        <v>80231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f>IFERROR(VLOOKUP(A12,[4]Lubuski!$A$7:$D$100,4,FALSE),0)</f>
        <v>37566</v>
      </c>
      <c r="D12" s="13">
        <f t="shared" si="2"/>
        <v>37566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f>IFERROR(VLOOKUP(A13,[4]Lubuski!$A$7:$D$100,4,FALSE),0)</f>
        <v>15501</v>
      </c>
      <c r="D13" s="13">
        <f t="shared" si="2"/>
        <v>15501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f>IFERROR(VLOOKUP(A14,[4]Lubuski!$A$7:$D$100,4,FALSE),0)</f>
        <v>100600</v>
      </c>
      <c r="D14" s="13">
        <f t="shared" si="2"/>
        <v>100600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f>IFERROR(VLOOKUP(A15,[4]Lubuski!$A$7:$D$100,4,FALSE),0)</f>
        <v>55567</v>
      </c>
      <c r="D15" s="13">
        <f t="shared" si="2"/>
        <v>55567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f>IFERROR(VLOOKUP(A16,[4]Lubuski!$A$7:$D$100,4,FALSE),0)</f>
        <v>29314</v>
      </c>
      <c r="D16" s="13">
        <f t="shared" si="2"/>
        <v>29314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f>IFERROR(VLOOKUP(A17,[4]Lubuski!$A$7:$D$100,4,FALSE),0)</f>
        <v>16918</v>
      </c>
      <c r="D17" s="13">
        <f t="shared" si="2"/>
        <v>16918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f>IFERROR(VLOOKUP(A18,[4]Lubuski!$A$7:$D$100,4,FALSE),0)</f>
        <v>40702</v>
      </c>
      <c r="D18" s="13">
        <f t="shared" si="2"/>
        <v>40702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f>IFERROR(VLOOKUP(A19,[4]Lubuski!$A$7:$D$100,4,FALSE),0)</f>
        <v>14300</v>
      </c>
      <c r="D19" s="13">
        <f t="shared" si="2"/>
        <v>14300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f>IFERROR(VLOOKUP(A20,[4]Lubuski!$A$7:$D$100,4,FALSE),0)</f>
        <v>1655</v>
      </c>
      <c r="D20" s="13">
        <f t="shared" si="2"/>
        <v>1655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f>IFERROR(VLOOKUP(A21,[4]Lubuski!$A$7:$D$100,4,FALSE),0)</f>
        <v>5429</v>
      </c>
      <c r="D21" s="13">
        <f t="shared" si="2"/>
        <v>5429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f>IFERROR(VLOOKUP(A22,[4]Lubuski!$A$7:$D$100,4,FALSE),0)</f>
        <v>55869</v>
      </c>
      <c r="D22" s="13">
        <f t="shared" si="2"/>
        <v>55869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f>IFERROR(VLOOKUP(A23,[4]Lubuski!$A$7:$D$100,4,FALSE),0)</f>
        <v>27300</v>
      </c>
      <c r="D23" s="13">
        <f t="shared" si="2"/>
        <v>27300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f>IFERROR(VLOOKUP(A24,[4]Lubuski!$A$7:$D$100,4,FALSE),0)</f>
        <v>201000</v>
      </c>
      <c r="D24" s="31">
        <f>SUM(D25:D27)</f>
        <v>201000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f>IFERROR(VLOOKUP(A25,[4]Lubuski!$A$7:$D$100,4,FALSE),0)</f>
        <v>200500</v>
      </c>
      <c r="D25" s="13">
        <f t="shared" si="2"/>
        <v>200500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f>IFERROR(VLOOKUP(A26,[4]Lubuski!$A$7:$D$100,4,FALSE),0)</f>
        <v>300</v>
      </c>
      <c r="D26" s="13">
        <f t="shared" si="2"/>
        <v>300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f>IFERROR(VLOOKUP(A27,[4]Lubuski!$A$7:$D$100,4,FALSE),0)</f>
        <v>200</v>
      </c>
      <c r="D27" s="13">
        <f t="shared" si="2"/>
        <v>200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f>IFERROR(VLOOKUP(A28,[4]Lubuski!$A$7:$D$100,4,FALSE),0)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f>IFERROR(VLOOKUP(A29,[4]Lubuski!$A$7:$D$100,4,FALSE),0)</f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f>IFERROR(VLOOKUP(A30,[4]Lubuski!$A$7:$D$100,4,FALSE),0)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f>IFERROR(VLOOKUP(A31,[4]Lubuski!$A$7:$D$100,4,FALSE),0)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f>IFERROR(VLOOKUP(A32,[4]Lubuski!$A$7:$D$100,4,FALSE),0)</f>
        <v>10238</v>
      </c>
      <c r="D32" s="13">
        <f t="shared" si="2"/>
        <v>10238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f>IFERROR(VLOOKUP(A33,[4]Lubuski!$A$7:$D$100,4,FALSE),0)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f>IFERROR(VLOOKUP(A34,[4]Lubuski!$A$7:$D$100,4,FALSE),0)</f>
        <v>1000</v>
      </c>
      <c r="D34" s="13">
        <f t="shared" si="2"/>
        <v>1000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f>IFERROR(VLOOKUP(A35,[4]Lubuski!$A$7:$D$100,4,FALSE),0)</f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f>IFERROR(VLOOKUP(A36,[4]Lubuski!$A$7:$D$100,4,FALSE),0)</f>
        <v>66857</v>
      </c>
      <c r="D36" s="37">
        <f>C36</f>
        <v>66857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f>IFERROR(VLOOKUP(A37,[4]Lubuski!$A$7:$D$100,4,FALSE),0)</f>
        <v>13137</v>
      </c>
      <c r="D37" s="37">
        <f>C37</f>
        <v>13137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296732</v>
      </c>
      <c r="D38" s="32">
        <f>D11+D13+D24+D30</f>
        <v>296732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17516</v>
      </c>
      <c r="D39" s="87">
        <f>D40+D41+D42+D50+D52+D58+D59+D57</f>
        <v>17516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f>IFERROR(VLOOKUP(A40,[4]Lubuski!$A$7:$D$100,4,FALSE),0)</f>
        <v>810</v>
      </c>
      <c r="D40" s="33">
        <f>C40</f>
        <v>810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f>IFERROR(VLOOKUP(A41,[4]Lubuski!$A$7:$D$100,4,FALSE),0)</f>
        <v>2103</v>
      </c>
      <c r="D41" s="33">
        <f t="shared" ref="D41:D59" si="3">C41</f>
        <v>2103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78</v>
      </c>
      <c r="D42" s="33">
        <f>D43+D45+D46+D47+D48+D49</f>
        <v>78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f>IFERROR(VLOOKUP(A43,[4]Lubuski!$A$7:$D$100,4,FALSE),0)</f>
        <v>15</v>
      </c>
      <c r="D43" s="33">
        <f t="shared" si="3"/>
        <v>15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f>IFERROR(VLOOKUP(A44,[4]Lubuski!$A$7:$D$100,4,FALSE),0)</f>
        <v>15</v>
      </c>
      <c r="D44" s="33">
        <f t="shared" si="3"/>
        <v>15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f>IFERROR(VLOOKUP(A45,[4]Lubuski!$A$7:$D$100,4,FALSE),0)</f>
        <v>0</v>
      </c>
      <c r="D45" s="33">
        <f t="shared" si="3"/>
        <v>0</v>
      </c>
      <c r="E45" s="38" t="str">
        <f t="shared" si="0"/>
        <v>-</v>
      </c>
      <c r="F45" s="39" t="str">
        <f t="shared" si="1"/>
        <v>-</v>
      </c>
    </row>
    <row r="46" spans="1:6" ht="28.5" customHeight="1" x14ac:dyDescent="0.2">
      <c r="A46" s="53" t="s">
        <v>41</v>
      </c>
      <c r="B46" s="46" t="s">
        <v>34</v>
      </c>
      <c r="C46" s="31">
        <f>IFERROR(VLOOKUP(A46,[4]Lubuski!$A$7:$D$100,4,FALSE),0)</f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f>IFERROR(VLOOKUP(A47,[4]Lubuski!$A$7:$D$100,4,FALSE),0)</f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f>IFERROR(VLOOKUP(A48,[4]Lubuski!$A$7:$D$100,4,FALSE),0)</f>
        <v>40</v>
      </c>
      <c r="D48" s="33">
        <f t="shared" si="3"/>
        <v>40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f>IFERROR(VLOOKUP(A49,[4]Lubuski!$A$7:$D$100,4,FALSE),0)</f>
        <v>23</v>
      </c>
      <c r="D49" s="33">
        <f t="shared" si="3"/>
        <v>23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f>IFERROR(VLOOKUP(A50,[4]Lubuski!$A$7:$D$100,4,FALSE),0)</f>
        <v>9106</v>
      </c>
      <c r="D50" s="33">
        <f t="shared" si="3"/>
        <v>9106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f>IFERROR(VLOOKUP(A51,[4]Lubuski!$A$7:$D$100,4,FALSE),0)</f>
        <v>0</v>
      </c>
      <c r="D51" s="33">
        <f t="shared" si="3"/>
        <v>0</v>
      </c>
      <c r="E51" s="38" t="str">
        <f t="shared" si="0"/>
        <v>-</v>
      </c>
      <c r="F51" s="39" t="str">
        <f t="shared" si="1"/>
        <v>-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2112</v>
      </c>
      <c r="D52" s="29">
        <f>D53+D54+D55+D56</f>
        <v>2112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f>IFERROR(VLOOKUP(A53,[4]Lubuski!$A$7:$D$100,4,FALSE),0)</f>
        <v>1562</v>
      </c>
      <c r="D53" s="33">
        <f t="shared" si="3"/>
        <v>1562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f>IFERROR(VLOOKUP(A54,[4]Lubuski!$A$7:$D$100,4,FALSE),0)</f>
        <v>222</v>
      </c>
      <c r="D54" s="33">
        <f t="shared" si="3"/>
        <v>222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f>IFERROR(VLOOKUP(A55,[4]Lubuski!$A$7:$D$100,4,FALSE),0)</f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f>IFERROR(VLOOKUP(A56,[4]Lubuski!$A$7:$D$100,4,FALSE),0)</f>
        <v>328</v>
      </c>
      <c r="D56" s="33">
        <f t="shared" si="3"/>
        <v>328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f>IFERROR(VLOOKUP(A57,[4]Lubuski!$A$7:$D$100,4,FALSE),0)</f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f>IFERROR(VLOOKUP(A58,[4]Lubuski!$A$7:$D$100,4,FALSE),0)</f>
        <v>3000</v>
      </c>
      <c r="D58" s="33">
        <f t="shared" si="3"/>
        <v>3000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f>IFERROR(VLOOKUP(A59,[4]Lubuski!$A$7:$D$100,4,FALSE),0)</f>
        <v>307</v>
      </c>
      <c r="D59" s="33">
        <f t="shared" si="3"/>
        <v>307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4590</v>
      </c>
      <c r="D60" s="107">
        <f>D61+D62+D63+D64</f>
        <v>2865</v>
      </c>
      <c r="E60" s="83">
        <f t="shared" si="0"/>
        <v>-1725</v>
      </c>
      <c r="F60" s="108">
        <f t="shared" si="1"/>
        <v>0.62419999999999998</v>
      </c>
    </row>
    <row r="61" spans="1:6" ht="42" customHeight="1" x14ac:dyDescent="0.2">
      <c r="A61" s="51" t="s">
        <v>100</v>
      </c>
      <c r="B61" s="18" t="s">
        <v>113</v>
      </c>
      <c r="C61" s="31">
        <f>IFERROR(VLOOKUP(A61,[4]Lubuski!$A$7:$D$100,4,FALSE),0)</f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f>IFERROR(VLOOKUP(A62,[4]Lubuski!$A$7:$D$100,4,FALSE),0)</f>
        <v>3730</v>
      </c>
      <c r="D62" s="33">
        <f>C62-1815</f>
        <v>1915</v>
      </c>
      <c r="E62" s="29">
        <f t="shared" si="0"/>
        <v>-1815</v>
      </c>
      <c r="F62" s="39">
        <f t="shared" si="1"/>
        <v>0.51339999999999997</v>
      </c>
    </row>
    <row r="63" spans="1:6" ht="31.5" customHeight="1" x14ac:dyDescent="0.2">
      <c r="A63" s="51" t="s">
        <v>30</v>
      </c>
      <c r="B63" s="18" t="s">
        <v>102</v>
      </c>
      <c r="C63" s="31">
        <f>IFERROR(VLOOKUP(A63,[4]Lubuski!$A$7:$D$100,4,FALSE),0)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f>IFERROR(VLOOKUP(A64,[4]Lubuski!$A$7:$D$100,4,FALSE),0)</f>
        <v>860</v>
      </c>
      <c r="D64" s="33">
        <f>C64+90</f>
        <v>950</v>
      </c>
      <c r="E64" s="29">
        <f t="shared" si="0"/>
        <v>90</v>
      </c>
      <c r="F64" s="39">
        <f t="shared" si="1"/>
        <v>1.1047</v>
      </c>
    </row>
    <row r="65" spans="1:6" ht="32.25" customHeight="1" x14ac:dyDescent="0.2">
      <c r="A65" s="94" t="s">
        <v>135</v>
      </c>
      <c r="B65" s="95" t="s">
        <v>114</v>
      </c>
      <c r="C65" s="107">
        <f>IFERROR(VLOOKUP(A65,[4]Lubuski!$A$7:$D$100,4,FALSE),0)</f>
        <v>750</v>
      </c>
      <c r="D65" s="107">
        <f>C65+2650</f>
        <v>3400</v>
      </c>
      <c r="E65" s="83">
        <f t="shared" si="0"/>
        <v>2650</v>
      </c>
      <c r="F65" s="108">
        <f t="shared" si="1"/>
        <v>4.5332999999999997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7" orientation="portrait" r:id="rId1"/>
  <headerFooter alignWithMargins="0">
    <oddFooter>&amp;R&amp;20&amp;P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D6" sqref="D6:D93"/>
      <selection pane="topRight" activeCell="D6" sqref="D6:D93"/>
      <selection pane="bottomLeft" activeCell="D6" sqref="D6:D93"/>
      <selection pane="bottomRight" activeCell="D6" sqref="D6:D93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1" t="str">
        <f>NFZ!A1</f>
        <v>ZMIANA PLANU FINANSOWEGO NARODOWEGO FUNDUSZU ZDROWIA NA 2017 ROK Z DNIA 8 GRUDNIA 2017 R.</v>
      </c>
      <c r="B1" s="111"/>
      <c r="C1" s="111"/>
      <c r="D1" s="111"/>
      <c r="E1" s="111"/>
      <c r="F1" s="111"/>
    </row>
    <row r="2" spans="1:6" s="22" customFormat="1" ht="33" customHeight="1" x14ac:dyDescent="0.2">
      <c r="A2" s="67" t="s">
        <v>64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5167277</v>
      </c>
      <c r="D6" s="102">
        <f>D7+D8+D9+D14+D15+D16+D17+D18+D19+D20+D21+D22+D23+D24+D28+D29+D31+D32+D33+D34</f>
        <v>5185015</v>
      </c>
      <c r="E6" s="83">
        <f>IF(C6=D6,"-",D6-C6)</f>
        <v>17738</v>
      </c>
      <c r="F6" s="103">
        <f>IF(C6=0,"-",D6/C6)</f>
        <v>1.0029999999999999</v>
      </c>
    </row>
    <row r="7" spans="1:6" ht="33" customHeight="1" x14ac:dyDescent="0.2">
      <c r="A7" s="48" t="s">
        <v>1</v>
      </c>
      <c r="B7" s="14" t="s">
        <v>117</v>
      </c>
      <c r="C7" s="31">
        <f>IFERROR(VLOOKUP(A7,[4]Łódzki!$A$7:$D$100,4,FALSE),0)</f>
        <v>675550</v>
      </c>
      <c r="D7" s="13">
        <f>C7</f>
        <v>675550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f>IFERROR(VLOOKUP(A8,[4]Łódzki!$A$7:$D$100,4,FALSE),0)</f>
        <v>365779</v>
      </c>
      <c r="D8" s="13">
        <f>C8</f>
        <v>365779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f>IFERROR(VLOOKUP(A9,[4]Łódzki!$A$7:$D$100,4,FALSE),0)</f>
        <v>2674060</v>
      </c>
      <c r="D9" s="13">
        <f>C9+17738</f>
        <v>2691798</v>
      </c>
      <c r="E9" s="38">
        <f t="shared" si="0"/>
        <v>17738</v>
      </c>
      <c r="F9" s="39">
        <f t="shared" si="1"/>
        <v>1.0065999999999999</v>
      </c>
    </row>
    <row r="10" spans="1:6" ht="31.5" customHeight="1" x14ac:dyDescent="0.2">
      <c r="A10" s="49" t="s">
        <v>55</v>
      </c>
      <c r="B10" s="45" t="s">
        <v>140</v>
      </c>
      <c r="C10" s="31">
        <f>IFERROR(VLOOKUP(A10,[4]Łódzki!$A$7:$D$100,4,FALSE),0)</f>
        <v>246896</v>
      </c>
      <c r="D10" s="13">
        <f t="shared" ref="D10:D34" si="2">C10</f>
        <v>246896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f>IFERROR(VLOOKUP(A11,[4]Łódzki!$A$7:$D$100,4,FALSE),0)</f>
        <v>222164</v>
      </c>
      <c r="D11" s="13">
        <f t="shared" si="2"/>
        <v>222164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f>IFERROR(VLOOKUP(A12,[4]Łódzki!$A$7:$D$100,4,FALSE),0)</f>
        <v>88342</v>
      </c>
      <c r="D12" s="13">
        <f t="shared" si="2"/>
        <v>88342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f>IFERROR(VLOOKUP(A13,[4]Łódzki!$A$7:$D$100,4,FALSE),0)</f>
        <v>35975</v>
      </c>
      <c r="D13" s="13">
        <f t="shared" si="2"/>
        <v>35975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f>IFERROR(VLOOKUP(A14,[4]Łódzki!$A$7:$D$100,4,FALSE),0)</f>
        <v>181647</v>
      </c>
      <c r="D14" s="13">
        <f t="shared" si="2"/>
        <v>181647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f>IFERROR(VLOOKUP(A15,[4]Łódzki!$A$7:$D$100,4,FALSE),0)</f>
        <v>137218</v>
      </c>
      <c r="D15" s="13">
        <f t="shared" si="2"/>
        <v>137218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f>IFERROR(VLOOKUP(A16,[4]Łódzki!$A$7:$D$100,4,FALSE),0)</f>
        <v>67429</v>
      </c>
      <c r="D16" s="13">
        <f t="shared" si="2"/>
        <v>67429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f>IFERROR(VLOOKUP(A17,[4]Łódzki!$A$7:$D$100,4,FALSE),0)</f>
        <v>35674</v>
      </c>
      <c r="D17" s="13">
        <f t="shared" si="2"/>
        <v>35674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f>IFERROR(VLOOKUP(A18,[4]Łódzki!$A$7:$D$100,4,FALSE),0)</f>
        <v>121656</v>
      </c>
      <c r="D18" s="13">
        <f t="shared" si="2"/>
        <v>121656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f>IFERROR(VLOOKUP(A19,[4]Łódzki!$A$7:$D$100,4,FALSE),0)</f>
        <v>43500</v>
      </c>
      <c r="D19" s="13">
        <f t="shared" si="2"/>
        <v>43500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f>IFERROR(VLOOKUP(A20,[4]Łódzki!$A$7:$D$100,4,FALSE),0)</f>
        <v>3079</v>
      </c>
      <c r="D20" s="13">
        <f t="shared" si="2"/>
        <v>3079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f>IFERROR(VLOOKUP(A21,[4]Łódzki!$A$7:$D$100,4,FALSE),0)</f>
        <v>11626</v>
      </c>
      <c r="D21" s="13">
        <f t="shared" si="2"/>
        <v>11626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f>IFERROR(VLOOKUP(A22,[4]Łódzki!$A$7:$D$100,4,FALSE),0)</f>
        <v>153997</v>
      </c>
      <c r="D22" s="13">
        <f t="shared" si="2"/>
        <v>153997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f>IFERROR(VLOOKUP(A23,[4]Łódzki!$A$7:$D$100,4,FALSE),0)</f>
        <v>67421</v>
      </c>
      <c r="D23" s="13">
        <f t="shared" si="2"/>
        <v>67421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f>IFERROR(VLOOKUP(A24,[4]Łódzki!$A$7:$D$100,4,FALSE),0)</f>
        <v>613783</v>
      </c>
      <c r="D24" s="31">
        <f>SUM(D25:D27)</f>
        <v>613783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f>IFERROR(VLOOKUP(A25,[4]Łódzki!$A$7:$D$100,4,FALSE),0)</f>
        <v>612070</v>
      </c>
      <c r="D25" s="13">
        <f t="shared" si="2"/>
        <v>612070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f>IFERROR(VLOOKUP(A26,[4]Łódzki!$A$7:$D$100,4,FALSE),0)</f>
        <v>889</v>
      </c>
      <c r="D26" s="13">
        <f t="shared" si="2"/>
        <v>889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f>IFERROR(VLOOKUP(A27,[4]Łódzki!$A$7:$D$100,4,FALSE),0)</f>
        <v>824</v>
      </c>
      <c r="D27" s="13">
        <f t="shared" si="2"/>
        <v>824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f>IFERROR(VLOOKUP(A28,[4]Łódzki!$A$7:$D$100,4,FALSE),0)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f>IFERROR(VLOOKUP(A29,[4]Łódzki!$A$7:$D$100,4,FALSE),0)</f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f>IFERROR(VLOOKUP(A30,[4]Łódzki!$A$7:$D$100,4,FALSE),0)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f>IFERROR(VLOOKUP(A31,[4]Łódzki!$A$7:$D$100,4,FALSE),0)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f>IFERROR(VLOOKUP(A32,[4]Łódzki!$A$7:$D$100,4,FALSE),0)</f>
        <v>14858</v>
      </c>
      <c r="D32" s="13">
        <f t="shared" si="2"/>
        <v>14858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f>IFERROR(VLOOKUP(A33,[4]Łódzki!$A$7:$D$100,4,FALSE),0)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f>IFERROR(VLOOKUP(A34,[4]Łódzki!$A$7:$D$100,4,FALSE),0)</f>
        <v>0</v>
      </c>
      <c r="D34" s="13">
        <f t="shared" si="2"/>
        <v>0</v>
      </c>
      <c r="E34" s="38" t="str">
        <f>IF(C34=D34,"-",D34-C34)</f>
        <v>-</v>
      </c>
      <c r="F34" s="39" t="str">
        <f>IF(C34=0,"-",D34/C34)</f>
        <v>-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f>IFERROR(VLOOKUP(A35,[4]Łódzki!$A$7:$D$100,4,FALSE),0)</f>
        <v>159</v>
      </c>
      <c r="D35" s="37">
        <f>C35</f>
        <v>159</v>
      </c>
      <c r="E35" s="7" t="str">
        <f t="shared" si="0"/>
        <v>-</v>
      </c>
      <c r="F35" s="40">
        <f t="shared" si="1"/>
        <v>1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f>IFERROR(VLOOKUP(A36,[4]Łódzki!$A$7:$D$100,4,FALSE),0)</f>
        <v>125805</v>
      </c>
      <c r="D36" s="37">
        <f>C36</f>
        <v>125805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f>IFERROR(VLOOKUP(A37,[4]Łódzki!$A$7:$D$100,4,FALSE),0)</f>
        <v>41435</v>
      </c>
      <c r="D37" s="37">
        <f>C37</f>
        <v>41435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871922</v>
      </c>
      <c r="D38" s="32">
        <f>D11+D13+D24+D30</f>
        <v>871922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31624</v>
      </c>
      <c r="D39" s="87">
        <f>D40+D41+D42+D50+D52+D58+D59+D57</f>
        <v>31624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f>IFERROR(VLOOKUP(A40,[4]Łódzki!$A$7:$D$100,4,FALSE),0)</f>
        <v>1256</v>
      </c>
      <c r="D40" s="33">
        <f>C40</f>
        <v>1256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f>IFERROR(VLOOKUP(A41,[4]Łódzki!$A$7:$D$100,4,FALSE),0)</f>
        <v>5267</v>
      </c>
      <c r="D41" s="33">
        <f t="shared" ref="D41:D59" si="3">C41</f>
        <v>5267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254</v>
      </c>
      <c r="D42" s="33">
        <f>D43+D45+D46+D47+D48+D49</f>
        <v>254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f>IFERROR(VLOOKUP(A43,[4]Łódzki!$A$7:$D$100,4,FALSE),0)</f>
        <v>11</v>
      </c>
      <c r="D43" s="33">
        <f t="shared" si="3"/>
        <v>11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f>IFERROR(VLOOKUP(A44,[4]Łódzki!$A$7:$D$100,4,FALSE),0)</f>
        <v>11</v>
      </c>
      <c r="D44" s="33">
        <f t="shared" si="3"/>
        <v>11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f>IFERROR(VLOOKUP(A45,[4]Łódzki!$A$7:$D$100,4,FALSE),0)</f>
        <v>18</v>
      </c>
      <c r="D45" s="33">
        <f t="shared" si="3"/>
        <v>18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f>IFERROR(VLOOKUP(A46,[4]Łódzki!$A$7:$D$100,4,FALSE),0)</f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f>IFERROR(VLOOKUP(A47,[4]Łódzki!$A$7:$D$100,4,FALSE),0)</f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f>IFERROR(VLOOKUP(A48,[4]Łódzki!$A$7:$D$100,4,FALSE),0)</f>
        <v>221</v>
      </c>
      <c r="D48" s="33">
        <f t="shared" si="3"/>
        <v>221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f>IFERROR(VLOOKUP(A49,[4]Łódzki!$A$7:$D$100,4,FALSE),0)</f>
        <v>4</v>
      </c>
      <c r="D49" s="33">
        <f t="shared" si="3"/>
        <v>4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f>IFERROR(VLOOKUP(A50,[4]Łódzki!$A$7:$D$100,4,FALSE),0)</f>
        <v>18720</v>
      </c>
      <c r="D50" s="33">
        <f t="shared" si="3"/>
        <v>18720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f>IFERROR(VLOOKUP(A51,[4]Łódzki!$A$7:$D$100,4,FALSE),0)</f>
        <v>90</v>
      </c>
      <c r="D51" s="33">
        <f t="shared" si="3"/>
        <v>90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4207</v>
      </c>
      <c r="D52" s="29">
        <f>D53+D54+D55+D56</f>
        <v>4207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f>IFERROR(VLOOKUP(A53,[4]Łódzki!$A$7:$D$100,4,FALSE),0)</f>
        <v>3213</v>
      </c>
      <c r="D53" s="33">
        <f t="shared" si="3"/>
        <v>3213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f>IFERROR(VLOOKUP(A54,[4]Łódzki!$A$7:$D$100,4,FALSE),0)</f>
        <v>459</v>
      </c>
      <c r="D54" s="33">
        <f t="shared" si="3"/>
        <v>459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f>IFERROR(VLOOKUP(A55,[4]Łódzki!$A$7:$D$100,4,FALSE),0)</f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f>IFERROR(VLOOKUP(A56,[4]Łódzki!$A$7:$D$100,4,FALSE),0)</f>
        <v>535</v>
      </c>
      <c r="D56" s="33">
        <f t="shared" si="3"/>
        <v>535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f>IFERROR(VLOOKUP(A57,[4]Łódzki!$A$7:$D$100,4,FALSE),0)</f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f>IFERROR(VLOOKUP(A58,[4]Łódzki!$A$7:$D$100,4,FALSE),0)</f>
        <v>1630</v>
      </c>
      <c r="D58" s="33">
        <f t="shared" si="3"/>
        <v>1630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f>IFERROR(VLOOKUP(A59,[4]Łódzki!$A$7:$D$100,4,FALSE),0)</f>
        <v>290</v>
      </c>
      <c r="D59" s="33">
        <f t="shared" si="3"/>
        <v>290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17000</v>
      </c>
      <c r="D60" s="107">
        <f>D61+D62+D63+D64</f>
        <v>14510</v>
      </c>
      <c r="E60" s="83">
        <f t="shared" si="0"/>
        <v>-2490</v>
      </c>
      <c r="F60" s="108">
        <f t="shared" si="1"/>
        <v>0.85350000000000004</v>
      </c>
    </row>
    <row r="61" spans="1:6" ht="42" customHeight="1" x14ac:dyDescent="0.2">
      <c r="A61" s="51" t="s">
        <v>100</v>
      </c>
      <c r="B61" s="18" t="s">
        <v>113</v>
      </c>
      <c r="C61" s="31">
        <f>IFERROR(VLOOKUP(A61,[4]Łódzki!$A$7:$D$100,4,FALSE),0)</f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f>IFERROR(VLOOKUP(A62,[4]Łódzki!$A$7:$D$100,4,FALSE),0)</f>
        <v>15000</v>
      </c>
      <c r="D62" s="33">
        <f>C62-1100</f>
        <v>13900</v>
      </c>
      <c r="E62" s="29">
        <f t="shared" si="0"/>
        <v>-1100</v>
      </c>
      <c r="F62" s="39">
        <f t="shared" si="1"/>
        <v>0.92669999999999997</v>
      </c>
    </row>
    <row r="63" spans="1:6" ht="31.5" customHeight="1" x14ac:dyDescent="0.2">
      <c r="A63" s="51" t="s">
        <v>30</v>
      </c>
      <c r="B63" s="18" t="s">
        <v>102</v>
      </c>
      <c r="C63" s="31">
        <f>IFERROR(VLOOKUP(A63,[4]Łódzki!$A$7:$D$100,4,FALSE),0)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f>IFERROR(VLOOKUP(A64,[4]Łódzki!$A$7:$D$100,4,FALSE),0)</f>
        <v>2000</v>
      </c>
      <c r="D64" s="33">
        <f>C64-1390</f>
        <v>610</v>
      </c>
      <c r="E64" s="29">
        <f t="shared" si="0"/>
        <v>-1390</v>
      </c>
      <c r="F64" s="39">
        <f t="shared" si="1"/>
        <v>0.30499999999999999</v>
      </c>
    </row>
    <row r="65" spans="1:6" ht="32.25" customHeight="1" x14ac:dyDescent="0.2">
      <c r="A65" s="94" t="s">
        <v>135</v>
      </c>
      <c r="B65" s="95" t="s">
        <v>114</v>
      </c>
      <c r="C65" s="107">
        <f>IFERROR(VLOOKUP(A65,[4]Łódzki!$A$7:$D$100,4,FALSE),0)</f>
        <v>5000</v>
      </c>
      <c r="D65" s="107">
        <f>C65-1520</f>
        <v>3480</v>
      </c>
      <c r="E65" s="83">
        <f t="shared" si="0"/>
        <v>-1520</v>
      </c>
      <c r="F65" s="108">
        <f t="shared" si="1"/>
        <v>0.69599999999999995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7" orientation="portrait" r:id="rId1"/>
  <headerFooter alignWithMargins="0">
    <oddFooter>&amp;R&amp;20&amp;P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A1:F65"/>
  <sheetViews>
    <sheetView showGridLines="0" view="pageBreakPreview" zoomScale="55" zoomScaleNormal="70" zoomScaleSheetLayoutView="55" workbookViewId="0">
      <pane xSplit="1" ySplit="6" topLeftCell="B7" activePane="bottomRight" state="frozen"/>
      <selection activeCell="D6" sqref="D6:D93"/>
      <selection pane="topRight" activeCell="D6" sqref="D6:D93"/>
      <selection pane="bottomLeft" activeCell="D6" sqref="D6:D93"/>
      <selection pane="bottomRight" activeCell="J24" sqref="J24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1" t="str">
        <f>NFZ!A1</f>
        <v>ZMIANA PLANU FINANSOWEGO NARODOWEGO FUNDUSZU ZDROWIA NA 2017 ROK Z DNIA 8 GRUDNIA 2017 R.</v>
      </c>
      <c r="B1" s="111"/>
      <c r="C1" s="111"/>
      <c r="D1" s="111"/>
      <c r="E1" s="111"/>
      <c r="F1" s="111"/>
    </row>
    <row r="2" spans="1:6" s="22" customFormat="1" ht="33" customHeight="1" x14ac:dyDescent="0.2">
      <c r="A2" s="67" t="s">
        <v>65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6555781</v>
      </c>
      <c r="D6" s="102">
        <f>D7+D8+D9+D14+D15+D16+D17+D18+D19+D20+D21+D22+D23+D24+D28+D29+D31+D32+D33+D34</f>
        <v>6578221</v>
      </c>
      <c r="E6" s="83">
        <f>IF(C6=D6,"-",D6-C6)</f>
        <v>22440</v>
      </c>
      <c r="F6" s="103">
        <f>IF(C6=0,"-",D6/C6)</f>
        <v>1.0029999999999999</v>
      </c>
    </row>
    <row r="7" spans="1:6" ht="33" customHeight="1" x14ac:dyDescent="0.2">
      <c r="A7" s="48" t="s">
        <v>1</v>
      </c>
      <c r="B7" s="14" t="s">
        <v>117</v>
      </c>
      <c r="C7" s="31">
        <f>IFERROR(VLOOKUP(A7,[4]Małopolski!$A$7:$D$100,4,FALSE),0)</f>
        <v>883000</v>
      </c>
      <c r="D7" s="13">
        <f>C7</f>
        <v>883000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f>IFERROR(VLOOKUP(A8,[4]Małopolski!$A$7:$D$100,4,FALSE),0)</f>
        <v>494713</v>
      </c>
      <c r="D8" s="13">
        <f>C8</f>
        <v>494713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f>IFERROR(VLOOKUP(A9,[4]Małopolski!$A$7:$D$100,4,FALSE),0)</f>
        <v>3302116</v>
      </c>
      <c r="D9" s="13">
        <f>C9+22440</f>
        <v>3324556</v>
      </c>
      <c r="E9" s="38">
        <f t="shared" si="0"/>
        <v>22440</v>
      </c>
      <c r="F9" s="39">
        <f t="shared" si="1"/>
        <v>1.0067999999999999</v>
      </c>
    </row>
    <row r="10" spans="1:6" ht="31.5" customHeight="1" x14ac:dyDescent="0.2">
      <c r="A10" s="49" t="s">
        <v>55</v>
      </c>
      <c r="B10" s="45" t="s">
        <v>140</v>
      </c>
      <c r="C10" s="31">
        <f>IFERROR(VLOOKUP(A10,[4]Małopolski!$A$7:$D$100,4,FALSE),0)</f>
        <v>340469</v>
      </c>
      <c r="D10" s="13">
        <f t="shared" ref="D10:D34" si="2">C10</f>
        <v>340469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f>IFERROR(VLOOKUP(A11,[4]Małopolski!$A$7:$D$100,4,FALSE),0)</f>
        <v>308064</v>
      </c>
      <c r="D11" s="13">
        <f t="shared" si="2"/>
        <v>308064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f>IFERROR(VLOOKUP(A12,[4]Małopolski!$A$7:$D$100,4,FALSE),0)</f>
        <v>104462</v>
      </c>
      <c r="D12" s="13">
        <f t="shared" si="2"/>
        <v>104462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f>IFERROR(VLOOKUP(A13,[4]Małopolski!$A$7:$D$100,4,FALSE),0)</f>
        <v>52342</v>
      </c>
      <c r="D13" s="13">
        <f t="shared" si="2"/>
        <v>52342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f>IFERROR(VLOOKUP(A14,[4]Małopolski!$A$7:$D$100,4,FALSE),0)</f>
        <v>202371</v>
      </c>
      <c r="D14" s="13">
        <f t="shared" si="2"/>
        <v>202371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f>IFERROR(VLOOKUP(A15,[4]Małopolski!$A$7:$D$100,4,FALSE),0)</f>
        <v>207862</v>
      </c>
      <c r="D15" s="13">
        <f t="shared" si="2"/>
        <v>207862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f>IFERROR(VLOOKUP(A16,[4]Małopolski!$A$7:$D$100,4,FALSE),0)</f>
        <v>157959</v>
      </c>
      <c r="D16" s="13">
        <f t="shared" si="2"/>
        <v>157959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f>IFERROR(VLOOKUP(A17,[4]Małopolski!$A$7:$D$100,4,FALSE),0)</f>
        <v>71484</v>
      </c>
      <c r="D17" s="13">
        <f t="shared" si="2"/>
        <v>71484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f>IFERROR(VLOOKUP(A18,[4]Małopolski!$A$7:$D$100,4,FALSE),0)</f>
        <v>195517</v>
      </c>
      <c r="D18" s="13">
        <f t="shared" si="2"/>
        <v>195517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f>IFERROR(VLOOKUP(A19,[4]Małopolski!$A$7:$D$100,4,FALSE),0)</f>
        <v>52380</v>
      </c>
      <c r="D19" s="13">
        <f t="shared" si="2"/>
        <v>52380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f>IFERROR(VLOOKUP(A20,[4]Małopolski!$A$7:$D$100,4,FALSE),0)</f>
        <v>1750</v>
      </c>
      <c r="D20" s="13">
        <f t="shared" si="2"/>
        <v>1750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f>IFERROR(VLOOKUP(A21,[4]Małopolski!$A$7:$D$100,4,FALSE),0)</f>
        <v>15077</v>
      </c>
      <c r="D21" s="13">
        <f t="shared" si="2"/>
        <v>15077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f>IFERROR(VLOOKUP(A22,[4]Małopolski!$A$7:$D$100,4,FALSE),0)</f>
        <v>174477</v>
      </c>
      <c r="D22" s="13">
        <f t="shared" si="2"/>
        <v>174477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f>IFERROR(VLOOKUP(A23,[4]Małopolski!$A$7:$D$100,4,FALSE),0)</f>
        <v>79000</v>
      </c>
      <c r="D23" s="13">
        <f t="shared" si="2"/>
        <v>79000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f>IFERROR(VLOOKUP(A24,[4]Małopolski!$A$7:$D$100,4,FALSE),0)</f>
        <v>705973</v>
      </c>
      <c r="D24" s="31">
        <f>SUM(D25:D27)</f>
        <v>705973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f>IFERROR(VLOOKUP(A25,[4]Małopolski!$A$7:$D$100,4,FALSE),0)</f>
        <v>701973</v>
      </c>
      <c r="D25" s="13">
        <f t="shared" si="2"/>
        <v>701973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f>IFERROR(VLOOKUP(A26,[4]Małopolski!$A$7:$D$100,4,FALSE),0)</f>
        <v>3000</v>
      </c>
      <c r="D26" s="13">
        <f t="shared" si="2"/>
        <v>3000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f>IFERROR(VLOOKUP(A27,[4]Małopolski!$A$7:$D$100,4,FALSE),0)</f>
        <v>1000</v>
      </c>
      <c r="D27" s="13">
        <f t="shared" si="2"/>
        <v>1000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f>IFERROR(VLOOKUP(A28,[4]Małopolski!$A$7:$D$100,4,FALSE),0)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f>IFERROR(VLOOKUP(A29,[4]Małopolski!$A$7:$D$100,4,FALSE),0)</f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f>IFERROR(VLOOKUP(A30,[4]Małopolski!$A$7:$D$100,4,FALSE),0)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f>IFERROR(VLOOKUP(A31,[4]Małopolski!$A$7:$D$100,4,FALSE),0)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f>IFERROR(VLOOKUP(A32,[4]Małopolski!$A$7:$D$100,4,FALSE),0)</f>
        <v>8854</v>
      </c>
      <c r="D32" s="13">
        <f t="shared" si="2"/>
        <v>8854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f>IFERROR(VLOOKUP(A33,[4]Małopolski!$A$7:$D$100,4,FALSE),0)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f>IFERROR(VLOOKUP(A34,[4]Małopolski!$A$7:$D$100,4,FALSE),0)</f>
        <v>3248</v>
      </c>
      <c r="D34" s="13">
        <f t="shared" si="2"/>
        <v>3248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f>IFERROR(VLOOKUP(A35,[4]Małopolski!$A$7:$D$100,4,FALSE),0)</f>
        <v>590</v>
      </c>
      <c r="D35" s="37">
        <f>C35</f>
        <v>590</v>
      </c>
      <c r="E35" s="7" t="str">
        <f t="shared" si="0"/>
        <v>-</v>
      </c>
      <c r="F35" s="40">
        <f t="shared" si="1"/>
        <v>1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f>IFERROR(VLOOKUP(A36,[4]Małopolski!$A$7:$D$100,4,FALSE),0)</f>
        <v>154271</v>
      </c>
      <c r="D36" s="37">
        <f>C36</f>
        <v>154271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f>IFERROR(VLOOKUP(A37,[4]Małopolski!$A$7:$D$100,4,FALSE),0)</f>
        <v>50527</v>
      </c>
      <c r="D37" s="37">
        <f>C37</f>
        <v>50527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1066379</v>
      </c>
      <c r="D38" s="32">
        <f>D11+D13+D24+D30</f>
        <v>1066379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42539</v>
      </c>
      <c r="D39" s="87">
        <f>D40+D41+D42+D50+D52+D58+D59+D57</f>
        <v>42539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f>IFERROR(VLOOKUP(A40,[4]Małopolski!$A$7:$D$100,4,FALSE),0)</f>
        <v>1750</v>
      </c>
      <c r="D40" s="33">
        <f>C40</f>
        <v>1750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f>IFERROR(VLOOKUP(A41,[4]Małopolski!$A$7:$D$100,4,FALSE),0)</f>
        <v>5827</v>
      </c>
      <c r="D41" s="33">
        <f t="shared" ref="D41:D59" si="3">C41</f>
        <v>5827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290</v>
      </c>
      <c r="D42" s="33">
        <f>D43+D45+D46+D47+D48+D49</f>
        <v>290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f>IFERROR(VLOOKUP(A43,[4]Małopolski!$A$7:$D$100,4,FALSE),0)</f>
        <v>24</v>
      </c>
      <c r="D43" s="33">
        <f t="shared" si="3"/>
        <v>24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f>IFERROR(VLOOKUP(A44,[4]Małopolski!$A$7:$D$100,4,FALSE),0)</f>
        <v>24</v>
      </c>
      <c r="D44" s="33">
        <f t="shared" si="3"/>
        <v>24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f>IFERROR(VLOOKUP(A45,[4]Małopolski!$A$7:$D$100,4,FALSE),0)</f>
        <v>54</v>
      </c>
      <c r="D45" s="33">
        <f t="shared" si="3"/>
        <v>54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f>IFERROR(VLOOKUP(A46,[4]Małopolski!$A$7:$D$100,4,FALSE),0)</f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f>IFERROR(VLOOKUP(A47,[4]Małopolski!$A$7:$D$100,4,FALSE),0)</f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f>IFERROR(VLOOKUP(A48,[4]Małopolski!$A$7:$D$100,4,FALSE),0)</f>
        <v>152</v>
      </c>
      <c r="D48" s="33">
        <f t="shared" si="3"/>
        <v>152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f>IFERROR(VLOOKUP(A49,[4]Małopolski!$A$7:$D$100,4,FALSE),0)</f>
        <v>60</v>
      </c>
      <c r="D49" s="33">
        <f t="shared" si="3"/>
        <v>60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f>IFERROR(VLOOKUP(A50,[4]Małopolski!$A$7:$D$100,4,FALSE),0)</f>
        <v>23725</v>
      </c>
      <c r="D50" s="33">
        <f t="shared" si="3"/>
        <v>23725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f>IFERROR(VLOOKUP(A51,[4]Małopolski!$A$7:$D$100,4,FALSE),0)</f>
        <v>24</v>
      </c>
      <c r="D51" s="33">
        <f t="shared" si="3"/>
        <v>24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5338</v>
      </c>
      <c r="D52" s="29">
        <f>D53+D54+D55+D56</f>
        <v>5338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f>IFERROR(VLOOKUP(A53,[4]Małopolski!$A$7:$D$100,4,FALSE),0)</f>
        <v>4071</v>
      </c>
      <c r="D53" s="33">
        <f t="shared" si="3"/>
        <v>4071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f>IFERROR(VLOOKUP(A54,[4]Małopolski!$A$7:$D$100,4,FALSE),0)</f>
        <v>584</v>
      </c>
      <c r="D54" s="33">
        <f t="shared" si="3"/>
        <v>584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f>IFERROR(VLOOKUP(A55,[4]Małopolski!$A$7:$D$100,4,FALSE),0)</f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f>IFERROR(VLOOKUP(A56,[4]Małopolski!$A$7:$D$100,4,FALSE),0)</f>
        <v>683</v>
      </c>
      <c r="D56" s="33">
        <f t="shared" si="3"/>
        <v>683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f>IFERROR(VLOOKUP(A57,[4]Małopolski!$A$7:$D$100,4,FALSE),0)</f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f>IFERROR(VLOOKUP(A58,[4]Małopolski!$A$7:$D$100,4,FALSE),0)</f>
        <v>5300</v>
      </c>
      <c r="D58" s="33">
        <f t="shared" si="3"/>
        <v>5300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f>IFERROR(VLOOKUP(A59,[4]Małopolski!$A$7:$D$100,4,FALSE),0)</f>
        <v>309</v>
      </c>
      <c r="D59" s="33">
        <f t="shared" si="3"/>
        <v>309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19360</v>
      </c>
      <c r="D60" s="107">
        <f>D61+D62+D63+D64</f>
        <v>15665</v>
      </c>
      <c r="E60" s="83">
        <f t="shared" si="0"/>
        <v>-3695</v>
      </c>
      <c r="F60" s="108">
        <f t="shared" si="1"/>
        <v>0.80910000000000004</v>
      </c>
    </row>
    <row r="61" spans="1:6" ht="42" customHeight="1" x14ac:dyDescent="0.2">
      <c r="A61" s="51" t="s">
        <v>100</v>
      </c>
      <c r="B61" s="18" t="s">
        <v>113</v>
      </c>
      <c r="C61" s="31">
        <f>IFERROR(VLOOKUP(A61,[4]Małopolski!$A$7:$D$100,4,FALSE),0)</f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f>IFERROR(VLOOKUP(A62,[4]Małopolski!$A$7:$D$100,4,FALSE),0)</f>
        <v>16095</v>
      </c>
      <c r="D62" s="33">
        <f>C62-3695</f>
        <v>12400</v>
      </c>
      <c r="E62" s="29">
        <f t="shared" si="0"/>
        <v>-3695</v>
      </c>
      <c r="F62" s="39">
        <f t="shared" si="1"/>
        <v>0.77039999999999997</v>
      </c>
    </row>
    <row r="63" spans="1:6" ht="31.5" customHeight="1" x14ac:dyDescent="0.2">
      <c r="A63" s="51" t="s">
        <v>30</v>
      </c>
      <c r="B63" s="18" t="s">
        <v>102</v>
      </c>
      <c r="C63" s="31">
        <f>IFERROR(VLOOKUP(A63,[4]Małopolski!$A$7:$D$100,4,FALSE),0)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f>IFERROR(VLOOKUP(A64,[4]Małopolski!$A$7:$D$100,4,FALSE),0)</f>
        <v>3265</v>
      </c>
      <c r="D64" s="33">
        <f>C64</f>
        <v>3265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f>IFERROR(VLOOKUP(A65,[4]Małopolski!$A$7:$D$100,4,FALSE),0)</f>
        <v>300</v>
      </c>
      <c r="D65" s="107">
        <f>C65+3695</f>
        <v>3995</v>
      </c>
      <c r="E65" s="83">
        <f t="shared" si="0"/>
        <v>3695</v>
      </c>
      <c r="F65" s="108">
        <f t="shared" si="1"/>
        <v>13.316700000000001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7" orientation="portrait" r:id="rId1"/>
  <headerFooter alignWithMargins="0">
    <oddFooter>&amp;R&amp;20&amp;P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pageSetUpPr fitToPage="1"/>
  </sheetPr>
  <dimension ref="A1:F65"/>
  <sheetViews>
    <sheetView showGridLines="0" view="pageBreakPreview" zoomScale="55" zoomScaleNormal="55" zoomScaleSheetLayoutView="55" workbookViewId="0">
      <pane xSplit="2" ySplit="6" topLeftCell="C7" activePane="bottomRight" state="frozen"/>
      <selection activeCell="D6" sqref="D6:D93"/>
      <selection pane="topRight" activeCell="D6" sqref="D6:D93"/>
      <selection pane="bottomLeft" activeCell="D6" sqref="D6:D93"/>
      <selection pane="bottomRight" activeCell="R18" sqref="R18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1" t="str">
        <f>NFZ!A1</f>
        <v>ZMIANA PLANU FINANSOWEGO NARODOWEGO FUNDUSZU ZDROWIA NA 2017 ROK Z DNIA 8 GRUDNIA 2017 R.</v>
      </c>
      <c r="B1" s="111"/>
      <c r="C1" s="111"/>
      <c r="D1" s="111"/>
      <c r="E1" s="111"/>
      <c r="F1" s="111"/>
    </row>
    <row r="2" spans="1:6" s="22" customFormat="1" ht="33" customHeight="1" x14ac:dyDescent="0.2">
      <c r="A2" s="67" t="s">
        <v>66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11036143</v>
      </c>
      <c r="D6" s="102">
        <f>D7+D8+D9+D14+D15+D16+D17+D18+D19+D20+D21+D22+D23+D24+D28+D29+D31+D32+D33+D34</f>
        <v>11073687</v>
      </c>
      <c r="E6" s="83">
        <f>IF(C6=D6,"-",D6-C6)</f>
        <v>37544</v>
      </c>
      <c r="F6" s="103">
        <f>IF(C6=0,"-",D6/C6)</f>
        <v>1.0029999999999999</v>
      </c>
    </row>
    <row r="7" spans="1:6" ht="33" customHeight="1" x14ac:dyDescent="0.2">
      <c r="A7" s="48" t="s">
        <v>1</v>
      </c>
      <c r="B7" s="14" t="s">
        <v>117</v>
      </c>
      <c r="C7" s="31">
        <f>IFERROR(VLOOKUP(A7,[4]Mazowiecki!$A$7:$D$100,4,FALSE),0)</f>
        <v>1490323</v>
      </c>
      <c r="D7" s="13">
        <f>C7</f>
        <v>1490323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f>IFERROR(VLOOKUP(A8,[4]Mazowiecki!$A$7:$D$100,4,FALSE),0)</f>
        <v>764334</v>
      </c>
      <c r="D8" s="13">
        <f>C8</f>
        <v>764334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f>IFERROR(VLOOKUP(A9,[4]Mazowiecki!$A$7:$D$100,4,FALSE),0)</f>
        <v>5868850</v>
      </c>
      <c r="D9" s="13">
        <f>C9+37544</f>
        <v>5906394</v>
      </c>
      <c r="E9" s="38">
        <f t="shared" si="0"/>
        <v>37544</v>
      </c>
      <c r="F9" s="39">
        <f t="shared" si="1"/>
        <v>1.0064</v>
      </c>
    </row>
    <row r="10" spans="1:6" ht="31.5" customHeight="1" x14ac:dyDescent="0.2">
      <c r="A10" s="49" t="s">
        <v>55</v>
      </c>
      <c r="B10" s="45" t="s">
        <v>140</v>
      </c>
      <c r="C10" s="31">
        <f>IFERROR(VLOOKUP(A10,[4]Mazowiecki!$A$7:$D$100,4,FALSE),0)</f>
        <v>620540</v>
      </c>
      <c r="D10" s="13">
        <f t="shared" ref="D10:D34" si="2">C10</f>
        <v>620540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f>IFERROR(VLOOKUP(A11,[4]Mazowiecki!$A$7:$D$100,4,FALSE),0)</f>
        <v>563395</v>
      </c>
      <c r="D11" s="13">
        <f t="shared" si="2"/>
        <v>563395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f>IFERROR(VLOOKUP(A12,[4]Mazowiecki!$A$7:$D$100,4,FALSE),0)</f>
        <v>223251</v>
      </c>
      <c r="D12" s="13">
        <f t="shared" si="2"/>
        <v>223251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f>IFERROR(VLOOKUP(A13,[4]Mazowiecki!$A$7:$D$100,4,FALSE),0)</f>
        <v>107702</v>
      </c>
      <c r="D13" s="13">
        <f t="shared" si="2"/>
        <v>107702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f>IFERROR(VLOOKUP(A14,[4]Mazowiecki!$A$7:$D$100,4,FALSE),0)</f>
        <v>385950</v>
      </c>
      <c r="D14" s="13">
        <f t="shared" si="2"/>
        <v>385950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f>IFERROR(VLOOKUP(A15,[4]Mazowiecki!$A$7:$D$100,4,FALSE),0)</f>
        <v>422141</v>
      </c>
      <c r="D15" s="13">
        <f t="shared" si="2"/>
        <v>422141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f>IFERROR(VLOOKUP(A16,[4]Mazowiecki!$A$7:$D$100,4,FALSE),0)</f>
        <v>178977</v>
      </c>
      <c r="D16" s="13">
        <f t="shared" si="2"/>
        <v>178977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f>IFERROR(VLOOKUP(A17,[4]Mazowiecki!$A$7:$D$100,4,FALSE),0)</f>
        <v>70018</v>
      </c>
      <c r="D17" s="13">
        <f t="shared" si="2"/>
        <v>70018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f>IFERROR(VLOOKUP(A18,[4]Mazowiecki!$A$7:$D$100,4,FALSE),0)</f>
        <v>215041</v>
      </c>
      <c r="D18" s="13">
        <f t="shared" si="2"/>
        <v>215041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f>IFERROR(VLOOKUP(A19,[4]Mazowiecki!$A$7:$D$100,4,FALSE),0)</f>
        <v>102936</v>
      </c>
      <c r="D19" s="13">
        <f t="shared" si="2"/>
        <v>102936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f>IFERROR(VLOOKUP(A20,[4]Mazowiecki!$A$7:$D$100,4,FALSE),0)</f>
        <v>8554</v>
      </c>
      <c r="D20" s="13">
        <f t="shared" si="2"/>
        <v>8554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f>IFERROR(VLOOKUP(A21,[4]Mazowiecki!$A$7:$D$100,4,FALSE),0)</f>
        <v>24388</v>
      </c>
      <c r="D21" s="13">
        <f t="shared" si="2"/>
        <v>24388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f>IFERROR(VLOOKUP(A22,[4]Mazowiecki!$A$7:$D$100,4,FALSE),0)</f>
        <v>232992</v>
      </c>
      <c r="D22" s="13">
        <f t="shared" si="2"/>
        <v>232992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f>IFERROR(VLOOKUP(A23,[4]Mazowiecki!$A$7:$D$100,4,FALSE),0)</f>
        <v>140000</v>
      </c>
      <c r="D23" s="13">
        <f t="shared" si="2"/>
        <v>140000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f>IFERROR(VLOOKUP(A24,[4]Mazowiecki!$A$7:$D$100,4,FALSE),0)</f>
        <v>1118984</v>
      </c>
      <c r="D24" s="31">
        <f>SUM(D25:D27)</f>
        <v>1118984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f>IFERROR(VLOOKUP(A25,[4]Mazowiecki!$A$7:$D$100,4,FALSE),0)</f>
        <v>1111278</v>
      </c>
      <c r="D25" s="13">
        <f t="shared" si="2"/>
        <v>1111278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f>IFERROR(VLOOKUP(A26,[4]Mazowiecki!$A$7:$D$100,4,FALSE),0)</f>
        <v>3058</v>
      </c>
      <c r="D26" s="13">
        <f t="shared" si="2"/>
        <v>3058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f>IFERROR(VLOOKUP(A27,[4]Mazowiecki!$A$7:$D$100,4,FALSE),0)</f>
        <v>4648</v>
      </c>
      <c r="D27" s="13">
        <f t="shared" si="2"/>
        <v>4648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f>IFERROR(VLOOKUP(A28,[4]Mazowiecki!$A$7:$D$100,4,FALSE),0)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f>IFERROR(VLOOKUP(A29,[4]Mazowiecki!$A$7:$D$100,4,FALSE),0)</f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f>IFERROR(VLOOKUP(A30,[4]Mazowiecki!$A$7:$D$100,4,FALSE),0)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f>IFERROR(VLOOKUP(A31,[4]Mazowiecki!$A$7:$D$100,4,FALSE),0)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f>IFERROR(VLOOKUP(A32,[4]Mazowiecki!$A$7:$D$100,4,FALSE),0)</f>
        <v>0</v>
      </c>
      <c r="D32" s="13">
        <f t="shared" si="2"/>
        <v>0</v>
      </c>
      <c r="E32" s="38" t="str">
        <f t="shared" si="0"/>
        <v>-</v>
      </c>
      <c r="F32" s="39" t="str">
        <f t="shared" si="1"/>
        <v>-</v>
      </c>
    </row>
    <row r="33" spans="1:6" ht="42.75" customHeight="1" x14ac:dyDescent="0.2">
      <c r="A33" s="51" t="s">
        <v>181</v>
      </c>
      <c r="B33" s="16" t="s">
        <v>182</v>
      </c>
      <c r="C33" s="31">
        <f>IFERROR(VLOOKUP(A33,[4]Mazowiecki!$A$7:$D$100,4,FALSE),0)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f>IFERROR(VLOOKUP(A34,[4]Mazowiecki!$A$7:$D$100,4,FALSE),0)</f>
        <v>12655</v>
      </c>
      <c r="D34" s="13">
        <f t="shared" si="2"/>
        <v>12655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f>IFERROR(VLOOKUP(A35,[4]Mazowiecki!$A$7:$D$100,4,FALSE),0)</f>
        <v>284</v>
      </c>
      <c r="D35" s="37">
        <f>C35</f>
        <v>284</v>
      </c>
      <c r="E35" s="7" t="str">
        <f t="shared" si="0"/>
        <v>-</v>
      </c>
      <c r="F35" s="40">
        <f t="shared" si="1"/>
        <v>1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f>IFERROR(VLOOKUP(A36,[4]Mazowiecki!$A$7:$D$100,4,FALSE),0)</f>
        <v>238333</v>
      </c>
      <c r="D36" s="37">
        <f>C36</f>
        <v>238333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f>IFERROR(VLOOKUP(A37,[4]Mazowiecki!$A$7:$D$100,4,FALSE),0)</f>
        <v>79276</v>
      </c>
      <c r="D37" s="37">
        <f>C37</f>
        <v>79276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1790081</v>
      </c>
      <c r="D38" s="32">
        <f>D11+D13+D24+D30</f>
        <v>1790081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70562</v>
      </c>
      <c r="D39" s="87">
        <f>D40+D41+D42+D50+D52+D58+D59+D57</f>
        <v>70562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f>IFERROR(VLOOKUP(A40,[4]Mazowiecki!$A$7:$D$100,4,FALSE),0)</f>
        <v>2026</v>
      </c>
      <c r="D40" s="33">
        <f>C40</f>
        <v>2026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f>IFERROR(VLOOKUP(A41,[4]Mazowiecki!$A$7:$D$100,4,FALSE),0)</f>
        <v>12156</v>
      </c>
      <c r="D41" s="33">
        <f t="shared" ref="D41:D59" si="3">C41</f>
        <v>12156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233</v>
      </c>
      <c r="D42" s="33">
        <f>D43+D45+D46+D47+D48+D49</f>
        <v>233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f>IFERROR(VLOOKUP(A43,[4]Mazowiecki!$A$7:$D$100,4,FALSE),0)</f>
        <v>20</v>
      </c>
      <c r="D43" s="33">
        <f t="shared" si="3"/>
        <v>20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f>IFERROR(VLOOKUP(A44,[4]Mazowiecki!$A$7:$D$100,4,FALSE),0)</f>
        <v>20</v>
      </c>
      <c r="D44" s="33">
        <f t="shared" si="3"/>
        <v>20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f>IFERROR(VLOOKUP(A45,[4]Mazowiecki!$A$7:$D$100,4,FALSE),0)</f>
        <v>12</v>
      </c>
      <c r="D45" s="33">
        <f t="shared" si="3"/>
        <v>12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f>IFERROR(VLOOKUP(A46,[4]Mazowiecki!$A$7:$D$100,4,FALSE),0)</f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f>IFERROR(VLOOKUP(A47,[4]Mazowiecki!$A$7:$D$100,4,FALSE),0)</f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f>IFERROR(VLOOKUP(A48,[4]Mazowiecki!$A$7:$D$100,4,FALSE),0)</f>
        <v>198</v>
      </c>
      <c r="D48" s="33">
        <f t="shared" si="3"/>
        <v>198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f>IFERROR(VLOOKUP(A49,[4]Mazowiecki!$A$7:$D$100,4,FALSE),0)</f>
        <v>3</v>
      </c>
      <c r="D49" s="33">
        <f t="shared" si="3"/>
        <v>3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f>IFERROR(VLOOKUP(A50,[4]Mazowiecki!$A$7:$D$100,4,FALSE),0)</f>
        <v>43501</v>
      </c>
      <c r="D50" s="33">
        <f t="shared" si="3"/>
        <v>43501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f>IFERROR(VLOOKUP(A51,[4]Mazowiecki!$A$7:$D$100,4,FALSE),0)</f>
        <v>0</v>
      </c>
      <c r="D51" s="33">
        <f t="shared" si="3"/>
        <v>0</v>
      </c>
      <c r="E51" s="38" t="str">
        <f t="shared" si="0"/>
        <v>-</v>
      </c>
      <c r="F51" s="39" t="str">
        <f t="shared" si="1"/>
        <v>-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9753</v>
      </c>
      <c r="D52" s="29">
        <f>D53+D54+D55+D56</f>
        <v>9753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f>IFERROR(VLOOKUP(A53,[4]Mazowiecki!$A$7:$D$100,4,FALSE),0)</f>
        <v>7466</v>
      </c>
      <c r="D53" s="33">
        <f t="shared" si="3"/>
        <v>7466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f>IFERROR(VLOOKUP(A54,[4]Mazowiecki!$A$7:$D$100,4,FALSE),0)</f>
        <v>1066</v>
      </c>
      <c r="D54" s="33">
        <f t="shared" si="3"/>
        <v>1066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f>IFERROR(VLOOKUP(A55,[4]Mazowiecki!$A$7:$D$100,4,FALSE),0)</f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f>IFERROR(VLOOKUP(A56,[4]Mazowiecki!$A$7:$D$100,4,FALSE),0)</f>
        <v>1221</v>
      </c>
      <c r="D56" s="33">
        <f t="shared" si="3"/>
        <v>1221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f>IFERROR(VLOOKUP(A57,[4]Mazowiecki!$A$7:$D$100,4,FALSE),0)</f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f>IFERROR(VLOOKUP(A58,[4]Mazowiecki!$A$7:$D$100,4,FALSE),0)</f>
        <v>2498</v>
      </c>
      <c r="D58" s="33">
        <f t="shared" si="3"/>
        <v>2498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f>IFERROR(VLOOKUP(A59,[4]Mazowiecki!$A$7:$D$100,4,FALSE),0)</f>
        <v>395</v>
      </c>
      <c r="D59" s="33">
        <f t="shared" si="3"/>
        <v>395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21960</v>
      </c>
      <c r="D60" s="107">
        <f>D61+D62+D63+D64</f>
        <v>34108</v>
      </c>
      <c r="E60" s="83">
        <f t="shared" si="0"/>
        <v>12148</v>
      </c>
      <c r="F60" s="108">
        <f t="shared" si="1"/>
        <v>1.5531999999999999</v>
      </c>
    </row>
    <row r="61" spans="1:6" ht="42" customHeight="1" x14ac:dyDescent="0.2">
      <c r="A61" s="51" t="s">
        <v>100</v>
      </c>
      <c r="B61" s="18" t="s">
        <v>113</v>
      </c>
      <c r="C61" s="31">
        <f>IFERROR(VLOOKUP(A61,[4]Mazowiecki!$A$7:$D$100,4,FALSE),0)</f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f>IFERROR(VLOOKUP(A62,[4]Mazowiecki!$A$7:$D$100,4,FALSE),0)</f>
        <v>13828</v>
      </c>
      <c r="D62" s="33">
        <f>C62+13223</f>
        <v>27051</v>
      </c>
      <c r="E62" s="29">
        <f t="shared" si="0"/>
        <v>13223</v>
      </c>
      <c r="F62" s="39">
        <f t="shared" si="1"/>
        <v>1.9561999999999999</v>
      </c>
    </row>
    <row r="63" spans="1:6" ht="31.5" customHeight="1" x14ac:dyDescent="0.2">
      <c r="A63" s="51" t="s">
        <v>30</v>
      </c>
      <c r="B63" s="18" t="s">
        <v>102</v>
      </c>
      <c r="C63" s="31">
        <f>IFERROR(VLOOKUP(A63,[4]Mazowiecki!$A$7:$D$100,4,FALSE),0)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f>IFERROR(VLOOKUP(A64,[4]Mazowiecki!$A$7:$D$100,4,FALSE),0)</f>
        <v>8132</v>
      </c>
      <c r="D64" s="33">
        <f>C64-1075</f>
        <v>7057</v>
      </c>
      <c r="E64" s="29">
        <f t="shared" si="0"/>
        <v>-1075</v>
      </c>
      <c r="F64" s="39">
        <f t="shared" si="1"/>
        <v>0.86780000000000002</v>
      </c>
    </row>
    <row r="65" spans="1:6" ht="32.25" customHeight="1" x14ac:dyDescent="0.2">
      <c r="A65" s="94" t="s">
        <v>135</v>
      </c>
      <c r="B65" s="95" t="s">
        <v>114</v>
      </c>
      <c r="C65" s="107">
        <f>IFERROR(VLOOKUP(A65,[4]Mazowiecki!$A$7:$D$100,4,FALSE),0)</f>
        <v>9640</v>
      </c>
      <c r="D65" s="107">
        <f>C65+446</f>
        <v>10086</v>
      </c>
      <c r="E65" s="83">
        <f t="shared" si="0"/>
        <v>446</v>
      </c>
      <c r="F65" s="108">
        <f t="shared" si="1"/>
        <v>1.0463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7" orientation="portrait" r:id="rId1"/>
  <headerFooter alignWithMargins="0">
    <oddFooter>&amp;R&amp;20&amp;P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43" activePane="bottomRight" state="frozen"/>
      <selection activeCell="D6" sqref="D6:D93"/>
      <selection pane="topRight" activeCell="D6" sqref="D6:D93"/>
      <selection pane="bottomLeft" activeCell="D6" sqref="D6:D93"/>
      <selection pane="bottomRight" activeCell="E65" sqref="E65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1" t="str">
        <f>NFZ!A1</f>
        <v>ZMIANA PLANU FINANSOWEGO NARODOWEGO FUNDUSZU ZDROWIA NA 2017 ROK Z DNIA 8 GRUDNIA 2017 R.</v>
      </c>
      <c r="B1" s="111"/>
      <c r="C1" s="111"/>
      <c r="D1" s="111"/>
      <c r="E1" s="111"/>
      <c r="F1" s="111"/>
    </row>
    <row r="2" spans="1:6" s="22" customFormat="1" ht="33" customHeight="1" x14ac:dyDescent="0.2">
      <c r="A2" s="67" t="s">
        <v>67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1842990</v>
      </c>
      <c r="D6" s="102">
        <f>D7+D8+D9+D14+D15+D16+D17+D18+D19+D20+D21+D22+D23+D24+D28+D29+D31+D32+D33+D34</f>
        <v>1849323</v>
      </c>
      <c r="E6" s="83">
        <f>IF(C6=D6,"-",D6-C6)</f>
        <v>6333</v>
      </c>
      <c r="F6" s="103">
        <f>IF(C6=0,"-",D6/C6)</f>
        <v>1.0029999999999999</v>
      </c>
    </row>
    <row r="7" spans="1:6" ht="33" customHeight="1" x14ac:dyDescent="0.2">
      <c r="A7" s="48" t="s">
        <v>1</v>
      </c>
      <c r="B7" s="14" t="s">
        <v>117</v>
      </c>
      <c r="C7" s="31">
        <f>IFERROR(VLOOKUP(A7,[4]Opolski!$A$7:$D$100,4,FALSE),0)</f>
        <v>243249</v>
      </c>
      <c r="D7" s="13">
        <f>C7</f>
        <v>243249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f>IFERROR(VLOOKUP(A8,[4]Opolski!$A$7:$D$100,4,FALSE),0)</f>
        <v>131237</v>
      </c>
      <c r="D8" s="13">
        <f>C8</f>
        <v>131237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f>IFERROR(VLOOKUP(A9,[4]Opolski!$A$7:$D$100,4,FALSE),0)</f>
        <v>915362</v>
      </c>
      <c r="D9" s="13">
        <f>C9+6333</f>
        <v>921695</v>
      </c>
      <c r="E9" s="38">
        <f t="shared" si="0"/>
        <v>6333</v>
      </c>
      <c r="F9" s="39">
        <f t="shared" si="1"/>
        <v>1.0068999999999999</v>
      </c>
    </row>
    <row r="10" spans="1:6" ht="31.5" customHeight="1" x14ac:dyDescent="0.2">
      <c r="A10" s="49" t="s">
        <v>55</v>
      </c>
      <c r="B10" s="45" t="s">
        <v>140</v>
      </c>
      <c r="C10" s="31">
        <f>IFERROR(VLOOKUP(A10,[4]Opolski!$A$7:$D$100,4,FALSE),0)</f>
        <v>70727</v>
      </c>
      <c r="D10" s="13">
        <f t="shared" ref="D10:D34" si="2">C10</f>
        <v>70727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f>IFERROR(VLOOKUP(A11,[4]Opolski!$A$7:$D$100,4,FALSE),0)</f>
        <v>64597</v>
      </c>
      <c r="D11" s="13">
        <f t="shared" si="2"/>
        <v>64597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f>IFERROR(VLOOKUP(A12,[4]Opolski!$A$7:$D$100,4,FALSE),0)</f>
        <v>34767</v>
      </c>
      <c r="D12" s="13">
        <f t="shared" si="2"/>
        <v>34767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f>IFERROR(VLOOKUP(A13,[4]Opolski!$A$7:$D$100,4,FALSE),0)</f>
        <v>15917</v>
      </c>
      <c r="D13" s="13">
        <f t="shared" si="2"/>
        <v>15917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f>IFERROR(VLOOKUP(A14,[4]Opolski!$A$7:$D$100,4,FALSE),0)</f>
        <v>66487</v>
      </c>
      <c r="D14" s="13">
        <f t="shared" si="2"/>
        <v>66487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f>IFERROR(VLOOKUP(A15,[4]Opolski!$A$7:$D$100,4,FALSE),0)</f>
        <v>56783</v>
      </c>
      <c r="D15" s="13">
        <f t="shared" si="2"/>
        <v>56783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f>IFERROR(VLOOKUP(A16,[4]Opolski!$A$7:$D$100,4,FALSE),0)</f>
        <v>55170</v>
      </c>
      <c r="D16" s="13">
        <f t="shared" si="2"/>
        <v>55170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f>IFERROR(VLOOKUP(A17,[4]Opolski!$A$7:$D$100,4,FALSE),0)</f>
        <v>18832</v>
      </c>
      <c r="D17" s="13">
        <f t="shared" si="2"/>
        <v>18832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f>IFERROR(VLOOKUP(A18,[4]Opolski!$A$7:$D$100,4,FALSE),0)</f>
        <v>45396</v>
      </c>
      <c r="D18" s="13">
        <f t="shared" si="2"/>
        <v>45396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f>IFERROR(VLOOKUP(A19,[4]Opolski!$A$7:$D$100,4,FALSE),0)</f>
        <v>12700</v>
      </c>
      <c r="D19" s="13">
        <f t="shared" si="2"/>
        <v>12700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f>IFERROR(VLOOKUP(A20,[4]Opolski!$A$7:$D$100,4,FALSE),0)</f>
        <v>1349</v>
      </c>
      <c r="D20" s="13">
        <f t="shared" si="2"/>
        <v>1349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f>IFERROR(VLOOKUP(A21,[4]Opolski!$A$7:$D$100,4,FALSE),0)</f>
        <v>5329</v>
      </c>
      <c r="D21" s="13">
        <f t="shared" si="2"/>
        <v>5329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f>IFERROR(VLOOKUP(A22,[4]Opolski!$A$7:$D$100,4,FALSE),0)</f>
        <v>49239</v>
      </c>
      <c r="D22" s="13">
        <f t="shared" si="2"/>
        <v>49239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f>IFERROR(VLOOKUP(A23,[4]Opolski!$A$7:$D$100,4,FALSE),0)</f>
        <v>28375</v>
      </c>
      <c r="D23" s="13">
        <f t="shared" si="2"/>
        <v>28375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f>IFERROR(VLOOKUP(A24,[4]Opolski!$A$7:$D$100,4,FALSE),0)</f>
        <v>201107</v>
      </c>
      <c r="D24" s="31">
        <f>SUM(D25:D27)</f>
        <v>201107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f>IFERROR(VLOOKUP(A25,[4]Opolski!$A$7:$D$100,4,FALSE),0)</f>
        <v>200290</v>
      </c>
      <c r="D25" s="13">
        <f t="shared" si="2"/>
        <v>200290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f>IFERROR(VLOOKUP(A26,[4]Opolski!$A$7:$D$100,4,FALSE),0)</f>
        <v>600</v>
      </c>
      <c r="D26" s="13">
        <f t="shared" si="2"/>
        <v>600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f>IFERROR(VLOOKUP(A27,[4]Opolski!$A$7:$D$100,4,FALSE),0)</f>
        <v>217</v>
      </c>
      <c r="D27" s="13">
        <f t="shared" si="2"/>
        <v>217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f>IFERROR(VLOOKUP(A28,[4]Opolski!$A$7:$D$100,4,FALSE),0)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f>IFERROR(VLOOKUP(A29,[4]Opolski!$A$7:$D$100,4,FALSE),0)</f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f>IFERROR(VLOOKUP(A30,[4]Opolski!$A$7:$D$100,4,FALSE),0)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f>IFERROR(VLOOKUP(A31,[4]Opolski!$A$7:$D$100,4,FALSE),0)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f>IFERROR(VLOOKUP(A32,[4]Opolski!$A$7:$D$100,4,FALSE),0)</f>
        <v>11955</v>
      </c>
      <c r="D32" s="13">
        <f t="shared" si="2"/>
        <v>11955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f>IFERROR(VLOOKUP(A33,[4]Opolski!$A$7:$D$100,4,FALSE),0)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f>IFERROR(VLOOKUP(A34,[4]Opolski!$A$7:$D$100,4,FALSE),0)</f>
        <v>420</v>
      </c>
      <c r="D34" s="13">
        <f t="shared" si="2"/>
        <v>420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f>IFERROR(VLOOKUP(A35,[4]Opolski!$A$7:$D$100,4,FALSE),0)</f>
        <v>20</v>
      </c>
      <c r="D35" s="37">
        <f>C35</f>
        <v>20</v>
      </c>
      <c r="E35" s="7" t="str">
        <f t="shared" si="0"/>
        <v>-</v>
      </c>
      <c r="F35" s="40">
        <f t="shared" si="1"/>
        <v>1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f>IFERROR(VLOOKUP(A36,[4]Opolski!$A$7:$D$100,4,FALSE),0)</f>
        <v>54177</v>
      </c>
      <c r="D36" s="37">
        <f>C36</f>
        <v>54177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f>IFERROR(VLOOKUP(A37,[4]Opolski!$A$7:$D$100,4,FALSE),0)</f>
        <v>16042</v>
      </c>
      <c r="D37" s="37">
        <f>C37</f>
        <v>16042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281621</v>
      </c>
      <c r="D38" s="32">
        <f>D11+D13+D24+D30</f>
        <v>281621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16136</v>
      </c>
      <c r="D39" s="87">
        <f>D40+D41+D42+D50+D52+D58+D59+D57</f>
        <v>16136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f>IFERROR(VLOOKUP(A40,[4]Opolski!$A$7:$D$100,4,FALSE),0)</f>
        <v>787</v>
      </c>
      <c r="D40" s="33">
        <f>C40</f>
        <v>787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f>IFERROR(VLOOKUP(A41,[4]Opolski!$A$7:$D$100,4,FALSE),0)</f>
        <v>2205</v>
      </c>
      <c r="D41" s="33">
        <f t="shared" ref="D41:D59" si="3">C41</f>
        <v>2205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174</v>
      </c>
      <c r="D42" s="33">
        <f>D43+D45+D46+D47+D48+D49</f>
        <v>174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f>IFERROR(VLOOKUP(A43,[4]Opolski!$A$7:$D$100,4,FALSE),0)</f>
        <v>0</v>
      </c>
      <c r="D43" s="33">
        <f t="shared" si="3"/>
        <v>0</v>
      </c>
      <c r="E43" s="38" t="str">
        <f t="shared" si="0"/>
        <v>-</v>
      </c>
      <c r="F43" s="39" t="str">
        <f t="shared" si="1"/>
        <v>-</v>
      </c>
    </row>
    <row r="44" spans="1:6" ht="28.5" customHeight="1" x14ac:dyDescent="0.2">
      <c r="A44" s="53" t="s">
        <v>39</v>
      </c>
      <c r="B44" s="47" t="s">
        <v>32</v>
      </c>
      <c r="C44" s="31">
        <f>IFERROR(VLOOKUP(A44,[4]Opolski!$A$7:$D$100,4,FALSE),0)</f>
        <v>0</v>
      </c>
      <c r="D44" s="33">
        <f t="shared" si="3"/>
        <v>0</v>
      </c>
      <c r="E44" s="38" t="str">
        <f t="shared" si="0"/>
        <v>-</v>
      </c>
      <c r="F44" s="39" t="str">
        <f t="shared" si="1"/>
        <v>-</v>
      </c>
    </row>
    <row r="45" spans="1:6" ht="28.5" customHeight="1" x14ac:dyDescent="0.2">
      <c r="A45" s="53" t="s">
        <v>40</v>
      </c>
      <c r="B45" s="46" t="s">
        <v>33</v>
      </c>
      <c r="C45" s="31">
        <f>IFERROR(VLOOKUP(A45,[4]Opolski!$A$7:$D$100,4,FALSE),0)</f>
        <v>8</v>
      </c>
      <c r="D45" s="33">
        <f t="shared" si="3"/>
        <v>8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f>IFERROR(VLOOKUP(A46,[4]Opolski!$A$7:$D$100,4,FALSE),0)</f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f>IFERROR(VLOOKUP(A47,[4]Opolski!$A$7:$D$100,4,FALSE),0)</f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f>IFERROR(VLOOKUP(A48,[4]Opolski!$A$7:$D$100,4,FALSE),0)</f>
        <v>160</v>
      </c>
      <c r="D48" s="33">
        <f t="shared" si="3"/>
        <v>160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f>IFERROR(VLOOKUP(A49,[4]Opolski!$A$7:$D$100,4,FALSE),0)</f>
        <v>6</v>
      </c>
      <c r="D49" s="33">
        <f t="shared" si="3"/>
        <v>6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f>IFERROR(VLOOKUP(A50,[4]Opolski!$A$7:$D$100,4,FALSE),0)</f>
        <v>9284</v>
      </c>
      <c r="D50" s="33">
        <f t="shared" si="3"/>
        <v>9284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f>IFERROR(VLOOKUP(A51,[4]Opolski!$A$7:$D$100,4,FALSE),0)</f>
        <v>26</v>
      </c>
      <c r="D51" s="33">
        <f t="shared" si="3"/>
        <v>26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2085</v>
      </c>
      <c r="D52" s="29">
        <f>D53+D54+D55+D56</f>
        <v>2085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f>IFERROR(VLOOKUP(A53,[4]Opolski!$A$7:$D$100,4,FALSE),0)</f>
        <v>1592</v>
      </c>
      <c r="D53" s="33">
        <f t="shared" si="3"/>
        <v>1592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f>IFERROR(VLOOKUP(A54,[4]Opolski!$A$7:$D$100,4,FALSE),0)</f>
        <v>227</v>
      </c>
      <c r="D54" s="33">
        <f t="shared" si="3"/>
        <v>227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f>IFERROR(VLOOKUP(A55,[4]Opolski!$A$7:$D$100,4,FALSE),0)</f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f>IFERROR(VLOOKUP(A56,[4]Opolski!$A$7:$D$100,4,FALSE),0)</f>
        <v>266</v>
      </c>
      <c r="D56" s="33">
        <f t="shared" si="3"/>
        <v>266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f>IFERROR(VLOOKUP(A57,[4]Opolski!$A$7:$D$100,4,FALSE),0)</f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f>IFERROR(VLOOKUP(A58,[4]Opolski!$A$7:$D$100,4,FALSE),0)</f>
        <v>1435</v>
      </c>
      <c r="D58" s="33">
        <f t="shared" si="3"/>
        <v>1435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f>IFERROR(VLOOKUP(A59,[4]Opolski!$A$7:$D$100,4,FALSE),0)</f>
        <v>166</v>
      </c>
      <c r="D59" s="33">
        <f t="shared" si="3"/>
        <v>166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7720</v>
      </c>
      <c r="D60" s="107">
        <f>D61+D62+D63+D64</f>
        <v>9423</v>
      </c>
      <c r="E60" s="83">
        <f t="shared" si="0"/>
        <v>1703</v>
      </c>
      <c r="F60" s="108">
        <f t="shared" si="1"/>
        <v>1.2205999999999999</v>
      </c>
    </row>
    <row r="61" spans="1:6" ht="42" customHeight="1" x14ac:dyDescent="0.2">
      <c r="A61" s="51" t="s">
        <v>100</v>
      </c>
      <c r="B61" s="18" t="s">
        <v>113</v>
      </c>
      <c r="C61" s="31">
        <f>IFERROR(VLOOKUP(A61,[4]Opolski!$A$7:$D$100,4,FALSE),0)</f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f>IFERROR(VLOOKUP(A62,[4]Opolski!$A$7:$D$100,4,FALSE),0)</f>
        <v>5700</v>
      </c>
      <c r="D62" s="33">
        <f>C62+3323</f>
        <v>9023</v>
      </c>
      <c r="E62" s="29">
        <f t="shared" si="0"/>
        <v>3323</v>
      </c>
      <c r="F62" s="39">
        <f t="shared" si="1"/>
        <v>1.583</v>
      </c>
    </row>
    <row r="63" spans="1:6" ht="31.5" customHeight="1" x14ac:dyDescent="0.2">
      <c r="A63" s="51" t="s">
        <v>30</v>
      </c>
      <c r="B63" s="18" t="s">
        <v>102</v>
      </c>
      <c r="C63" s="31">
        <f>IFERROR(VLOOKUP(A63,[4]Opolski!$A$7:$D$100,4,FALSE),0)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f>IFERROR(VLOOKUP(A64,[4]Opolski!$A$7:$D$100,4,FALSE),0)</f>
        <v>2020</v>
      </c>
      <c r="D64" s="33">
        <f>C64-1620</f>
        <v>400</v>
      </c>
      <c r="E64" s="29">
        <f t="shared" si="0"/>
        <v>-1620</v>
      </c>
      <c r="F64" s="39">
        <f t="shared" si="1"/>
        <v>0.19800000000000001</v>
      </c>
    </row>
    <row r="65" spans="1:6" ht="32.25" customHeight="1" x14ac:dyDescent="0.2">
      <c r="A65" s="94" t="s">
        <v>135</v>
      </c>
      <c r="B65" s="95" t="s">
        <v>114</v>
      </c>
      <c r="C65" s="107">
        <f>IFERROR(VLOOKUP(A65,[4]Opolski!$A$7:$D$100,4,FALSE),0)</f>
        <v>1238</v>
      </c>
      <c r="D65" s="107">
        <f>C65-207+50</f>
        <v>1081</v>
      </c>
      <c r="E65" s="83">
        <f t="shared" si="0"/>
        <v>-157</v>
      </c>
      <c r="F65" s="108">
        <f t="shared" si="1"/>
        <v>0.87319999999999998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7" orientation="portrait" r:id="rId1"/>
  <headerFooter alignWithMargins="0">
    <oddFooter>&amp;R&amp;20&amp;P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D6" sqref="D6:D93"/>
      <selection pane="topRight" activeCell="D6" sqref="D6:D93"/>
      <selection pane="bottomLeft" activeCell="D6" sqref="D6:D93"/>
      <selection pane="bottomRight" activeCell="D6" sqref="D6:D93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1" t="str">
        <f>NFZ!A1</f>
        <v>ZMIANA PLANU FINANSOWEGO NARODOWEGO FUNDUSZU ZDROWIA NA 2017 ROK Z DNIA 8 GRUDNIA 2017 R.</v>
      </c>
      <c r="B1" s="111"/>
      <c r="C1" s="111"/>
      <c r="D1" s="111"/>
      <c r="E1" s="111"/>
      <c r="F1" s="111"/>
    </row>
    <row r="2" spans="1:6" s="22" customFormat="1" ht="33" customHeight="1" x14ac:dyDescent="0.2">
      <c r="A2" s="67" t="s">
        <v>68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4020362</v>
      </c>
      <c r="D6" s="102">
        <f>D7+D8+D9+D14+D15+D16+D17+D18+D19+D20+D21+D22+D23+D24+D28+D29+D31+D32+D33+D34</f>
        <v>4034186</v>
      </c>
      <c r="E6" s="83">
        <f>IF(C6=D6,"-",D6-C6)</f>
        <v>13824</v>
      </c>
      <c r="F6" s="103">
        <f>IF(C6=0,"-",D6/C6)</f>
        <v>1.0029999999999999</v>
      </c>
    </row>
    <row r="7" spans="1:6" ht="33" customHeight="1" x14ac:dyDescent="0.2">
      <c r="A7" s="48" t="s">
        <v>1</v>
      </c>
      <c r="B7" s="14" t="s">
        <v>117</v>
      </c>
      <c r="C7" s="31">
        <f>IFERROR(VLOOKUP(A7,[4]Podkarpacki!$A$7:$D$100,4,FALSE),0)</f>
        <v>538961</v>
      </c>
      <c r="D7" s="13">
        <f>C7</f>
        <v>538961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f>IFERROR(VLOOKUP(A8,[4]Podkarpacki!$A$7:$D$100,4,FALSE),0)</f>
        <v>293575</v>
      </c>
      <c r="D8" s="13">
        <f>C8</f>
        <v>293575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f>IFERROR(VLOOKUP(A9,[4]Podkarpacki!$A$7:$D$100,4,FALSE),0)</f>
        <v>2004594</v>
      </c>
      <c r="D9" s="13">
        <f>C9+13824</f>
        <v>2018418</v>
      </c>
      <c r="E9" s="38">
        <f t="shared" si="0"/>
        <v>13824</v>
      </c>
      <c r="F9" s="39">
        <f t="shared" si="1"/>
        <v>1.0068999999999999</v>
      </c>
    </row>
    <row r="10" spans="1:6" ht="31.5" customHeight="1" x14ac:dyDescent="0.2">
      <c r="A10" s="49" t="s">
        <v>55</v>
      </c>
      <c r="B10" s="45" t="s">
        <v>140</v>
      </c>
      <c r="C10" s="31">
        <f>IFERROR(VLOOKUP(A10,[4]Podkarpacki!$A$7:$D$100,4,FALSE),0)</f>
        <v>192335</v>
      </c>
      <c r="D10" s="13">
        <f t="shared" ref="D10:D34" si="2">C10</f>
        <v>192335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f>IFERROR(VLOOKUP(A11,[4]Podkarpacki!$A$7:$D$100,4,FALSE),0)</f>
        <v>175767</v>
      </c>
      <c r="D11" s="13">
        <f t="shared" si="2"/>
        <v>175767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f>IFERROR(VLOOKUP(A12,[4]Podkarpacki!$A$7:$D$100,4,FALSE),0)</f>
        <v>76689</v>
      </c>
      <c r="D12" s="13">
        <f t="shared" si="2"/>
        <v>76689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f>IFERROR(VLOOKUP(A13,[4]Podkarpacki!$A$7:$D$100,4,FALSE),0)</f>
        <v>37646</v>
      </c>
      <c r="D13" s="13">
        <f t="shared" si="2"/>
        <v>37646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f>IFERROR(VLOOKUP(A14,[4]Podkarpacki!$A$7:$D$100,4,FALSE),0)</f>
        <v>128032</v>
      </c>
      <c r="D14" s="13">
        <f t="shared" si="2"/>
        <v>128032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f>IFERROR(VLOOKUP(A15,[4]Podkarpacki!$A$7:$D$100,4,FALSE),0)</f>
        <v>149209</v>
      </c>
      <c r="D15" s="13">
        <f t="shared" si="2"/>
        <v>149209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f>IFERROR(VLOOKUP(A16,[4]Podkarpacki!$A$7:$D$100,4,FALSE),0)</f>
        <v>114313</v>
      </c>
      <c r="D16" s="13">
        <f t="shared" si="2"/>
        <v>114313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f>IFERROR(VLOOKUP(A17,[4]Podkarpacki!$A$7:$D$100,4,FALSE),0)</f>
        <v>44884</v>
      </c>
      <c r="D17" s="13">
        <f t="shared" si="2"/>
        <v>44884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f>IFERROR(VLOOKUP(A18,[4]Podkarpacki!$A$7:$D$100,4,FALSE),0)</f>
        <v>113344</v>
      </c>
      <c r="D18" s="13">
        <f t="shared" si="2"/>
        <v>113344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f>IFERROR(VLOOKUP(A19,[4]Podkarpacki!$A$7:$D$100,4,FALSE),0)</f>
        <v>34670</v>
      </c>
      <c r="D19" s="13">
        <f t="shared" si="2"/>
        <v>34670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f>IFERROR(VLOOKUP(A20,[4]Podkarpacki!$A$7:$D$100,4,FALSE),0)</f>
        <v>3286</v>
      </c>
      <c r="D20" s="13">
        <f t="shared" si="2"/>
        <v>3286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f>IFERROR(VLOOKUP(A21,[4]Podkarpacki!$A$7:$D$100,4,FALSE),0)</f>
        <v>8056</v>
      </c>
      <c r="D21" s="13">
        <f t="shared" si="2"/>
        <v>8056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f>IFERROR(VLOOKUP(A22,[4]Podkarpacki!$A$7:$D$100,4,FALSE),0)</f>
        <v>103857</v>
      </c>
      <c r="D22" s="13">
        <f t="shared" si="2"/>
        <v>103857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f>IFERROR(VLOOKUP(A23,[4]Podkarpacki!$A$7:$D$100,4,FALSE),0)</f>
        <v>56447</v>
      </c>
      <c r="D23" s="13">
        <f t="shared" si="2"/>
        <v>56447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f>IFERROR(VLOOKUP(A24,[4]Podkarpacki!$A$7:$D$100,4,FALSE),0)</f>
        <v>392552</v>
      </c>
      <c r="D24" s="31">
        <f>SUM(D25:D27)</f>
        <v>392552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f>IFERROR(VLOOKUP(A25,[4]Podkarpacki!$A$7:$D$100,4,FALSE),0)</f>
        <v>389052</v>
      </c>
      <c r="D25" s="13">
        <f t="shared" si="2"/>
        <v>389052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f>IFERROR(VLOOKUP(A26,[4]Podkarpacki!$A$7:$D$100,4,FALSE),0)</f>
        <v>2500</v>
      </c>
      <c r="D26" s="13">
        <f t="shared" si="2"/>
        <v>2500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f>IFERROR(VLOOKUP(A27,[4]Podkarpacki!$A$7:$D$100,4,FALSE),0)</f>
        <v>1000</v>
      </c>
      <c r="D27" s="13">
        <f t="shared" si="2"/>
        <v>1000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f>IFERROR(VLOOKUP(A28,[4]Podkarpacki!$A$7:$D$100,4,FALSE),0)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f>IFERROR(VLOOKUP(A29,[4]Podkarpacki!$A$7:$D$100,4,FALSE),0)</f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f>IFERROR(VLOOKUP(A30,[4]Podkarpacki!$A$7:$D$100,4,FALSE),0)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f>IFERROR(VLOOKUP(A31,[4]Podkarpacki!$A$7:$D$100,4,FALSE),0)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f>IFERROR(VLOOKUP(A32,[4]Podkarpacki!$A$7:$D$100,4,FALSE),0)</f>
        <v>28013</v>
      </c>
      <c r="D32" s="13">
        <f t="shared" si="2"/>
        <v>28013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f>IFERROR(VLOOKUP(A33,[4]Podkarpacki!$A$7:$D$100,4,FALSE),0)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f>IFERROR(VLOOKUP(A34,[4]Podkarpacki!$A$7:$D$100,4,FALSE),0)</f>
        <v>6569</v>
      </c>
      <c r="D34" s="13">
        <f t="shared" si="2"/>
        <v>6569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f>IFERROR(VLOOKUP(A35,[4]Podkarpacki!$A$7:$D$100,4,FALSE),0)</f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f>IFERROR(VLOOKUP(A36,[4]Podkarpacki!$A$7:$D$100,4,FALSE),0)</f>
        <v>111484</v>
      </c>
      <c r="D36" s="37">
        <f>C36</f>
        <v>111484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f>IFERROR(VLOOKUP(A37,[4]Podkarpacki!$A$7:$D$100,4,FALSE),0)</f>
        <v>26759</v>
      </c>
      <c r="D37" s="37">
        <f>C37</f>
        <v>26759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605965</v>
      </c>
      <c r="D38" s="32">
        <f>D11+D13+D24+D30</f>
        <v>605965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25858</v>
      </c>
      <c r="D39" s="87">
        <f>D40+D41+D42+D50+D52+D58+D59+D57</f>
        <v>25858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f>IFERROR(VLOOKUP(A40,[4]Podkarpacki!$A$7:$D$100,4,FALSE),0)</f>
        <v>1350</v>
      </c>
      <c r="D40" s="33">
        <f>C40</f>
        <v>1350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f>IFERROR(VLOOKUP(A41,[4]Podkarpacki!$A$7:$D$100,4,FALSE),0)</f>
        <v>2816</v>
      </c>
      <c r="D41" s="33">
        <f t="shared" ref="D41:D59" si="3">C41</f>
        <v>2816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119</v>
      </c>
      <c r="D42" s="33">
        <f>D43+D45+D46+D47+D48+D49</f>
        <v>119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f>IFERROR(VLOOKUP(A43,[4]Podkarpacki!$A$7:$D$100,4,FALSE),0)</f>
        <v>27</v>
      </c>
      <c r="D43" s="33">
        <f t="shared" si="3"/>
        <v>27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f>IFERROR(VLOOKUP(A44,[4]Podkarpacki!$A$7:$D$100,4,FALSE),0)</f>
        <v>27</v>
      </c>
      <c r="D44" s="33">
        <f t="shared" si="3"/>
        <v>27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f>IFERROR(VLOOKUP(A45,[4]Podkarpacki!$A$7:$D$100,4,FALSE),0)</f>
        <v>13</v>
      </c>
      <c r="D45" s="33">
        <f t="shared" si="3"/>
        <v>13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f>IFERROR(VLOOKUP(A46,[4]Podkarpacki!$A$7:$D$100,4,FALSE),0)</f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f>IFERROR(VLOOKUP(A47,[4]Podkarpacki!$A$7:$D$100,4,FALSE),0)</f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f>IFERROR(VLOOKUP(A48,[4]Podkarpacki!$A$7:$D$100,4,FALSE),0)</f>
        <v>43</v>
      </c>
      <c r="D48" s="33">
        <f t="shared" si="3"/>
        <v>43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f>IFERROR(VLOOKUP(A49,[4]Podkarpacki!$A$7:$D$100,4,FALSE),0)</f>
        <v>36</v>
      </c>
      <c r="D49" s="33">
        <f t="shared" si="3"/>
        <v>36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f>IFERROR(VLOOKUP(A50,[4]Podkarpacki!$A$7:$D$100,4,FALSE),0)</f>
        <v>14538</v>
      </c>
      <c r="D50" s="33">
        <f t="shared" si="3"/>
        <v>14538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f>IFERROR(VLOOKUP(A51,[4]Podkarpacki!$A$7:$D$100,4,FALSE),0)</f>
        <v>0</v>
      </c>
      <c r="D51" s="33">
        <f t="shared" si="3"/>
        <v>0</v>
      </c>
      <c r="E51" s="38" t="str">
        <f t="shared" si="0"/>
        <v>-</v>
      </c>
      <c r="F51" s="39" t="str">
        <f t="shared" si="1"/>
        <v>-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3268</v>
      </c>
      <c r="D52" s="29">
        <f>D53+D54+D55+D56</f>
        <v>3268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f>IFERROR(VLOOKUP(A53,[4]Podkarpacki!$A$7:$D$100,4,FALSE),0)</f>
        <v>2493</v>
      </c>
      <c r="D53" s="33">
        <f t="shared" si="3"/>
        <v>2493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f>IFERROR(VLOOKUP(A54,[4]Podkarpacki!$A$7:$D$100,4,FALSE),0)</f>
        <v>356</v>
      </c>
      <c r="D54" s="33">
        <f t="shared" si="3"/>
        <v>356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f>IFERROR(VLOOKUP(A55,[4]Podkarpacki!$A$7:$D$100,4,FALSE),0)</f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f>IFERROR(VLOOKUP(A56,[4]Podkarpacki!$A$7:$D$100,4,FALSE),0)</f>
        <v>419</v>
      </c>
      <c r="D56" s="33">
        <f t="shared" si="3"/>
        <v>419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f>IFERROR(VLOOKUP(A57,[4]Podkarpacki!$A$7:$D$100,4,FALSE),0)</f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f>IFERROR(VLOOKUP(A58,[4]Podkarpacki!$A$7:$D$100,4,FALSE),0)</f>
        <v>3500</v>
      </c>
      <c r="D58" s="33">
        <f t="shared" si="3"/>
        <v>3500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f>IFERROR(VLOOKUP(A59,[4]Podkarpacki!$A$7:$D$100,4,FALSE),0)</f>
        <v>267</v>
      </c>
      <c r="D59" s="33">
        <f t="shared" si="3"/>
        <v>267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4000</v>
      </c>
      <c r="D60" s="107">
        <f>D61+D62+D63+D64</f>
        <v>5015</v>
      </c>
      <c r="E60" s="83">
        <f t="shared" si="0"/>
        <v>1015</v>
      </c>
      <c r="F60" s="108">
        <f t="shared" si="1"/>
        <v>1.2538</v>
      </c>
    </row>
    <row r="61" spans="1:6" ht="42" customHeight="1" x14ac:dyDescent="0.2">
      <c r="A61" s="51" t="s">
        <v>100</v>
      </c>
      <c r="B61" s="18" t="s">
        <v>113</v>
      </c>
      <c r="C61" s="31">
        <f>IFERROR(VLOOKUP(A61,[4]Podkarpacki!$A$7:$D$100,4,FALSE),0)</f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f>IFERROR(VLOOKUP(A62,[4]Podkarpacki!$A$7:$D$100,4,FALSE),0)</f>
        <v>3000</v>
      </c>
      <c r="D62" s="33">
        <f>C62-2985</f>
        <v>15</v>
      </c>
      <c r="E62" s="29">
        <f t="shared" si="0"/>
        <v>-2985</v>
      </c>
      <c r="F62" s="39">
        <f t="shared" si="1"/>
        <v>5.0000000000000001E-3</v>
      </c>
    </row>
    <row r="63" spans="1:6" ht="31.5" customHeight="1" x14ac:dyDescent="0.2">
      <c r="A63" s="51" t="s">
        <v>30</v>
      </c>
      <c r="B63" s="18" t="s">
        <v>102</v>
      </c>
      <c r="C63" s="31">
        <f>IFERROR(VLOOKUP(A63,[4]Podkarpacki!$A$7:$D$100,4,FALSE),0)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f>IFERROR(VLOOKUP(A64,[4]Podkarpacki!$A$7:$D$100,4,FALSE),0)</f>
        <v>1000</v>
      </c>
      <c r="D64" s="33">
        <f>C64+4000</f>
        <v>5000</v>
      </c>
      <c r="E64" s="29">
        <f t="shared" si="0"/>
        <v>4000</v>
      </c>
      <c r="F64" s="39">
        <f t="shared" si="1"/>
        <v>5</v>
      </c>
    </row>
    <row r="65" spans="1:6" ht="32.25" customHeight="1" x14ac:dyDescent="0.2">
      <c r="A65" s="94" t="s">
        <v>135</v>
      </c>
      <c r="B65" s="95" t="s">
        <v>114</v>
      </c>
      <c r="C65" s="107">
        <f>IFERROR(VLOOKUP(A65,[4]Podkarpacki!$A$7:$D$100,4,FALSE),0)</f>
        <v>810</v>
      </c>
      <c r="D65" s="107">
        <f>C65-610</f>
        <v>200</v>
      </c>
      <c r="E65" s="83">
        <f t="shared" si="0"/>
        <v>-610</v>
      </c>
      <c r="F65" s="108">
        <f t="shared" si="1"/>
        <v>0.24690000000000001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7" orientation="portrait" r:id="rId1"/>
  <headerFooter alignWithMargins="0">
    <oddFooter>&amp;R&amp;20&amp;P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D6" sqref="D6:D93"/>
      <selection pane="topRight" activeCell="D6" sqref="D6:D93"/>
      <selection pane="bottomLeft" activeCell="D6" sqref="D6:D93"/>
      <selection pane="bottomRight" activeCell="D6" sqref="D6:D93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1" t="str">
        <f>NFZ!A1</f>
        <v>ZMIANA PLANU FINANSOWEGO NARODOWEGO FUNDUSZU ZDROWIA NA 2017 ROK Z DNIA 8 GRUDNIA 2017 R.</v>
      </c>
      <c r="B1" s="111"/>
      <c r="C1" s="111"/>
      <c r="D1" s="111"/>
      <c r="E1" s="111"/>
      <c r="F1" s="111"/>
    </row>
    <row r="2" spans="1:6" s="22" customFormat="1" ht="33" customHeight="1" x14ac:dyDescent="0.2">
      <c r="A2" s="67" t="s">
        <v>69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2285875</v>
      </c>
      <c r="D6" s="102">
        <f>D7+D8+D9+D14+D15+D16+D17+D18+D19+D20+D21+D22+D23+D24+D28+D29+D31+D32+D33+D34</f>
        <v>2293725</v>
      </c>
      <c r="E6" s="83">
        <f>IF(C6=D6,"-",D6-C6)</f>
        <v>7850</v>
      </c>
      <c r="F6" s="103">
        <f>IF(C6=0,"-",D6/C6)</f>
        <v>1.0029999999999999</v>
      </c>
    </row>
    <row r="7" spans="1:6" ht="33" customHeight="1" x14ac:dyDescent="0.2">
      <c r="A7" s="48" t="s">
        <v>1</v>
      </c>
      <c r="B7" s="14" t="s">
        <v>117</v>
      </c>
      <c r="C7" s="31">
        <f>IFERROR(VLOOKUP(A7,[4]Podlaski!$A$7:$D$100,4,FALSE),0)</f>
        <v>305100</v>
      </c>
      <c r="D7" s="13">
        <f>C7</f>
        <v>305100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f>IFERROR(VLOOKUP(A8,[4]Podlaski!$A$7:$D$100,4,FALSE),0)</f>
        <v>191325</v>
      </c>
      <c r="D8" s="13">
        <f>C8</f>
        <v>191325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f>IFERROR(VLOOKUP(A9,[4]Podlaski!$A$7:$D$100,4,FALSE),0)</f>
        <v>1170078</v>
      </c>
      <c r="D9" s="13">
        <f>C9+7850</f>
        <v>1177928</v>
      </c>
      <c r="E9" s="38">
        <f t="shared" si="0"/>
        <v>7850</v>
      </c>
      <c r="F9" s="39">
        <f t="shared" si="1"/>
        <v>1.0066999999999999</v>
      </c>
    </row>
    <row r="10" spans="1:6" ht="31.5" customHeight="1" x14ac:dyDescent="0.2">
      <c r="A10" s="49" t="s">
        <v>55</v>
      </c>
      <c r="B10" s="45" t="s">
        <v>140</v>
      </c>
      <c r="C10" s="31">
        <f>IFERROR(VLOOKUP(A10,[4]Podlaski!$A$7:$D$100,4,FALSE),0)</f>
        <v>93128</v>
      </c>
      <c r="D10" s="13">
        <f t="shared" ref="D10:D34" si="2">C10</f>
        <v>93128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f>IFERROR(VLOOKUP(A11,[4]Podlaski!$A$7:$D$100,4,FALSE),0)</f>
        <v>83965</v>
      </c>
      <c r="D11" s="13">
        <f t="shared" si="2"/>
        <v>83965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f>IFERROR(VLOOKUP(A12,[4]Podlaski!$A$7:$D$100,4,FALSE),0)</f>
        <v>47056</v>
      </c>
      <c r="D12" s="13">
        <f t="shared" si="2"/>
        <v>47056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f>IFERROR(VLOOKUP(A13,[4]Podlaski!$A$7:$D$100,4,FALSE),0)</f>
        <v>24019</v>
      </c>
      <c r="D13" s="13">
        <f t="shared" si="2"/>
        <v>24019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f>IFERROR(VLOOKUP(A14,[4]Podlaski!$A$7:$D$100,4,FALSE),0)</f>
        <v>89200</v>
      </c>
      <c r="D14" s="13">
        <f t="shared" si="2"/>
        <v>89200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f>IFERROR(VLOOKUP(A15,[4]Podlaski!$A$7:$D$100,4,FALSE),0)</f>
        <v>62500</v>
      </c>
      <c r="D15" s="13">
        <f t="shared" si="2"/>
        <v>62500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f>IFERROR(VLOOKUP(A16,[4]Podlaski!$A$7:$D$100,4,FALSE),0)</f>
        <v>36500</v>
      </c>
      <c r="D16" s="13">
        <f t="shared" si="2"/>
        <v>36500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f>IFERROR(VLOOKUP(A17,[4]Podlaski!$A$7:$D$100,4,FALSE),0)</f>
        <v>19400</v>
      </c>
      <c r="D17" s="13">
        <f t="shared" si="2"/>
        <v>19400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f>IFERROR(VLOOKUP(A18,[4]Podlaski!$A$7:$D$100,4,FALSE),0)</f>
        <v>63800</v>
      </c>
      <c r="D18" s="13">
        <f t="shared" si="2"/>
        <v>63800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f>IFERROR(VLOOKUP(A19,[4]Podlaski!$A$7:$D$100,4,FALSE),0)</f>
        <v>20500</v>
      </c>
      <c r="D19" s="13">
        <f t="shared" si="2"/>
        <v>20500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f>IFERROR(VLOOKUP(A20,[4]Podlaski!$A$7:$D$100,4,FALSE),0)</f>
        <v>1555</v>
      </c>
      <c r="D20" s="13">
        <f t="shared" si="2"/>
        <v>1555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f>IFERROR(VLOOKUP(A21,[4]Podlaski!$A$7:$D$100,4,FALSE),0)</f>
        <v>4850</v>
      </c>
      <c r="D21" s="13">
        <f t="shared" si="2"/>
        <v>4850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f>IFERROR(VLOOKUP(A22,[4]Podlaski!$A$7:$D$100,4,FALSE),0)</f>
        <v>64800</v>
      </c>
      <c r="D22" s="13">
        <f t="shared" si="2"/>
        <v>64800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f>IFERROR(VLOOKUP(A23,[4]Podlaski!$A$7:$D$100,4,FALSE),0)</f>
        <v>29600</v>
      </c>
      <c r="D23" s="13">
        <f t="shared" si="2"/>
        <v>29600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f>IFERROR(VLOOKUP(A24,[4]Podlaski!$A$7:$D$100,4,FALSE),0)</f>
        <v>226367</v>
      </c>
      <c r="D24" s="31">
        <f>SUM(D25:D27)</f>
        <v>226367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f>IFERROR(VLOOKUP(A25,[4]Podlaski!$A$7:$D$100,4,FALSE),0)</f>
        <v>224257</v>
      </c>
      <c r="D25" s="13">
        <f t="shared" si="2"/>
        <v>224257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f>IFERROR(VLOOKUP(A26,[4]Podlaski!$A$7:$D$100,4,FALSE),0)</f>
        <v>1550</v>
      </c>
      <c r="D26" s="13">
        <f t="shared" si="2"/>
        <v>1550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f>IFERROR(VLOOKUP(A27,[4]Podlaski!$A$7:$D$100,4,FALSE),0)</f>
        <v>560</v>
      </c>
      <c r="D27" s="13">
        <f t="shared" si="2"/>
        <v>560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f>IFERROR(VLOOKUP(A28,[4]Podlaski!$A$7:$D$100,4,FALSE),0)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f>IFERROR(VLOOKUP(A29,[4]Podlaski!$A$7:$D$100,4,FALSE),0)</f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f>IFERROR(VLOOKUP(A30,[4]Podlaski!$A$7:$D$100,4,FALSE),0)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f>IFERROR(VLOOKUP(A31,[4]Podlaski!$A$7:$D$100,4,FALSE),0)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f>IFERROR(VLOOKUP(A32,[4]Podlaski!$A$7:$D$100,4,FALSE),0)</f>
        <v>300</v>
      </c>
      <c r="D32" s="13">
        <f t="shared" si="2"/>
        <v>300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f>IFERROR(VLOOKUP(A33,[4]Podlaski!$A$7:$D$100,4,FALSE),0)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f>IFERROR(VLOOKUP(A34,[4]Podlaski!$A$7:$D$100,4,FALSE),0)</f>
        <v>0</v>
      </c>
      <c r="D34" s="13">
        <f t="shared" si="2"/>
        <v>0</v>
      </c>
      <c r="E34" s="38" t="str">
        <f>IF(C34=D34,"-",D34-C34)</f>
        <v>-</v>
      </c>
      <c r="F34" s="39" t="str">
        <f>IF(C34=0,"-",D34/C34)</f>
        <v>-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f>IFERROR(VLOOKUP(A35,[4]Podlaski!$A$7:$D$100,4,FALSE),0)</f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f>IFERROR(VLOOKUP(A36,[4]Podlaski!$A$7:$D$100,4,FALSE),0)</f>
        <v>71925</v>
      </c>
      <c r="D36" s="37">
        <f>C36</f>
        <v>71925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f>IFERROR(VLOOKUP(A37,[4]Podlaski!$A$7:$D$100,4,FALSE),0)</f>
        <v>16771</v>
      </c>
      <c r="D37" s="37">
        <f>C37</f>
        <v>16771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334351</v>
      </c>
      <c r="D38" s="32">
        <f>D11+D13+D24+D30</f>
        <v>334351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17784</v>
      </c>
      <c r="D39" s="87">
        <f>D40+D41+D42+D50+D52+D58+D59+D57</f>
        <v>17784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f>IFERROR(VLOOKUP(A40,[4]Podlaski!$A$7:$D$100,4,FALSE),0)</f>
        <v>599</v>
      </c>
      <c r="D40" s="33">
        <f>C40</f>
        <v>599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f>IFERROR(VLOOKUP(A41,[4]Podlaski!$A$7:$D$100,4,FALSE),0)</f>
        <v>1100</v>
      </c>
      <c r="D41" s="33">
        <f t="shared" ref="D41:D59" si="3">C41</f>
        <v>1100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246</v>
      </c>
      <c r="D42" s="33">
        <f>D43+D45+D46+D47+D48+D49</f>
        <v>246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f>IFERROR(VLOOKUP(A43,[4]Podlaski!$A$7:$D$100,4,FALSE),0)</f>
        <v>19</v>
      </c>
      <c r="D43" s="33">
        <f t="shared" si="3"/>
        <v>19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f>IFERROR(VLOOKUP(A44,[4]Podlaski!$A$7:$D$100,4,FALSE),0)</f>
        <v>19</v>
      </c>
      <c r="D44" s="33">
        <f t="shared" si="3"/>
        <v>19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f>IFERROR(VLOOKUP(A45,[4]Podlaski!$A$7:$D$100,4,FALSE),0)</f>
        <v>54</v>
      </c>
      <c r="D45" s="33">
        <f t="shared" si="3"/>
        <v>54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f>IFERROR(VLOOKUP(A46,[4]Podlaski!$A$7:$D$100,4,FALSE),0)</f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f>IFERROR(VLOOKUP(A47,[4]Podlaski!$A$7:$D$100,4,FALSE),0)</f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f>IFERROR(VLOOKUP(A48,[4]Podlaski!$A$7:$D$100,4,FALSE),0)</f>
        <v>167</v>
      </c>
      <c r="D48" s="33">
        <f t="shared" si="3"/>
        <v>167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f>IFERROR(VLOOKUP(A49,[4]Podlaski!$A$7:$D$100,4,FALSE),0)</f>
        <v>6</v>
      </c>
      <c r="D49" s="33">
        <f t="shared" si="3"/>
        <v>6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f>IFERROR(VLOOKUP(A50,[4]Podlaski!$A$7:$D$100,4,FALSE),0)</f>
        <v>10289</v>
      </c>
      <c r="D50" s="33">
        <f t="shared" si="3"/>
        <v>10289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f>IFERROR(VLOOKUP(A51,[4]Podlaski!$A$7:$D$100,4,FALSE),0)</f>
        <v>0</v>
      </c>
      <c r="D51" s="33">
        <f t="shared" si="3"/>
        <v>0</v>
      </c>
      <c r="E51" s="38" t="str">
        <f t="shared" si="0"/>
        <v>-</v>
      </c>
      <c r="F51" s="39" t="str">
        <f t="shared" si="1"/>
        <v>-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2317</v>
      </c>
      <c r="D52" s="29">
        <f>D53+D54+D55+D56</f>
        <v>2317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f>IFERROR(VLOOKUP(A53,[4]Podlaski!$A$7:$D$100,4,FALSE),0)</f>
        <v>1760</v>
      </c>
      <c r="D53" s="33">
        <f t="shared" si="3"/>
        <v>1760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f>IFERROR(VLOOKUP(A54,[4]Podlaski!$A$7:$D$100,4,FALSE),0)</f>
        <v>231</v>
      </c>
      <c r="D54" s="33">
        <f t="shared" si="3"/>
        <v>231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f>IFERROR(VLOOKUP(A55,[4]Podlaski!$A$7:$D$100,4,FALSE),0)</f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f>IFERROR(VLOOKUP(A56,[4]Podlaski!$A$7:$D$100,4,FALSE),0)</f>
        <v>326</v>
      </c>
      <c r="D56" s="33">
        <f t="shared" si="3"/>
        <v>326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f>IFERROR(VLOOKUP(A57,[4]Podlaski!$A$7:$D$100,4,FALSE),0)</f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f>IFERROR(VLOOKUP(A58,[4]Podlaski!$A$7:$D$100,4,FALSE),0)</f>
        <v>3088</v>
      </c>
      <c r="D58" s="33">
        <f t="shared" si="3"/>
        <v>3088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f>IFERROR(VLOOKUP(A59,[4]Podlaski!$A$7:$D$100,4,FALSE),0)</f>
        <v>145</v>
      </c>
      <c r="D59" s="33">
        <f t="shared" si="3"/>
        <v>145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2289</v>
      </c>
      <c r="D60" s="107">
        <f>D61+D62+D63+D64</f>
        <v>1085</v>
      </c>
      <c r="E60" s="83">
        <f t="shared" si="0"/>
        <v>-1204</v>
      </c>
      <c r="F60" s="108">
        <f t="shared" si="1"/>
        <v>0.47399999999999998</v>
      </c>
    </row>
    <row r="61" spans="1:6" ht="42" customHeight="1" x14ac:dyDescent="0.2">
      <c r="A61" s="51" t="s">
        <v>100</v>
      </c>
      <c r="B61" s="18" t="s">
        <v>113</v>
      </c>
      <c r="C61" s="31">
        <f>IFERROR(VLOOKUP(A61,[4]Podlaski!$A$7:$D$100,4,FALSE),0)</f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f>IFERROR(VLOOKUP(A62,[4]Podlaski!$A$7:$D$100,4,FALSE),0)</f>
        <v>1110</v>
      </c>
      <c r="D62" s="33">
        <f>C62-475</f>
        <v>635</v>
      </c>
      <c r="E62" s="29">
        <f t="shared" si="0"/>
        <v>-475</v>
      </c>
      <c r="F62" s="39">
        <f t="shared" si="1"/>
        <v>0.57210000000000005</v>
      </c>
    </row>
    <row r="63" spans="1:6" ht="31.5" customHeight="1" x14ac:dyDescent="0.2">
      <c r="A63" s="51" t="s">
        <v>30</v>
      </c>
      <c r="B63" s="18" t="s">
        <v>102</v>
      </c>
      <c r="C63" s="31">
        <f>IFERROR(VLOOKUP(A63,[4]Podlaski!$A$7:$D$100,4,FALSE),0)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f>IFERROR(VLOOKUP(A64,[4]Podlaski!$A$7:$D$100,4,FALSE),0)</f>
        <v>1179</v>
      </c>
      <c r="D64" s="33">
        <f>C64-729</f>
        <v>450</v>
      </c>
      <c r="E64" s="29">
        <f t="shared" si="0"/>
        <v>-729</v>
      </c>
      <c r="F64" s="39">
        <f t="shared" si="1"/>
        <v>0.38169999999999998</v>
      </c>
    </row>
    <row r="65" spans="1:6" ht="32.25" customHeight="1" x14ac:dyDescent="0.2">
      <c r="A65" s="94" t="s">
        <v>135</v>
      </c>
      <c r="B65" s="95" t="s">
        <v>114</v>
      </c>
      <c r="C65" s="107">
        <f>IFERROR(VLOOKUP(A65,[4]Podlaski!$A$7:$D$100,4,FALSE),0)</f>
        <v>372</v>
      </c>
      <c r="D65" s="107">
        <f>C65-132</f>
        <v>240</v>
      </c>
      <c r="E65" s="83">
        <f t="shared" si="0"/>
        <v>-132</v>
      </c>
      <c r="F65" s="108">
        <f t="shared" si="1"/>
        <v>0.6452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7" orientation="portrait" r:id="rId1"/>
  <headerFooter alignWithMargins="0">
    <oddFooter>&amp;R&amp;20&amp;P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D6" sqref="D6:D93"/>
      <selection pane="topRight" activeCell="D6" sqref="D6:D93"/>
      <selection pane="bottomLeft" activeCell="D6" sqref="D6:D93"/>
      <selection pane="bottomRight" activeCell="D6" sqref="D6:D93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1" t="str">
        <f>NFZ!A1</f>
        <v>ZMIANA PLANU FINANSOWEGO NARODOWEGO FUNDUSZU ZDROWIA NA 2017 ROK Z DNIA 8 GRUDNIA 2017 R.</v>
      </c>
      <c r="B1" s="111"/>
      <c r="C1" s="111"/>
      <c r="D1" s="111"/>
      <c r="E1" s="111"/>
      <c r="F1" s="111"/>
    </row>
    <row r="2" spans="1:6" s="22" customFormat="1" ht="33" customHeight="1" x14ac:dyDescent="0.2">
      <c r="A2" s="67" t="s">
        <v>70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4400884</v>
      </c>
      <c r="D6" s="102">
        <f>D7+D8+D9+D14+D15+D16+D17+D18+D19+D20+D21+D22+D23+D24+D28+D29+D31+D32+D33+D34</f>
        <v>4415916</v>
      </c>
      <c r="E6" s="83">
        <f>IF(C6=D6,"-",D6-C6)</f>
        <v>15032</v>
      </c>
      <c r="F6" s="103">
        <f>IF(C6=0,"-",D6/C6)</f>
        <v>1.0029999999999999</v>
      </c>
    </row>
    <row r="7" spans="1:6" ht="33" customHeight="1" x14ac:dyDescent="0.2">
      <c r="A7" s="48" t="s">
        <v>1</v>
      </c>
      <c r="B7" s="14" t="s">
        <v>117</v>
      </c>
      <c r="C7" s="31">
        <f>IFERROR(VLOOKUP(A7,[4]Pomorski!$A$7:$D$100,4,FALSE),0)</f>
        <v>617768</v>
      </c>
      <c r="D7" s="13">
        <f>C7</f>
        <v>617768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f>IFERROR(VLOOKUP(A8,[4]Pomorski!$A$7:$D$100,4,FALSE),0)</f>
        <v>339544</v>
      </c>
      <c r="D8" s="13">
        <f>C8</f>
        <v>339544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f>IFERROR(VLOOKUP(A9,[4]Pomorski!$A$7:$D$100,4,FALSE),0)</f>
        <v>2196114</v>
      </c>
      <c r="D9" s="13">
        <f>C9+15032</f>
        <v>2211146</v>
      </c>
      <c r="E9" s="38">
        <f t="shared" si="0"/>
        <v>15032</v>
      </c>
      <c r="F9" s="39">
        <f t="shared" si="1"/>
        <v>1.0067999999999999</v>
      </c>
    </row>
    <row r="10" spans="1:6" ht="31.5" customHeight="1" x14ac:dyDescent="0.2">
      <c r="A10" s="49" t="s">
        <v>55</v>
      </c>
      <c r="B10" s="45" t="s">
        <v>140</v>
      </c>
      <c r="C10" s="31">
        <f>IFERROR(VLOOKUP(A10,[4]Pomorski!$A$7:$D$100,4,FALSE),0)</f>
        <v>218332</v>
      </c>
      <c r="D10" s="13">
        <f t="shared" ref="D10:D34" si="2">C10</f>
        <v>218332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f>IFERROR(VLOOKUP(A11,[4]Pomorski!$A$7:$D$100,4,FALSE),0)</f>
        <v>201971</v>
      </c>
      <c r="D11" s="13">
        <f t="shared" si="2"/>
        <v>201971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f>IFERROR(VLOOKUP(A12,[4]Pomorski!$A$7:$D$100,4,FALSE),0)</f>
        <v>84376</v>
      </c>
      <c r="D12" s="13">
        <f t="shared" si="2"/>
        <v>84376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f>IFERROR(VLOOKUP(A13,[4]Pomorski!$A$7:$D$100,4,FALSE),0)</f>
        <v>47986</v>
      </c>
      <c r="D13" s="13">
        <f t="shared" si="2"/>
        <v>47986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f>IFERROR(VLOOKUP(A14,[4]Pomorski!$A$7:$D$100,4,FALSE),0)</f>
        <v>165587</v>
      </c>
      <c r="D14" s="13">
        <f t="shared" si="2"/>
        <v>165587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f>IFERROR(VLOOKUP(A15,[4]Pomorski!$A$7:$D$100,4,FALSE),0)</f>
        <v>121520</v>
      </c>
      <c r="D15" s="13">
        <f t="shared" si="2"/>
        <v>121520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f>IFERROR(VLOOKUP(A16,[4]Pomorski!$A$7:$D$100,4,FALSE),0)</f>
        <v>52831</v>
      </c>
      <c r="D16" s="13">
        <f t="shared" si="2"/>
        <v>52831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f>IFERROR(VLOOKUP(A17,[4]Pomorski!$A$7:$D$100,4,FALSE),0)</f>
        <v>41510</v>
      </c>
      <c r="D17" s="13">
        <f t="shared" si="2"/>
        <v>41510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f>IFERROR(VLOOKUP(A18,[4]Pomorski!$A$7:$D$100,4,FALSE),0)</f>
        <v>109535</v>
      </c>
      <c r="D18" s="13">
        <f t="shared" si="2"/>
        <v>109535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f>IFERROR(VLOOKUP(A19,[4]Pomorski!$A$7:$D$100,4,FALSE),0)</f>
        <v>27649</v>
      </c>
      <c r="D19" s="13">
        <f t="shared" si="2"/>
        <v>27649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f>IFERROR(VLOOKUP(A20,[4]Pomorski!$A$7:$D$100,4,FALSE),0)</f>
        <v>1504</v>
      </c>
      <c r="D20" s="13">
        <f t="shared" si="2"/>
        <v>1504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f>IFERROR(VLOOKUP(A21,[4]Pomorski!$A$7:$D$100,4,FALSE),0)</f>
        <v>10359</v>
      </c>
      <c r="D21" s="13">
        <f t="shared" si="2"/>
        <v>10359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f>IFERROR(VLOOKUP(A22,[4]Pomorski!$A$7:$D$100,4,FALSE),0)</f>
        <v>132152</v>
      </c>
      <c r="D22" s="13">
        <f t="shared" si="2"/>
        <v>132152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f>IFERROR(VLOOKUP(A23,[4]Pomorski!$A$7:$D$100,4,FALSE),0)</f>
        <v>58200</v>
      </c>
      <c r="D23" s="13">
        <f t="shared" si="2"/>
        <v>58200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f>IFERROR(VLOOKUP(A24,[4]Pomorski!$A$7:$D$100,4,FALSE),0)</f>
        <v>525512</v>
      </c>
      <c r="D24" s="31">
        <f>SUM(D25:D27)</f>
        <v>525512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f>IFERROR(VLOOKUP(A25,[4]Pomorski!$A$7:$D$100,4,FALSE),0)</f>
        <v>523815</v>
      </c>
      <c r="D25" s="13">
        <f t="shared" si="2"/>
        <v>523815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f>IFERROR(VLOOKUP(A26,[4]Pomorski!$A$7:$D$100,4,FALSE),0)</f>
        <v>931</v>
      </c>
      <c r="D26" s="13">
        <f t="shared" si="2"/>
        <v>931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f>IFERROR(VLOOKUP(A27,[4]Pomorski!$A$7:$D$100,4,FALSE),0)</f>
        <v>766</v>
      </c>
      <c r="D27" s="13">
        <f t="shared" si="2"/>
        <v>766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f>IFERROR(VLOOKUP(A28,[4]Pomorski!$A$7:$D$100,4,FALSE),0)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f>IFERROR(VLOOKUP(A29,[4]Pomorski!$A$7:$D$100,4,FALSE),0)</f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f>IFERROR(VLOOKUP(A30,[4]Pomorski!$A$7:$D$100,4,FALSE),0)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f>IFERROR(VLOOKUP(A31,[4]Pomorski!$A$7:$D$100,4,FALSE),0)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f>IFERROR(VLOOKUP(A32,[4]Pomorski!$A$7:$D$100,4,FALSE),0)</f>
        <v>1099</v>
      </c>
      <c r="D32" s="13">
        <f t="shared" si="2"/>
        <v>1099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f>IFERROR(VLOOKUP(A33,[4]Pomorski!$A$7:$D$100,4,FALSE),0)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f>IFERROR(VLOOKUP(A34,[4]Pomorski!$A$7:$D$100,4,FALSE),0)</f>
        <v>0</v>
      </c>
      <c r="D34" s="13">
        <f t="shared" si="2"/>
        <v>0</v>
      </c>
      <c r="E34" s="38" t="str">
        <f>IF(C34=D34,"-",D34-C34)</f>
        <v>-</v>
      </c>
      <c r="F34" s="39" t="str">
        <f>IF(C34=0,"-",D34/C34)</f>
        <v>-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f>IFERROR(VLOOKUP(A35,[4]Pomorski!$A$7:$D$100,4,FALSE),0)</f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f>IFERROR(VLOOKUP(A36,[4]Pomorski!$A$7:$D$100,4,FALSE),0)</f>
        <v>108713</v>
      </c>
      <c r="D36" s="37">
        <f>C36</f>
        <v>108713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f>IFERROR(VLOOKUP(A37,[4]Pomorski!$A$7:$D$100,4,FALSE),0)</f>
        <v>34894</v>
      </c>
      <c r="D37" s="37">
        <f>C37</f>
        <v>34894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775469</v>
      </c>
      <c r="D38" s="32">
        <f>D11+D13+D24+D30</f>
        <v>775469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33148</v>
      </c>
      <c r="D39" s="87">
        <f>D40+D41+D42+D50+D52+D58+D59+D57</f>
        <v>33148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f>IFERROR(VLOOKUP(A40,[4]Pomorski!$A$7:$D$100,4,FALSE),0)</f>
        <v>1549</v>
      </c>
      <c r="D40" s="33">
        <f>C40</f>
        <v>1549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f>IFERROR(VLOOKUP(A41,[4]Pomorski!$A$7:$D$100,4,FALSE),0)</f>
        <v>3339</v>
      </c>
      <c r="D41" s="33">
        <f t="shared" ref="D41:D59" si="3">C41</f>
        <v>3339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135</v>
      </c>
      <c r="D42" s="33">
        <f>D43+D45+D46+D47+D48+D49</f>
        <v>135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f>IFERROR(VLOOKUP(A43,[4]Pomorski!$A$7:$D$100,4,FALSE),0)</f>
        <v>44</v>
      </c>
      <c r="D43" s="33">
        <f t="shared" si="3"/>
        <v>44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f>IFERROR(VLOOKUP(A44,[4]Pomorski!$A$7:$D$100,4,FALSE),0)</f>
        <v>44</v>
      </c>
      <c r="D44" s="33">
        <f t="shared" si="3"/>
        <v>44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f>IFERROR(VLOOKUP(A45,[4]Pomorski!$A$7:$D$100,4,FALSE),0)</f>
        <v>36</v>
      </c>
      <c r="D45" s="33">
        <f t="shared" si="3"/>
        <v>36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f>IFERROR(VLOOKUP(A46,[4]Pomorski!$A$7:$D$100,4,FALSE),0)</f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f>IFERROR(VLOOKUP(A47,[4]Pomorski!$A$7:$D$100,4,FALSE),0)</f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f>IFERROR(VLOOKUP(A48,[4]Pomorski!$A$7:$D$100,4,FALSE),0)</f>
        <v>33</v>
      </c>
      <c r="D48" s="33">
        <f t="shared" si="3"/>
        <v>33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f>IFERROR(VLOOKUP(A49,[4]Pomorski!$A$7:$D$100,4,FALSE),0)</f>
        <v>22</v>
      </c>
      <c r="D49" s="33">
        <f t="shared" si="3"/>
        <v>22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f>IFERROR(VLOOKUP(A50,[4]Pomorski!$A$7:$D$100,4,FALSE),0)</f>
        <v>19789</v>
      </c>
      <c r="D50" s="33">
        <f t="shared" si="3"/>
        <v>19789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f>IFERROR(VLOOKUP(A51,[4]Pomorski!$A$7:$D$100,4,FALSE),0)</f>
        <v>84</v>
      </c>
      <c r="D51" s="33">
        <f t="shared" si="3"/>
        <v>84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4501</v>
      </c>
      <c r="D52" s="29">
        <f>D53+D54+D55+D56</f>
        <v>4501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f>IFERROR(VLOOKUP(A53,[4]Pomorski!$A$7:$D$100,4,FALSE),0)</f>
        <v>3396</v>
      </c>
      <c r="D53" s="33">
        <f t="shared" si="3"/>
        <v>3396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f>IFERROR(VLOOKUP(A54,[4]Pomorski!$A$7:$D$100,4,FALSE),0)</f>
        <v>486</v>
      </c>
      <c r="D54" s="33">
        <f t="shared" si="3"/>
        <v>486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f>IFERROR(VLOOKUP(A55,[4]Pomorski!$A$7:$D$100,4,FALSE),0)</f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f>IFERROR(VLOOKUP(A56,[4]Pomorski!$A$7:$D$100,4,FALSE),0)</f>
        <v>619</v>
      </c>
      <c r="D56" s="33">
        <f t="shared" si="3"/>
        <v>619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f>IFERROR(VLOOKUP(A57,[4]Pomorski!$A$7:$D$100,4,FALSE),0)</f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f>IFERROR(VLOOKUP(A58,[4]Pomorski!$A$7:$D$100,4,FALSE),0)</f>
        <v>3600</v>
      </c>
      <c r="D58" s="33">
        <f t="shared" si="3"/>
        <v>3600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f>IFERROR(VLOOKUP(A59,[4]Pomorski!$A$7:$D$100,4,FALSE),0)</f>
        <v>235</v>
      </c>
      <c r="D59" s="33">
        <f t="shared" si="3"/>
        <v>235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8332</v>
      </c>
      <c r="D60" s="107">
        <f>D61+D62+D63+D64</f>
        <v>1859</v>
      </c>
      <c r="E60" s="83">
        <f t="shared" si="0"/>
        <v>-6473</v>
      </c>
      <c r="F60" s="108">
        <f t="shared" si="1"/>
        <v>0.22309999999999999</v>
      </c>
    </row>
    <row r="61" spans="1:6" ht="42" customHeight="1" x14ac:dyDescent="0.2">
      <c r="A61" s="51" t="s">
        <v>100</v>
      </c>
      <c r="B61" s="18" t="s">
        <v>113</v>
      </c>
      <c r="C61" s="31">
        <f>IFERROR(VLOOKUP(A61,[4]Pomorski!$A$7:$D$100,4,FALSE),0)</f>
        <v>59</v>
      </c>
      <c r="D61" s="33">
        <f>C61</f>
        <v>59</v>
      </c>
      <c r="E61" s="29" t="str">
        <f t="shared" si="0"/>
        <v>-</v>
      </c>
      <c r="F61" s="39">
        <f t="shared" si="1"/>
        <v>1</v>
      </c>
    </row>
    <row r="62" spans="1:6" ht="31.5" customHeight="1" x14ac:dyDescent="0.2">
      <c r="A62" s="51" t="s">
        <v>29</v>
      </c>
      <c r="B62" s="18" t="s">
        <v>54</v>
      </c>
      <c r="C62" s="31">
        <f>IFERROR(VLOOKUP(A62,[4]Pomorski!$A$7:$D$100,4,FALSE),0)</f>
        <v>6273</v>
      </c>
      <c r="D62" s="33">
        <f>C62-5273</f>
        <v>1000</v>
      </c>
      <c r="E62" s="29">
        <f t="shared" si="0"/>
        <v>-5273</v>
      </c>
      <c r="F62" s="39">
        <f t="shared" si="1"/>
        <v>0.15939999999999999</v>
      </c>
    </row>
    <row r="63" spans="1:6" ht="31.5" customHeight="1" x14ac:dyDescent="0.2">
      <c r="A63" s="51" t="s">
        <v>30</v>
      </c>
      <c r="B63" s="18" t="s">
        <v>102</v>
      </c>
      <c r="C63" s="31">
        <f>IFERROR(VLOOKUP(A63,[4]Pomorski!$A$7:$D$100,4,FALSE),0)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f>IFERROR(VLOOKUP(A64,[4]Pomorski!$A$7:$D$100,4,FALSE),0)</f>
        <v>2000</v>
      </c>
      <c r="D64" s="33">
        <f>C64-1200</f>
        <v>800</v>
      </c>
      <c r="E64" s="29">
        <f t="shared" si="0"/>
        <v>-1200</v>
      </c>
      <c r="F64" s="39">
        <f t="shared" si="1"/>
        <v>0.4</v>
      </c>
    </row>
    <row r="65" spans="1:6" ht="32.25" customHeight="1" x14ac:dyDescent="0.2">
      <c r="A65" s="94" t="s">
        <v>135</v>
      </c>
      <c r="B65" s="95" t="s">
        <v>114</v>
      </c>
      <c r="C65" s="107">
        <f>IFERROR(VLOOKUP(A65,[4]Pomorski!$A$7:$D$100,4,FALSE),0)</f>
        <v>3970</v>
      </c>
      <c r="D65" s="107">
        <f>C65-2970</f>
        <v>1000</v>
      </c>
      <c r="E65" s="83">
        <f t="shared" si="0"/>
        <v>-2970</v>
      </c>
      <c r="F65" s="108">
        <f t="shared" si="1"/>
        <v>0.25190000000000001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7" orientation="portrait" r:id="rId1"/>
  <headerFooter alignWithMargins="0">
    <oddFooter>&amp;R&amp;20&amp;P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46" activePane="bottomRight" state="frozen"/>
      <selection activeCell="D6" sqref="D6:D93"/>
      <selection pane="topRight" activeCell="D6" sqref="D6:D93"/>
      <selection pane="bottomLeft" activeCell="D6" sqref="D6:D93"/>
      <selection pane="bottomRight" activeCell="D62" sqref="D62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1" t="str">
        <f>NFZ!A1</f>
        <v>ZMIANA PLANU FINANSOWEGO NARODOWEGO FUNDUSZU ZDROWIA NA 2017 ROK Z DNIA 8 GRUDNIA 2017 R.</v>
      </c>
      <c r="B1" s="111"/>
      <c r="C1" s="111"/>
      <c r="D1" s="111"/>
      <c r="E1" s="111"/>
      <c r="F1" s="111"/>
    </row>
    <row r="2" spans="1:6" s="22" customFormat="1" ht="33" customHeight="1" x14ac:dyDescent="0.2">
      <c r="A2" s="67" t="s">
        <v>71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9250669</v>
      </c>
      <c r="D6" s="102">
        <f>D7+D8+D9+D14+D15+D16+D17+D18+D19+D20+D21+D22+D23+D24+D28+D29+D31+D32+D33+D34</f>
        <v>9282231</v>
      </c>
      <c r="E6" s="83">
        <f>IF(C6=D6,"-",D6-C6)</f>
        <v>31562</v>
      </c>
      <c r="F6" s="103">
        <f>IF(C6=0,"-",D6/C6)</f>
        <v>1.0029999999999999</v>
      </c>
    </row>
    <row r="7" spans="1:6" ht="33" customHeight="1" x14ac:dyDescent="0.2">
      <c r="A7" s="48" t="s">
        <v>1</v>
      </c>
      <c r="B7" s="14" t="s">
        <v>117</v>
      </c>
      <c r="C7" s="31">
        <f>IFERROR(VLOOKUP(A7,[4]Śląski!$A$7:$D$100,4,FALSE),0)</f>
        <v>1214388</v>
      </c>
      <c r="D7" s="13">
        <f>C7</f>
        <v>1214388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f>IFERROR(VLOOKUP(A8,[4]Śląski!$A$7:$D$100,4,FALSE),0)</f>
        <v>753998</v>
      </c>
      <c r="D8" s="13">
        <f>C8</f>
        <v>753998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f>IFERROR(VLOOKUP(A9,[4]Śląski!$A$7:$D$100,4,FALSE),0)</f>
        <v>4563615</v>
      </c>
      <c r="D9" s="13">
        <f>C9+31562</f>
        <v>4595177</v>
      </c>
      <c r="E9" s="38">
        <f t="shared" si="0"/>
        <v>31562</v>
      </c>
      <c r="F9" s="39">
        <f t="shared" si="1"/>
        <v>1.0068999999999999</v>
      </c>
    </row>
    <row r="10" spans="1:6" ht="31.5" customHeight="1" x14ac:dyDescent="0.2">
      <c r="A10" s="49" t="s">
        <v>55</v>
      </c>
      <c r="B10" s="45" t="s">
        <v>140</v>
      </c>
      <c r="C10" s="31">
        <f>IFERROR(VLOOKUP(A10,[4]Śląski!$A$7:$D$100,4,FALSE),0)</f>
        <v>449136</v>
      </c>
      <c r="D10" s="13">
        <f t="shared" ref="D10:D34" si="2">C10</f>
        <v>449136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f>IFERROR(VLOOKUP(A11,[4]Śląski!$A$7:$D$100,4,FALSE),0)</f>
        <v>405637</v>
      </c>
      <c r="D11" s="13">
        <f t="shared" si="2"/>
        <v>405637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f>IFERROR(VLOOKUP(A12,[4]Śląski!$A$7:$D$100,4,FALSE),0)</f>
        <v>169299</v>
      </c>
      <c r="D12" s="13">
        <f t="shared" si="2"/>
        <v>169299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f>IFERROR(VLOOKUP(A13,[4]Śląski!$A$7:$D$100,4,FALSE),0)</f>
        <v>74143</v>
      </c>
      <c r="D13" s="13">
        <f t="shared" si="2"/>
        <v>74143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f>IFERROR(VLOOKUP(A14,[4]Śląski!$A$7:$D$100,4,FALSE),0)</f>
        <v>334521</v>
      </c>
      <c r="D14" s="13">
        <f t="shared" si="2"/>
        <v>334521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f>IFERROR(VLOOKUP(A15,[4]Śląski!$A$7:$D$100,4,FALSE),0)</f>
        <v>275782</v>
      </c>
      <c r="D15" s="13">
        <f t="shared" si="2"/>
        <v>275782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f>IFERROR(VLOOKUP(A16,[4]Śląski!$A$7:$D$100,4,FALSE),0)</f>
        <v>248587</v>
      </c>
      <c r="D16" s="13">
        <f t="shared" si="2"/>
        <v>248587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f>IFERROR(VLOOKUP(A17,[4]Śląski!$A$7:$D$100,4,FALSE),0)</f>
        <v>81905</v>
      </c>
      <c r="D17" s="13">
        <f t="shared" si="2"/>
        <v>81905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f>IFERROR(VLOOKUP(A18,[4]Śląski!$A$7:$D$100,4,FALSE),0)</f>
        <v>196654</v>
      </c>
      <c r="D18" s="13">
        <f t="shared" si="2"/>
        <v>196654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f>IFERROR(VLOOKUP(A19,[4]Śląski!$A$7:$D$100,4,FALSE),0)</f>
        <v>73300</v>
      </c>
      <c r="D19" s="13">
        <f t="shared" si="2"/>
        <v>73300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f>IFERROR(VLOOKUP(A20,[4]Śląski!$A$7:$D$100,4,FALSE),0)</f>
        <v>4794</v>
      </c>
      <c r="D20" s="13">
        <f t="shared" si="2"/>
        <v>4794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f>IFERROR(VLOOKUP(A21,[4]Śląski!$A$7:$D$100,4,FALSE),0)</f>
        <v>32975</v>
      </c>
      <c r="D21" s="13">
        <f t="shared" si="2"/>
        <v>32975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f>IFERROR(VLOOKUP(A22,[4]Śląski!$A$7:$D$100,4,FALSE),0)</f>
        <v>243543</v>
      </c>
      <c r="D22" s="13">
        <f t="shared" si="2"/>
        <v>243543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f>IFERROR(VLOOKUP(A23,[4]Śląski!$A$7:$D$100,4,FALSE),0)</f>
        <v>149437</v>
      </c>
      <c r="D23" s="13">
        <f t="shared" si="2"/>
        <v>149437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f>IFERROR(VLOOKUP(A24,[4]Śląski!$A$7:$D$100,4,FALSE),0)</f>
        <v>1047671</v>
      </c>
      <c r="D24" s="31">
        <f>SUM(D25:D27)</f>
        <v>1047671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f>IFERROR(VLOOKUP(A25,[4]Śląski!$A$7:$D$100,4,FALSE),0)</f>
        <v>1045774</v>
      </c>
      <c r="D25" s="13">
        <f t="shared" si="2"/>
        <v>1045774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f>IFERROR(VLOOKUP(A26,[4]Śląski!$A$7:$D$100,4,FALSE),0)</f>
        <v>1029</v>
      </c>
      <c r="D26" s="13">
        <f t="shared" si="2"/>
        <v>1029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f>IFERROR(VLOOKUP(A27,[4]Śląski!$A$7:$D$100,4,FALSE),0)</f>
        <v>868</v>
      </c>
      <c r="D27" s="13">
        <f t="shared" si="2"/>
        <v>868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f>IFERROR(VLOOKUP(A28,[4]Śląski!$A$7:$D$100,4,FALSE),0)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f>IFERROR(VLOOKUP(A29,[4]Śląski!$A$7:$D$100,4,FALSE),0)</f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f>IFERROR(VLOOKUP(A30,[4]Śląski!$A$7:$D$100,4,FALSE),0)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f>IFERROR(VLOOKUP(A31,[4]Śląski!$A$7:$D$100,4,FALSE),0)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f>IFERROR(VLOOKUP(A32,[4]Śląski!$A$7:$D$100,4,FALSE),0)</f>
        <v>21790</v>
      </c>
      <c r="D32" s="13">
        <f t="shared" si="2"/>
        <v>21790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f>IFERROR(VLOOKUP(A33,[4]Śląski!$A$7:$D$100,4,FALSE),0)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f>IFERROR(VLOOKUP(A34,[4]Śląski!$A$7:$D$100,4,FALSE),0)</f>
        <v>7709</v>
      </c>
      <c r="D34" s="13">
        <f t="shared" si="2"/>
        <v>7709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f>IFERROR(VLOOKUP(A35,[4]Śląski!$A$7:$D$100,4,FALSE),0)</f>
        <v>228</v>
      </c>
      <c r="D35" s="37">
        <f>C35</f>
        <v>228</v>
      </c>
      <c r="E35" s="7" t="str">
        <f t="shared" si="0"/>
        <v>-</v>
      </c>
      <c r="F35" s="40">
        <f t="shared" si="1"/>
        <v>1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f>IFERROR(VLOOKUP(A36,[4]Śląski!$A$7:$D$100,4,FALSE),0)</f>
        <v>206284</v>
      </c>
      <c r="D36" s="37">
        <f>C36</f>
        <v>206284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f>IFERROR(VLOOKUP(A37,[4]Śląski!$A$7:$D$100,4,FALSE),0)</f>
        <v>70785</v>
      </c>
      <c r="D37" s="37">
        <f>C37</f>
        <v>70785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1527451</v>
      </c>
      <c r="D38" s="32">
        <f>D11+D13+D24+D30</f>
        <v>1527451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66153</v>
      </c>
      <c r="D39" s="87">
        <f>D40+D41+D42+D50+D52+D58+D59+D57</f>
        <v>66153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f>IFERROR(VLOOKUP(A40,[4]Śląski!$A$7:$D$100,4,FALSE),0)</f>
        <v>2584</v>
      </c>
      <c r="D40" s="33">
        <f>C40</f>
        <v>2584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f>IFERROR(VLOOKUP(A41,[4]Śląski!$A$7:$D$100,4,FALSE),0)</f>
        <v>8307</v>
      </c>
      <c r="D41" s="33">
        <f t="shared" ref="D41:D59" si="3">C41</f>
        <v>8307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607</v>
      </c>
      <c r="D42" s="33">
        <f>D43+D45+D46+D47+D48+D49</f>
        <v>607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f>IFERROR(VLOOKUP(A43,[4]Śląski!$A$7:$D$100,4,FALSE),0)</f>
        <v>122</v>
      </c>
      <c r="D43" s="33">
        <f t="shared" si="3"/>
        <v>122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f>IFERROR(VLOOKUP(A44,[4]Śląski!$A$7:$D$100,4,FALSE),0)</f>
        <v>122</v>
      </c>
      <c r="D44" s="33">
        <f t="shared" si="3"/>
        <v>122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f>IFERROR(VLOOKUP(A45,[4]Śląski!$A$7:$D$100,4,FALSE),0)</f>
        <v>10</v>
      </c>
      <c r="D45" s="33">
        <f t="shared" si="3"/>
        <v>10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f>IFERROR(VLOOKUP(A46,[4]Śląski!$A$7:$D$100,4,FALSE),0)</f>
        <v>4</v>
      </c>
      <c r="D46" s="33">
        <f t="shared" si="3"/>
        <v>4</v>
      </c>
      <c r="E46" s="38" t="str">
        <f t="shared" si="0"/>
        <v>-</v>
      </c>
      <c r="F46" s="39">
        <f t="shared" si="1"/>
        <v>1</v>
      </c>
    </row>
    <row r="47" spans="1:6" ht="28.5" customHeight="1" x14ac:dyDescent="0.2">
      <c r="A47" s="53" t="s">
        <v>42</v>
      </c>
      <c r="B47" s="46" t="s">
        <v>35</v>
      </c>
      <c r="C47" s="31">
        <f>IFERROR(VLOOKUP(A47,[4]Śląski!$A$7:$D$100,4,FALSE),0)</f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f>IFERROR(VLOOKUP(A48,[4]Śląski!$A$7:$D$100,4,FALSE),0)</f>
        <v>450</v>
      </c>
      <c r="D48" s="33">
        <f t="shared" si="3"/>
        <v>450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f>IFERROR(VLOOKUP(A49,[4]Śląski!$A$7:$D$100,4,FALSE),0)</f>
        <v>21</v>
      </c>
      <c r="D49" s="33">
        <f t="shared" si="3"/>
        <v>21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f>IFERROR(VLOOKUP(A50,[4]Śląski!$A$7:$D$100,4,FALSE),0)</f>
        <v>39940</v>
      </c>
      <c r="D50" s="33">
        <f t="shared" si="3"/>
        <v>39940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f>IFERROR(VLOOKUP(A51,[4]Śląski!$A$7:$D$100,4,FALSE),0)</f>
        <v>120</v>
      </c>
      <c r="D51" s="33">
        <f t="shared" si="3"/>
        <v>120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8969</v>
      </c>
      <c r="D52" s="29">
        <f>D53+D54+D55+D56</f>
        <v>8969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f>IFERROR(VLOOKUP(A53,[4]Śląski!$A$7:$D$100,4,FALSE),0)</f>
        <v>6858</v>
      </c>
      <c r="D53" s="33">
        <f t="shared" si="3"/>
        <v>6858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f>IFERROR(VLOOKUP(A54,[4]Śląski!$A$7:$D$100,4,FALSE),0)</f>
        <v>979</v>
      </c>
      <c r="D54" s="33">
        <f t="shared" si="3"/>
        <v>979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f>IFERROR(VLOOKUP(A55,[4]Śląski!$A$7:$D$100,4,FALSE),0)</f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f>IFERROR(VLOOKUP(A56,[4]Śląski!$A$7:$D$100,4,FALSE),0)</f>
        <v>1132</v>
      </c>
      <c r="D56" s="33">
        <f t="shared" si="3"/>
        <v>1132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f>IFERROR(VLOOKUP(A57,[4]Śląski!$A$7:$D$100,4,FALSE),0)</f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f>IFERROR(VLOOKUP(A58,[4]Śląski!$A$7:$D$100,4,FALSE),0)</f>
        <v>5444</v>
      </c>
      <c r="D58" s="33">
        <f t="shared" si="3"/>
        <v>5444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f>IFERROR(VLOOKUP(A59,[4]Śląski!$A$7:$D$100,4,FALSE),0)</f>
        <v>302</v>
      </c>
      <c r="D59" s="33">
        <f t="shared" si="3"/>
        <v>302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2968</v>
      </c>
      <c r="D60" s="107">
        <f>D61+D62+D63+D64</f>
        <v>10907</v>
      </c>
      <c r="E60" s="83">
        <f t="shared" si="0"/>
        <v>7939</v>
      </c>
      <c r="F60" s="108">
        <f t="shared" si="1"/>
        <v>3.6749000000000001</v>
      </c>
    </row>
    <row r="61" spans="1:6" ht="42" customHeight="1" x14ac:dyDescent="0.2">
      <c r="A61" s="51" t="s">
        <v>100</v>
      </c>
      <c r="B61" s="18" t="s">
        <v>113</v>
      </c>
      <c r="C61" s="31">
        <f>IFERROR(VLOOKUP(A61,[4]Śląski!$A$7:$D$100,4,FALSE),0)</f>
        <v>280</v>
      </c>
      <c r="D61" s="33">
        <f>C61-30</f>
        <v>250</v>
      </c>
      <c r="E61" s="29">
        <f t="shared" si="0"/>
        <v>-30</v>
      </c>
      <c r="F61" s="39">
        <f t="shared" si="1"/>
        <v>0.89290000000000003</v>
      </c>
    </row>
    <row r="62" spans="1:6" ht="31.5" customHeight="1" x14ac:dyDescent="0.2">
      <c r="A62" s="51" t="s">
        <v>29</v>
      </c>
      <c r="B62" s="18" t="s">
        <v>54</v>
      </c>
      <c r="C62" s="31">
        <f>IFERROR(VLOOKUP(A62,[4]Śląski!$A$7:$D$100,4,FALSE),0)</f>
        <v>1828</v>
      </c>
      <c r="D62" s="33">
        <f>C62+3829</f>
        <v>5657</v>
      </c>
      <c r="E62" s="29">
        <f t="shared" si="0"/>
        <v>3829</v>
      </c>
      <c r="F62" s="39">
        <f t="shared" si="1"/>
        <v>3.0945999999999998</v>
      </c>
    </row>
    <row r="63" spans="1:6" ht="31.5" customHeight="1" x14ac:dyDescent="0.2">
      <c r="A63" s="51" t="s">
        <v>30</v>
      </c>
      <c r="B63" s="18" t="s">
        <v>102</v>
      </c>
      <c r="C63" s="31">
        <f>IFERROR(VLOOKUP(A63,[4]Śląski!$A$7:$D$100,4,FALSE),0)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f>IFERROR(VLOOKUP(A64,[4]Śląski!$A$7:$D$100,4,FALSE),0)</f>
        <v>860</v>
      </c>
      <c r="D64" s="33">
        <f>C64+4140</f>
        <v>5000</v>
      </c>
      <c r="E64" s="29">
        <f t="shared" si="0"/>
        <v>4140</v>
      </c>
      <c r="F64" s="39">
        <f t="shared" si="1"/>
        <v>5.8140000000000001</v>
      </c>
    </row>
    <row r="65" spans="1:6" ht="32.25" customHeight="1" x14ac:dyDescent="0.2">
      <c r="A65" s="94" t="s">
        <v>135</v>
      </c>
      <c r="B65" s="95" t="s">
        <v>114</v>
      </c>
      <c r="C65" s="107">
        <f>IFERROR(VLOOKUP(A65,[4]Śląski!$A$7:$D$100,4,FALSE),0)</f>
        <v>1355</v>
      </c>
      <c r="D65" s="107">
        <f>C65+1596</f>
        <v>2951</v>
      </c>
      <c r="E65" s="83">
        <f t="shared" si="0"/>
        <v>1596</v>
      </c>
      <c r="F65" s="108">
        <f t="shared" si="1"/>
        <v>2.1779000000000002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7" orientation="portrait" r:id="rId1"/>
  <headerFooter alignWithMargins="0">
    <oddFooter>&amp;R&amp;20&amp;P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:F65"/>
  <sheetViews>
    <sheetView showGridLines="0" view="pageBreakPreview" zoomScale="55" zoomScaleNormal="70" zoomScaleSheetLayoutView="55" workbookViewId="0">
      <pane ySplit="6" topLeftCell="A7" activePane="bottomLeft" state="frozen"/>
      <selection activeCell="D6" sqref="D6:D93"/>
      <selection pane="bottomLeft" activeCell="J9" sqref="J9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1" t="str">
        <f>NFZ!A1</f>
        <v>ZMIANA PLANU FINANSOWEGO NARODOWEGO FUNDUSZU ZDROWIA NA 2017 ROK Z DNIA 8 GRUDNIA 2017 R.</v>
      </c>
      <c r="B1" s="111"/>
      <c r="C1" s="111"/>
      <c r="D1" s="111"/>
      <c r="E1" s="111"/>
      <c r="F1" s="111"/>
    </row>
    <row r="2" spans="1:6" s="22" customFormat="1" ht="33" customHeight="1" x14ac:dyDescent="0.2">
      <c r="A2" s="67" t="s">
        <v>72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2530486</v>
      </c>
      <c r="D6" s="102">
        <f>D7+D8+D9+D14+D15+D16+D17+D18+D19+D20+D21+D22+D23+D24+D28+D29+D31+D32+D33+D34</f>
        <v>2539202</v>
      </c>
      <c r="E6" s="83">
        <f>IF(C6=D6,"-",D6-C6)</f>
        <v>8716</v>
      </c>
      <c r="F6" s="103">
        <f>IF(C6=0,"-",D6/C6)</f>
        <v>1.0029999999999999</v>
      </c>
    </row>
    <row r="7" spans="1:6" ht="33" customHeight="1" x14ac:dyDescent="0.2">
      <c r="A7" s="48" t="s">
        <v>1</v>
      </c>
      <c r="B7" s="14" t="s">
        <v>117</v>
      </c>
      <c r="C7" s="31">
        <f>IFERROR(VLOOKUP(A7,[4]Świętokrzyski!$A$7:$D$100,4,FALSE),0)</f>
        <v>315973</v>
      </c>
      <c r="D7" s="13">
        <f>C7</f>
        <v>315973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f>IFERROR(VLOOKUP(A8,[4]Świętokrzyski!$A$7:$D$100,4,FALSE),0)</f>
        <v>168659</v>
      </c>
      <c r="D8" s="13">
        <f>C8</f>
        <v>168659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f>IFERROR(VLOOKUP(A9,[4]Świętokrzyski!$A$7:$D$100,4,FALSE),0)</f>
        <v>1300128</v>
      </c>
      <c r="D9" s="13">
        <f>C9+8716</f>
        <v>1308844</v>
      </c>
      <c r="E9" s="38">
        <f t="shared" si="0"/>
        <v>8716</v>
      </c>
      <c r="F9" s="39">
        <f t="shared" si="1"/>
        <v>1.0066999999999999</v>
      </c>
    </row>
    <row r="10" spans="1:6" ht="31.5" customHeight="1" x14ac:dyDescent="0.2">
      <c r="A10" s="49" t="s">
        <v>55</v>
      </c>
      <c r="B10" s="45" t="s">
        <v>140</v>
      </c>
      <c r="C10" s="31">
        <f>IFERROR(VLOOKUP(A10,[4]Świętokrzyski!$A$7:$D$100,4,FALSE),0)</f>
        <v>114023</v>
      </c>
      <c r="D10" s="13">
        <f t="shared" ref="D10:D34" si="2">C10</f>
        <v>114023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f>IFERROR(VLOOKUP(A11,[4]Świętokrzyski!$A$7:$D$100,4,FALSE),0)</f>
        <v>99736</v>
      </c>
      <c r="D11" s="13">
        <f t="shared" si="2"/>
        <v>99736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f>IFERROR(VLOOKUP(A12,[4]Świętokrzyski!$A$7:$D$100,4,FALSE),0)</f>
        <v>55998</v>
      </c>
      <c r="D12" s="13">
        <f t="shared" si="2"/>
        <v>55998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f>IFERROR(VLOOKUP(A13,[4]Świętokrzyski!$A$7:$D$100,4,FALSE),0)</f>
        <v>27471</v>
      </c>
      <c r="D13" s="13">
        <f t="shared" si="2"/>
        <v>27471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f>IFERROR(VLOOKUP(A14,[4]Świętokrzyski!$A$7:$D$100,4,FALSE),0)</f>
        <v>84246</v>
      </c>
      <c r="D14" s="13">
        <f t="shared" si="2"/>
        <v>84246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f>IFERROR(VLOOKUP(A15,[4]Świętokrzyski!$A$7:$D$100,4,FALSE),0)</f>
        <v>78656</v>
      </c>
      <c r="D15" s="13">
        <f t="shared" si="2"/>
        <v>78656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f>IFERROR(VLOOKUP(A16,[4]Świętokrzyski!$A$7:$D$100,4,FALSE),0)</f>
        <v>55311</v>
      </c>
      <c r="D16" s="13">
        <f t="shared" si="2"/>
        <v>55311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f>IFERROR(VLOOKUP(A17,[4]Świętokrzyski!$A$7:$D$100,4,FALSE),0)</f>
        <v>26578</v>
      </c>
      <c r="D17" s="13">
        <f t="shared" si="2"/>
        <v>26578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f>IFERROR(VLOOKUP(A18,[4]Świętokrzyski!$A$7:$D$100,4,FALSE),0)</f>
        <v>67365</v>
      </c>
      <c r="D18" s="13">
        <f t="shared" si="2"/>
        <v>67365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f>IFERROR(VLOOKUP(A19,[4]Świętokrzyski!$A$7:$D$100,4,FALSE),0)</f>
        <v>26084</v>
      </c>
      <c r="D19" s="13">
        <f t="shared" si="2"/>
        <v>26084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f>IFERROR(VLOOKUP(A20,[4]Świętokrzyski!$A$7:$D$100,4,FALSE),0)</f>
        <v>1650</v>
      </c>
      <c r="D20" s="13">
        <f t="shared" si="2"/>
        <v>1650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f>IFERROR(VLOOKUP(A21,[4]Świętokrzyski!$A$7:$D$100,4,FALSE),0)</f>
        <v>6058</v>
      </c>
      <c r="D21" s="13">
        <f t="shared" si="2"/>
        <v>6058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f>IFERROR(VLOOKUP(A22,[4]Świętokrzyski!$A$7:$D$100,4,FALSE),0)</f>
        <v>57385</v>
      </c>
      <c r="D22" s="13">
        <f t="shared" si="2"/>
        <v>57385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f>IFERROR(VLOOKUP(A23,[4]Świętokrzyski!$A$7:$D$100,4,FALSE),0)</f>
        <v>34540</v>
      </c>
      <c r="D23" s="13">
        <f t="shared" si="2"/>
        <v>34540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f>IFERROR(VLOOKUP(A24,[4]Świętokrzyski!$A$7:$D$100,4,FALSE),0)</f>
        <v>267911</v>
      </c>
      <c r="D24" s="31">
        <f>SUM(D25:D27)</f>
        <v>267911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f>IFERROR(VLOOKUP(A25,[4]Świętokrzyski!$A$7:$D$100,4,FALSE),0)</f>
        <v>267071</v>
      </c>
      <c r="D25" s="13">
        <f t="shared" si="2"/>
        <v>267071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f>IFERROR(VLOOKUP(A26,[4]Świętokrzyski!$A$7:$D$100,4,FALSE),0)</f>
        <v>590</v>
      </c>
      <c r="D26" s="13">
        <f t="shared" si="2"/>
        <v>590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f>IFERROR(VLOOKUP(A27,[4]Świętokrzyski!$A$7:$D$100,4,FALSE),0)</f>
        <v>250</v>
      </c>
      <c r="D27" s="13">
        <f t="shared" si="2"/>
        <v>250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f>IFERROR(VLOOKUP(A28,[4]Świętokrzyski!$A$7:$D$100,4,FALSE),0)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f>IFERROR(VLOOKUP(A29,[4]Świętokrzyski!$A$7:$D$100,4,FALSE),0)</f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f>IFERROR(VLOOKUP(A30,[4]Świętokrzyski!$A$7:$D$100,4,FALSE),0)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f>IFERROR(VLOOKUP(A31,[4]Świętokrzyski!$A$7:$D$100,4,FALSE),0)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f>IFERROR(VLOOKUP(A32,[4]Świętokrzyski!$A$7:$D$100,4,FALSE),0)</f>
        <v>39413</v>
      </c>
      <c r="D32" s="13">
        <f t="shared" si="2"/>
        <v>39413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f>IFERROR(VLOOKUP(A33,[4]Świętokrzyski!$A$7:$D$100,4,FALSE),0)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f>IFERROR(VLOOKUP(A34,[4]Świętokrzyski!$A$7:$D$100,4,FALSE),0)</f>
        <v>529</v>
      </c>
      <c r="D34" s="13">
        <f t="shared" si="2"/>
        <v>529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f>IFERROR(VLOOKUP(A35,[4]Świętokrzyski!$A$7:$D$100,4,FALSE),0)</f>
        <v>500</v>
      </c>
      <c r="D35" s="37">
        <f>C35</f>
        <v>500</v>
      </c>
      <c r="E35" s="7" t="str">
        <f t="shared" si="0"/>
        <v>-</v>
      </c>
      <c r="F35" s="40">
        <f t="shared" si="1"/>
        <v>1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f>IFERROR(VLOOKUP(A36,[4]Świętokrzyski!$A$7:$D$100,4,FALSE),0)</f>
        <v>59032</v>
      </c>
      <c r="D36" s="37">
        <f>C36</f>
        <v>59032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f>IFERROR(VLOOKUP(A37,[4]Świętokrzyski!$A$7:$D$100,4,FALSE),0)</f>
        <v>19516</v>
      </c>
      <c r="D37" s="37">
        <f>C37</f>
        <v>19516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395118</v>
      </c>
      <c r="D38" s="32">
        <f>D11+D13+D24+D30</f>
        <v>395118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17329</v>
      </c>
      <c r="D39" s="87">
        <f>D40+D41+D42+D50+D52+D58+D59+D57</f>
        <v>17329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f>IFERROR(VLOOKUP(A40,[4]Świętokrzyski!$A$7:$D$100,4,FALSE),0)</f>
        <v>619</v>
      </c>
      <c r="D40" s="33">
        <f>C40</f>
        <v>619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f>IFERROR(VLOOKUP(A41,[4]Świętokrzyski!$A$7:$D$100,4,FALSE),0)</f>
        <v>2175</v>
      </c>
      <c r="D41" s="33">
        <f t="shared" ref="D41:D59" si="3">C41</f>
        <v>2175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61</v>
      </c>
      <c r="D42" s="33">
        <f>D43+D45+D46+D47+D48+D49</f>
        <v>61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f>IFERROR(VLOOKUP(A43,[4]Świętokrzyski!$A$7:$D$100,4,FALSE),0)</f>
        <v>7</v>
      </c>
      <c r="D43" s="33">
        <f t="shared" si="3"/>
        <v>7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f>IFERROR(VLOOKUP(A44,[4]Świętokrzyski!$A$7:$D$100,4,FALSE),0)</f>
        <v>7</v>
      </c>
      <c r="D44" s="33">
        <f t="shared" si="3"/>
        <v>7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f>IFERROR(VLOOKUP(A45,[4]Świętokrzyski!$A$7:$D$100,4,FALSE),0)</f>
        <v>17</v>
      </c>
      <c r="D45" s="33">
        <f t="shared" si="3"/>
        <v>17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f>IFERROR(VLOOKUP(A46,[4]Świętokrzyski!$A$7:$D$100,4,FALSE),0)</f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f>IFERROR(VLOOKUP(A47,[4]Świętokrzyski!$A$7:$D$100,4,FALSE),0)</f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f>IFERROR(VLOOKUP(A48,[4]Świętokrzyski!$A$7:$D$100,4,FALSE),0)</f>
        <v>20</v>
      </c>
      <c r="D48" s="33">
        <f t="shared" si="3"/>
        <v>20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f>IFERROR(VLOOKUP(A49,[4]Świętokrzyski!$A$7:$D$100,4,FALSE),0)</f>
        <v>17</v>
      </c>
      <c r="D49" s="33">
        <f t="shared" si="3"/>
        <v>17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f>IFERROR(VLOOKUP(A50,[4]Świętokrzyski!$A$7:$D$100,4,FALSE),0)</f>
        <v>11176</v>
      </c>
      <c r="D50" s="33">
        <f t="shared" si="3"/>
        <v>11176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f>IFERROR(VLOOKUP(A51,[4]Świętokrzyski!$A$7:$D$100,4,FALSE),0)</f>
        <v>27</v>
      </c>
      <c r="D51" s="33">
        <f t="shared" si="3"/>
        <v>27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2517</v>
      </c>
      <c r="D52" s="29">
        <f>D53+D54+D55+D56</f>
        <v>2517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f>IFERROR(VLOOKUP(A53,[4]Świętokrzyski!$A$7:$D$100,4,FALSE),0)</f>
        <v>1919</v>
      </c>
      <c r="D53" s="33">
        <f t="shared" si="3"/>
        <v>1919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f>IFERROR(VLOOKUP(A54,[4]Świętokrzyski!$A$7:$D$100,4,FALSE),0)</f>
        <v>275</v>
      </c>
      <c r="D54" s="33">
        <f t="shared" si="3"/>
        <v>275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f>IFERROR(VLOOKUP(A55,[4]Świętokrzyski!$A$7:$D$100,4,FALSE),0)</f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f>IFERROR(VLOOKUP(A56,[4]Świętokrzyski!$A$7:$D$100,4,FALSE),0)</f>
        <v>323</v>
      </c>
      <c r="D56" s="33">
        <f t="shared" si="3"/>
        <v>323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f>IFERROR(VLOOKUP(A57,[4]Świętokrzyski!$A$7:$D$100,4,FALSE),0)</f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f>IFERROR(VLOOKUP(A58,[4]Świętokrzyski!$A$7:$D$100,4,FALSE),0)</f>
        <v>600</v>
      </c>
      <c r="D58" s="33">
        <f t="shared" si="3"/>
        <v>600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f>IFERROR(VLOOKUP(A59,[4]Świętokrzyski!$A$7:$D$100,4,FALSE),0)</f>
        <v>181</v>
      </c>
      <c r="D59" s="33">
        <f t="shared" si="3"/>
        <v>181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10839</v>
      </c>
      <c r="D60" s="107">
        <f>D61+D62+D63+D64</f>
        <v>839</v>
      </c>
      <c r="E60" s="83">
        <f t="shared" si="0"/>
        <v>-10000</v>
      </c>
      <c r="F60" s="108">
        <f t="shared" si="1"/>
        <v>7.7399999999999997E-2</v>
      </c>
    </row>
    <row r="61" spans="1:6" ht="42" customHeight="1" x14ac:dyDescent="0.2">
      <c r="A61" s="51" t="s">
        <v>100</v>
      </c>
      <c r="B61" s="18" t="s">
        <v>113</v>
      </c>
      <c r="C61" s="31">
        <f>IFERROR(VLOOKUP(A61,[4]Świętokrzyski!$A$7:$D$100,4,FALSE),0)</f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f>IFERROR(VLOOKUP(A62,[4]Świętokrzyski!$A$7:$D$100,4,FALSE),0)</f>
        <v>10239</v>
      </c>
      <c r="D62" s="33">
        <f>C62-10000</f>
        <v>239</v>
      </c>
      <c r="E62" s="29">
        <f t="shared" si="0"/>
        <v>-10000</v>
      </c>
      <c r="F62" s="39">
        <f t="shared" si="1"/>
        <v>2.3300000000000001E-2</v>
      </c>
    </row>
    <row r="63" spans="1:6" ht="31.5" customHeight="1" x14ac:dyDescent="0.2">
      <c r="A63" s="51" t="s">
        <v>30</v>
      </c>
      <c r="B63" s="18" t="s">
        <v>102</v>
      </c>
      <c r="C63" s="31">
        <f>IFERROR(VLOOKUP(A63,[4]Świętokrzyski!$A$7:$D$100,4,FALSE),0)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f>IFERROR(VLOOKUP(A64,[4]Świętokrzyski!$A$7:$D$100,4,FALSE),0)</f>
        <v>600</v>
      </c>
      <c r="D64" s="33">
        <f>C64</f>
        <v>600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f>IFERROR(VLOOKUP(A65,[4]Świętokrzyski!$A$7:$D$100,4,FALSE),0)</f>
        <v>3885</v>
      </c>
      <c r="D65" s="107">
        <f>C65-3385</f>
        <v>500</v>
      </c>
      <c r="E65" s="83">
        <f t="shared" si="0"/>
        <v>-3385</v>
      </c>
      <c r="F65" s="108">
        <f t="shared" si="1"/>
        <v>0.12870000000000001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7" orientation="portrait" r:id="rId1"/>
  <headerFooter alignWithMargins="0">
    <oddFooter>&amp;R&amp;20&amp;P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D6" sqref="D6:D93"/>
      <selection pane="topRight" activeCell="D6" sqref="D6:D93"/>
      <selection pane="bottomLeft" activeCell="D6" sqref="D6:D93"/>
      <selection pane="bottomRight" activeCell="D6" sqref="D6:D93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1" t="str">
        <f>NFZ!A1</f>
        <v>ZMIANA PLANU FINANSOWEGO NARODOWEGO FUNDUSZU ZDROWIA NA 2017 ROK Z DNIA 8 GRUDNIA 2017 R.</v>
      </c>
      <c r="B1" s="111"/>
      <c r="C1" s="111"/>
      <c r="D1" s="111"/>
      <c r="E1" s="111"/>
      <c r="F1" s="111"/>
    </row>
    <row r="2" spans="1:6" s="22" customFormat="1" ht="33" customHeight="1" x14ac:dyDescent="0.2">
      <c r="A2" s="67" t="s">
        <v>73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2649712</v>
      </c>
      <c r="D6" s="102">
        <f>D7+D8+D9+D14+D15+D16+D17+D18+D19+D20+D21+D22+D23+D24+D28+D29+D31+D32+D33+D34</f>
        <v>2658823</v>
      </c>
      <c r="E6" s="83">
        <f>IF(C6=D6,"-",D6-C6)</f>
        <v>9111</v>
      </c>
      <c r="F6" s="103">
        <f>IF(C6=0,"-",D6/C6)</f>
        <v>1.0029999999999999</v>
      </c>
    </row>
    <row r="7" spans="1:6" ht="33" customHeight="1" x14ac:dyDescent="0.2">
      <c r="A7" s="48" t="s">
        <v>1</v>
      </c>
      <c r="B7" s="14" t="s">
        <v>117</v>
      </c>
      <c r="C7" s="31">
        <f>IFERROR(VLOOKUP(A7,[4]WarmińskoMazurski!$A$7:$D$100,4,FALSE),0)</f>
        <v>368178</v>
      </c>
      <c r="D7" s="13">
        <f>C7</f>
        <v>368178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f>IFERROR(VLOOKUP(A8,[4]WarmińskoMazurski!$A$7:$D$100,4,FALSE),0)</f>
        <v>202098</v>
      </c>
      <c r="D8" s="13">
        <f>C8</f>
        <v>202098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f>IFERROR(VLOOKUP(A9,[4]WarmińskoMazurski!$A$7:$D$100,4,FALSE),0)</f>
        <v>1317750</v>
      </c>
      <c r="D9" s="13">
        <f>C9+9111</f>
        <v>1326861</v>
      </c>
      <c r="E9" s="38">
        <f t="shared" si="0"/>
        <v>9111</v>
      </c>
      <c r="F9" s="39">
        <f t="shared" si="1"/>
        <v>1.0068999999999999</v>
      </c>
    </row>
    <row r="10" spans="1:6" ht="31.5" customHeight="1" x14ac:dyDescent="0.2">
      <c r="A10" s="49" t="s">
        <v>55</v>
      </c>
      <c r="B10" s="45" t="s">
        <v>140</v>
      </c>
      <c r="C10" s="31">
        <f>IFERROR(VLOOKUP(A10,[4]WarmińskoMazurski!$A$7:$D$100,4,FALSE),0)</f>
        <v>107594</v>
      </c>
      <c r="D10" s="13">
        <f t="shared" ref="D10:D34" si="2">C10</f>
        <v>107594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f>IFERROR(VLOOKUP(A11,[4]WarmińskoMazurski!$A$7:$D$100,4,FALSE),0)</f>
        <v>98075</v>
      </c>
      <c r="D11" s="13">
        <f t="shared" si="2"/>
        <v>98075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f>IFERROR(VLOOKUP(A12,[4]WarmińskoMazurski!$A$7:$D$100,4,FALSE),0)</f>
        <v>44043</v>
      </c>
      <c r="D12" s="13">
        <f t="shared" si="2"/>
        <v>44043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f>IFERROR(VLOOKUP(A13,[4]WarmińskoMazurski!$A$7:$D$100,4,FALSE),0)</f>
        <v>20777</v>
      </c>
      <c r="D13" s="13">
        <f t="shared" si="2"/>
        <v>20777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f>IFERROR(VLOOKUP(A14,[4]WarmińskoMazurski!$A$7:$D$100,4,FALSE),0)</f>
        <v>98627</v>
      </c>
      <c r="D14" s="13">
        <f t="shared" si="2"/>
        <v>98627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f>IFERROR(VLOOKUP(A15,[4]WarmińskoMazurski!$A$7:$D$100,4,FALSE),0)</f>
        <v>76730</v>
      </c>
      <c r="D15" s="13">
        <f t="shared" si="2"/>
        <v>76730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f>IFERROR(VLOOKUP(A16,[4]WarmińskoMazurski!$A$7:$D$100,4,FALSE),0)</f>
        <v>43307</v>
      </c>
      <c r="D16" s="13">
        <f t="shared" si="2"/>
        <v>43307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f>IFERROR(VLOOKUP(A17,[4]WarmińskoMazurski!$A$7:$D$100,4,FALSE),0)</f>
        <v>22078</v>
      </c>
      <c r="D17" s="13">
        <f t="shared" si="2"/>
        <v>22078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f>IFERROR(VLOOKUP(A18,[4]WarmińskoMazurski!$A$7:$D$100,4,FALSE),0)</f>
        <v>83799</v>
      </c>
      <c r="D18" s="13">
        <f t="shared" si="2"/>
        <v>83799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f>IFERROR(VLOOKUP(A19,[4]WarmińskoMazurski!$A$7:$D$100,4,FALSE),0)</f>
        <v>21202</v>
      </c>
      <c r="D19" s="13">
        <f t="shared" si="2"/>
        <v>21202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f>IFERROR(VLOOKUP(A20,[4]WarmińskoMazurski!$A$7:$D$100,4,FALSE),0)</f>
        <v>2961</v>
      </c>
      <c r="D20" s="13">
        <f t="shared" si="2"/>
        <v>2961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f>IFERROR(VLOOKUP(A21,[4]WarmińskoMazurski!$A$7:$D$100,4,FALSE),0)</f>
        <v>6380</v>
      </c>
      <c r="D21" s="13">
        <f t="shared" si="2"/>
        <v>6380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f>IFERROR(VLOOKUP(A22,[4]WarmińskoMazurski!$A$7:$D$100,4,FALSE),0)</f>
        <v>74152</v>
      </c>
      <c r="D22" s="13">
        <f t="shared" si="2"/>
        <v>74152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f>IFERROR(VLOOKUP(A23,[4]WarmińskoMazurski!$A$7:$D$100,4,FALSE),0)</f>
        <v>35008</v>
      </c>
      <c r="D23" s="13">
        <f t="shared" si="2"/>
        <v>35008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f>IFERROR(VLOOKUP(A24,[4]WarmińskoMazurski!$A$7:$D$100,4,FALSE),0)</f>
        <v>284974</v>
      </c>
      <c r="D24" s="31">
        <f>SUM(D25:D27)</f>
        <v>284974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f>IFERROR(VLOOKUP(A25,[4]WarmińskoMazurski!$A$7:$D$100,4,FALSE),0)</f>
        <v>284304</v>
      </c>
      <c r="D25" s="13">
        <f t="shared" si="2"/>
        <v>284304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f>IFERROR(VLOOKUP(A26,[4]WarmińskoMazurski!$A$7:$D$100,4,FALSE),0)</f>
        <v>520</v>
      </c>
      <c r="D26" s="13">
        <f t="shared" si="2"/>
        <v>520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f>IFERROR(VLOOKUP(A27,[4]WarmińskoMazurski!$A$7:$D$100,4,FALSE),0)</f>
        <v>150</v>
      </c>
      <c r="D27" s="13">
        <f t="shared" si="2"/>
        <v>150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f>IFERROR(VLOOKUP(A28,[4]WarmińskoMazurski!$A$7:$D$100,4,FALSE),0)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f>IFERROR(VLOOKUP(A29,[4]WarmińskoMazurski!$A$7:$D$100,4,FALSE),0)</f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f>IFERROR(VLOOKUP(A30,[4]WarmińskoMazurski!$A$7:$D$100,4,FALSE),0)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f>IFERROR(VLOOKUP(A31,[4]WarmińskoMazurski!$A$7:$D$100,4,FALSE),0)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f>IFERROR(VLOOKUP(A32,[4]WarmińskoMazurski!$A$7:$D$100,4,FALSE),0)</f>
        <v>11968</v>
      </c>
      <c r="D32" s="13">
        <f t="shared" si="2"/>
        <v>11968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f>IFERROR(VLOOKUP(A33,[4]WarmińskoMazurski!$A$7:$D$100,4,FALSE),0)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f>IFERROR(VLOOKUP(A34,[4]WarmińskoMazurski!$A$7:$D$100,4,FALSE),0)</f>
        <v>500</v>
      </c>
      <c r="D34" s="13">
        <f t="shared" si="2"/>
        <v>500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f>IFERROR(VLOOKUP(A35,[4]WarmińskoMazurski!$A$7:$D$100,4,FALSE),0)</f>
        <v>0</v>
      </c>
      <c r="D35" s="37">
        <f>C35</f>
        <v>0</v>
      </c>
      <c r="E35" s="7" t="str">
        <f t="shared" si="0"/>
        <v>-</v>
      </c>
      <c r="F35" s="40" t="str">
        <f t="shared" si="1"/>
        <v>-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f>IFERROR(VLOOKUP(A36,[4]WarmińskoMazurski!$A$7:$D$100,4,FALSE),0)</f>
        <v>95131</v>
      </c>
      <c r="D36" s="37">
        <f>C36</f>
        <v>95131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f>IFERROR(VLOOKUP(A37,[4]WarmińskoMazurski!$A$7:$D$100,4,FALSE),0)</f>
        <v>19324</v>
      </c>
      <c r="D37" s="37">
        <f>C37</f>
        <v>19324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403826</v>
      </c>
      <c r="D38" s="32">
        <f>D11+D13+D24+D30</f>
        <v>403826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19510</v>
      </c>
      <c r="D39" s="87">
        <f>D40+D41+D42+D50+D52+D58+D59+D57</f>
        <v>19510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f>IFERROR(VLOOKUP(A40,[4]WarmińskoMazurski!$A$7:$D$100,4,FALSE),0)</f>
        <v>605</v>
      </c>
      <c r="D40" s="33">
        <f>C40</f>
        <v>605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f>IFERROR(VLOOKUP(A41,[4]WarmińskoMazurski!$A$7:$D$100,4,FALSE),0)</f>
        <v>2345</v>
      </c>
      <c r="D41" s="33">
        <f t="shared" ref="D41:D59" si="3">C41</f>
        <v>2345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136</v>
      </c>
      <c r="D42" s="33">
        <f>D43+D45+D46+D47+D48+D49</f>
        <v>136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f>IFERROR(VLOOKUP(A43,[4]WarmińskoMazurski!$A$7:$D$100,4,FALSE),0)</f>
        <v>30</v>
      </c>
      <c r="D43" s="33">
        <f t="shared" si="3"/>
        <v>30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f>IFERROR(VLOOKUP(A44,[4]WarmińskoMazurski!$A$7:$D$100,4,FALSE),0)</f>
        <v>27</v>
      </c>
      <c r="D44" s="33">
        <f t="shared" si="3"/>
        <v>27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f>IFERROR(VLOOKUP(A45,[4]WarmińskoMazurski!$A$7:$D$100,4,FALSE),0)</f>
        <v>9</v>
      </c>
      <c r="D45" s="33">
        <f t="shared" si="3"/>
        <v>9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f>IFERROR(VLOOKUP(A46,[4]WarmińskoMazurski!$A$7:$D$100,4,FALSE),0)</f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f>IFERROR(VLOOKUP(A47,[4]WarmińskoMazurski!$A$7:$D$100,4,FALSE),0)</f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f>IFERROR(VLOOKUP(A48,[4]WarmińskoMazurski!$A$7:$D$100,4,FALSE),0)</f>
        <v>94</v>
      </c>
      <c r="D48" s="33">
        <f t="shared" si="3"/>
        <v>94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f>IFERROR(VLOOKUP(A49,[4]WarmińskoMazurski!$A$7:$D$100,4,FALSE),0)</f>
        <v>3</v>
      </c>
      <c r="D49" s="33">
        <f t="shared" si="3"/>
        <v>3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f>IFERROR(VLOOKUP(A50,[4]WarmińskoMazurski!$A$7:$D$100,4,FALSE),0)</f>
        <v>11662</v>
      </c>
      <c r="D50" s="33">
        <f t="shared" si="3"/>
        <v>11662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f>IFERROR(VLOOKUP(A51,[4]WarmińskoMazurski!$A$7:$D$100,4,FALSE),0)</f>
        <v>30</v>
      </c>
      <c r="D51" s="33">
        <f t="shared" si="3"/>
        <v>30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2617</v>
      </c>
      <c r="D52" s="29">
        <f>D53+D54+D55+D56</f>
        <v>2617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f>IFERROR(VLOOKUP(A53,[4]WarmińskoMazurski!$A$7:$D$100,4,FALSE),0)</f>
        <v>2003</v>
      </c>
      <c r="D53" s="33">
        <f t="shared" si="3"/>
        <v>2003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f>IFERROR(VLOOKUP(A54,[4]WarmińskoMazurski!$A$7:$D$100,4,FALSE),0)</f>
        <v>285</v>
      </c>
      <c r="D54" s="33">
        <f t="shared" si="3"/>
        <v>285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f>IFERROR(VLOOKUP(A55,[4]WarmińskoMazurski!$A$7:$D$100,4,FALSE),0)</f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f>IFERROR(VLOOKUP(A56,[4]WarmińskoMazurski!$A$7:$D$100,4,FALSE),0)</f>
        <v>329</v>
      </c>
      <c r="D56" s="33">
        <f t="shared" si="3"/>
        <v>329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f>IFERROR(VLOOKUP(A57,[4]WarmińskoMazurski!$A$7:$D$100,4,FALSE),0)</f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f>IFERROR(VLOOKUP(A58,[4]WarmińskoMazurski!$A$7:$D$100,4,FALSE),0)</f>
        <v>1980</v>
      </c>
      <c r="D58" s="33">
        <f t="shared" si="3"/>
        <v>1980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f>IFERROR(VLOOKUP(A59,[4]WarmińskoMazurski!$A$7:$D$100,4,FALSE),0)</f>
        <v>165</v>
      </c>
      <c r="D59" s="33">
        <f t="shared" si="3"/>
        <v>165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946</v>
      </c>
      <c r="D60" s="107">
        <f>D61+D62+D63+D64</f>
        <v>2637</v>
      </c>
      <c r="E60" s="83">
        <f t="shared" si="0"/>
        <v>1691</v>
      </c>
      <c r="F60" s="108">
        <f t="shared" si="1"/>
        <v>2.7875000000000001</v>
      </c>
    </row>
    <row r="61" spans="1:6" ht="42" customHeight="1" x14ac:dyDescent="0.2">
      <c r="A61" s="51" t="s">
        <v>100</v>
      </c>
      <c r="B61" s="18" t="s">
        <v>113</v>
      </c>
      <c r="C61" s="31">
        <f>IFERROR(VLOOKUP(A61,[4]WarmińskoMazurski!$A$7:$D$100,4,FALSE),0)</f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f>IFERROR(VLOOKUP(A62,[4]WarmińskoMazurski!$A$7:$D$100,4,FALSE),0)</f>
        <v>209</v>
      </c>
      <c r="D62" s="33">
        <f>C62+1691</f>
        <v>1900</v>
      </c>
      <c r="E62" s="29">
        <f t="shared" si="0"/>
        <v>1691</v>
      </c>
      <c r="F62" s="39">
        <f t="shared" si="1"/>
        <v>9.0908999999999995</v>
      </c>
    </row>
    <row r="63" spans="1:6" ht="31.5" customHeight="1" x14ac:dyDescent="0.2">
      <c r="A63" s="51" t="s">
        <v>30</v>
      </c>
      <c r="B63" s="18" t="s">
        <v>102</v>
      </c>
      <c r="C63" s="31">
        <f>IFERROR(VLOOKUP(A63,[4]WarmińskoMazurski!$A$7:$D$100,4,FALSE),0)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f>IFERROR(VLOOKUP(A64,[4]WarmińskoMazurski!$A$7:$D$100,4,FALSE),0)</f>
        <v>737</v>
      </c>
      <c r="D64" s="33">
        <f>C64</f>
        <v>737</v>
      </c>
      <c r="E64" s="29" t="str">
        <f t="shared" si="0"/>
        <v>-</v>
      </c>
      <c r="F64" s="39">
        <f t="shared" si="1"/>
        <v>1</v>
      </c>
    </row>
    <row r="65" spans="1:6" ht="32.25" customHeight="1" x14ac:dyDescent="0.2">
      <c r="A65" s="94" t="s">
        <v>135</v>
      </c>
      <c r="B65" s="95" t="s">
        <v>114</v>
      </c>
      <c r="C65" s="107">
        <f>IFERROR(VLOOKUP(A65,[4]WarmińskoMazurski!$A$7:$D$100,4,FALSE),0)</f>
        <v>45</v>
      </c>
      <c r="D65" s="107">
        <f>C65+252</f>
        <v>297</v>
      </c>
      <c r="E65" s="83">
        <f t="shared" si="0"/>
        <v>252</v>
      </c>
      <c r="F65" s="108">
        <f t="shared" si="1"/>
        <v>6.6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7" orientation="portrait" r:id="rId1"/>
  <headerFooter alignWithMargins="0">
    <oddFooter>&amp;R&amp;20&amp;P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D6" sqref="D6:D93"/>
      <selection pane="topRight" activeCell="D6" sqref="D6:D93"/>
      <selection pane="bottomLeft" activeCell="D6" sqref="D6:D93"/>
      <selection pane="bottomRight" activeCell="D6" sqref="D6:D93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1" t="str">
        <f>NFZ!A1</f>
        <v>ZMIANA PLANU FINANSOWEGO NARODOWEGO FUNDUSZU ZDROWIA NA 2017 ROK Z DNIA 8 GRUDNIA 2017 R.</v>
      </c>
      <c r="B1" s="111"/>
      <c r="C1" s="111"/>
      <c r="D1" s="111"/>
      <c r="E1" s="111"/>
      <c r="F1" s="111"/>
    </row>
    <row r="2" spans="1:6" s="22" customFormat="1" ht="33" customHeight="1" x14ac:dyDescent="0.2">
      <c r="A2" s="67" t="s">
        <v>74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6802830</v>
      </c>
      <c r="D6" s="102">
        <f>D7+D8+D9+D14+D15+D16+D17+D18+D19+D20+D21+D22+D23+D24+D28+D29+D31+D32+D33+D34</f>
        <v>6826180</v>
      </c>
      <c r="E6" s="83">
        <f>IF(C6=D6,"-",D6-C6)</f>
        <v>23350</v>
      </c>
      <c r="F6" s="103">
        <f>IF(C6=0,"-",D6/C6)</f>
        <v>1.0029999999999999</v>
      </c>
    </row>
    <row r="7" spans="1:6" ht="33" customHeight="1" x14ac:dyDescent="0.2">
      <c r="A7" s="48" t="s">
        <v>1</v>
      </c>
      <c r="B7" s="14" t="s">
        <v>117</v>
      </c>
      <c r="C7" s="31">
        <f>IFERROR(VLOOKUP(A7,[4]Wielkopolski!$A$7:$D$100,4,FALSE),0)</f>
        <v>942844</v>
      </c>
      <c r="D7" s="13">
        <f>C7</f>
        <v>942844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f>IFERROR(VLOOKUP(A8,[4]Wielkopolski!$A$7:$D$100,4,FALSE),0)</f>
        <v>527368</v>
      </c>
      <c r="D8" s="13">
        <f>C8</f>
        <v>527368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f>IFERROR(VLOOKUP(A9,[4]Wielkopolski!$A$7:$D$100,4,FALSE),0)</f>
        <v>3419238</v>
      </c>
      <c r="D9" s="13">
        <f>C9+23350</f>
        <v>3442588</v>
      </c>
      <c r="E9" s="38">
        <f t="shared" si="0"/>
        <v>23350</v>
      </c>
      <c r="F9" s="39">
        <f t="shared" si="1"/>
        <v>1.0067999999999999</v>
      </c>
    </row>
    <row r="10" spans="1:6" ht="31.5" customHeight="1" x14ac:dyDescent="0.2">
      <c r="A10" s="49" t="s">
        <v>55</v>
      </c>
      <c r="B10" s="45" t="s">
        <v>140</v>
      </c>
      <c r="C10" s="31">
        <f>IFERROR(VLOOKUP(A10,[4]Wielkopolski!$A$7:$D$100,4,FALSE),0)</f>
        <v>324340</v>
      </c>
      <c r="D10" s="13">
        <f t="shared" ref="D10:D34" si="2">C10</f>
        <v>324340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f>IFERROR(VLOOKUP(A11,[4]Wielkopolski!$A$7:$D$100,4,FALSE),0)</f>
        <v>299902</v>
      </c>
      <c r="D11" s="13">
        <f t="shared" si="2"/>
        <v>299902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f>IFERROR(VLOOKUP(A12,[4]Wielkopolski!$A$7:$D$100,4,FALSE),0)</f>
        <v>132218</v>
      </c>
      <c r="D12" s="13">
        <f t="shared" si="2"/>
        <v>132218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f>IFERROR(VLOOKUP(A13,[4]Wielkopolski!$A$7:$D$100,4,FALSE),0)</f>
        <v>63294</v>
      </c>
      <c r="D13" s="13">
        <f t="shared" si="2"/>
        <v>63294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f>IFERROR(VLOOKUP(A14,[4]Wielkopolski!$A$7:$D$100,4,FALSE),0)</f>
        <v>231238</v>
      </c>
      <c r="D14" s="13">
        <f t="shared" si="2"/>
        <v>231238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f>IFERROR(VLOOKUP(A15,[4]Wielkopolski!$A$7:$D$100,4,FALSE),0)</f>
        <v>187293</v>
      </c>
      <c r="D15" s="13">
        <f t="shared" si="2"/>
        <v>187293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f>IFERROR(VLOOKUP(A16,[4]Wielkopolski!$A$7:$D$100,4,FALSE),0)</f>
        <v>87978</v>
      </c>
      <c r="D16" s="13">
        <f t="shared" si="2"/>
        <v>87978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f>IFERROR(VLOOKUP(A17,[4]Wielkopolski!$A$7:$D$100,4,FALSE),0)</f>
        <v>62823</v>
      </c>
      <c r="D17" s="13">
        <f t="shared" si="2"/>
        <v>62823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f>IFERROR(VLOOKUP(A18,[4]Wielkopolski!$A$7:$D$100,4,FALSE),0)</f>
        <v>149436</v>
      </c>
      <c r="D18" s="13">
        <f t="shared" si="2"/>
        <v>149436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f>IFERROR(VLOOKUP(A19,[4]Wielkopolski!$A$7:$D$100,4,FALSE),0)</f>
        <v>61500</v>
      </c>
      <c r="D19" s="13">
        <f t="shared" si="2"/>
        <v>61500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f>IFERROR(VLOOKUP(A20,[4]Wielkopolski!$A$7:$D$100,4,FALSE),0)</f>
        <v>3527</v>
      </c>
      <c r="D20" s="13">
        <f t="shared" si="2"/>
        <v>3527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f>IFERROR(VLOOKUP(A21,[4]Wielkopolski!$A$7:$D$100,4,FALSE),0)</f>
        <v>18418</v>
      </c>
      <c r="D21" s="13">
        <f t="shared" si="2"/>
        <v>18418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f>IFERROR(VLOOKUP(A22,[4]Wielkopolski!$A$7:$D$100,4,FALSE),0)</f>
        <v>221835</v>
      </c>
      <c r="D22" s="13">
        <f t="shared" si="2"/>
        <v>221835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f>IFERROR(VLOOKUP(A23,[4]Wielkopolski!$A$7:$D$100,4,FALSE),0)</f>
        <v>88000</v>
      </c>
      <c r="D23" s="13">
        <f t="shared" si="2"/>
        <v>88000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f>IFERROR(VLOOKUP(A24,[4]Wielkopolski!$A$7:$D$100,4,FALSE),0)</f>
        <v>776000</v>
      </c>
      <c r="D24" s="31">
        <f>SUM(D25:D27)</f>
        <v>776000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f>IFERROR(VLOOKUP(A25,[4]Wielkopolski!$A$7:$D$100,4,FALSE),0)</f>
        <v>773000</v>
      </c>
      <c r="D25" s="13">
        <f t="shared" si="2"/>
        <v>773000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f>IFERROR(VLOOKUP(A26,[4]Wielkopolski!$A$7:$D$100,4,FALSE),0)</f>
        <v>1500</v>
      </c>
      <c r="D26" s="13">
        <f t="shared" si="2"/>
        <v>1500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f>IFERROR(VLOOKUP(A27,[4]Wielkopolski!$A$7:$D$100,4,FALSE),0)</f>
        <v>1500</v>
      </c>
      <c r="D27" s="13">
        <f t="shared" si="2"/>
        <v>1500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f>IFERROR(VLOOKUP(A28,[4]Wielkopolski!$A$7:$D$100,4,FALSE),0)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f>IFERROR(VLOOKUP(A29,[4]Wielkopolski!$A$7:$D$100,4,FALSE),0)</f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f>IFERROR(VLOOKUP(A30,[4]Wielkopolski!$A$7:$D$100,4,FALSE),0)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f>IFERROR(VLOOKUP(A31,[4]Wielkopolski!$A$7:$D$100,4,FALSE),0)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f>IFERROR(VLOOKUP(A32,[4]Wielkopolski!$A$7:$D$100,4,FALSE),0)</f>
        <v>25332</v>
      </c>
      <c r="D32" s="13">
        <f t="shared" si="2"/>
        <v>25332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f>IFERROR(VLOOKUP(A33,[4]Wielkopolski!$A$7:$D$100,4,FALSE),0)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f>IFERROR(VLOOKUP(A34,[4]Wielkopolski!$A$7:$D$100,4,FALSE),0)</f>
        <v>0</v>
      </c>
      <c r="D34" s="13">
        <f t="shared" si="2"/>
        <v>0</v>
      </c>
      <c r="E34" s="38" t="str">
        <f>IF(C34=D34,"-",D34-C34)</f>
        <v>-</v>
      </c>
      <c r="F34" s="39" t="str">
        <f>IF(C34=0,"-",D34/C34)</f>
        <v>-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f>IFERROR(VLOOKUP(A35,[4]Wielkopolski!$A$7:$D$100,4,FALSE),0)</f>
        <v>133</v>
      </c>
      <c r="D35" s="37">
        <f>C35</f>
        <v>133</v>
      </c>
      <c r="E35" s="7" t="str">
        <f t="shared" si="0"/>
        <v>-</v>
      </c>
      <c r="F35" s="40">
        <f t="shared" si="1"/>
        <v>1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f>IFERROR(VLOOKUP(A36,[4]Wielkopolski!$A$7:$D$100,4,FALSE),0)</f>
        <v>151417</v>
      </c>
      <c r="D36" s="37">
        <f>C36</f>
        <v>151417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f>IFERROR(VLOOKUP(A37,[4]Wielkopolski!$A$7:$D$100,4,FALSE),0)</f>
        <v>46347</v>
      </c>
      <c r="D37" s="37">
        <f>C37</f>
        <v>46347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1139196</v>
      </c>
      <c r="D38" s="32">
        <f>D11+D13+D24+D30</f>
        <v>1139196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44231</v>
      </c>
      <c r="D39" s="87">
        <f>D40+D41+D42+D50+D52+D58+D59+D57</f>
        <v>44231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f>IFERROR(VLOOKUP(A40,[4]Wielkopolski!$A$7:$D$100,4,FALSE),0)</f>
        <v>2360</v>
      </c>
      <c r="D40" s="33">
        <f>C40</f>
        <v>2360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f>IFERROR(VLOOKUP(A41,[4]Wielkopolski!$A$7:$D$100,4,FALSE),0)</f>
        <v>6904</v>
      </c>
      <c r="D41" s="33">
        <f t="shared" ref="D41:D59" si="3">C41</f>
        <v>6904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554</v>
      </c>
      <c r="D42" s="33">
        <f>D43+D45+D46+D47+D48+D49</f>
        <v>554</v>
      </c>
      <c r="E42" s="38" t="str">
        <f t="shared" si="0"/>
        <v>-</v>
      </c>
      <c r="F42" s="39">
        <f t="shared" si="1"/>
        <v>1</v>
      </c>
    </row>
    <row r="43" spans="1:6" ht="28.5" customHeight="1" x14ac:dyDescent="0.2">
      <c r="A43" s="53" t="s">
        <v>38</v>
      </c>
      <c r="B43" s="46" t="s">
        <v>31</v>
      </c>
      <c r="C43" s="31">
        <f>IFERROR(VLOOKUP(A43,[4]Wielkopolski!$A$7:$D$100,4,FALSE),0)</f>
        <v>52</v>
      </c>
      <c r="D43" s="33">
        <f t="shared" si="3"/>
        <v>52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f>IFERROR(VLOOKUP(A44,[4]Wielkopolski!$A$7:$D$100,4,FALSE),0)</f>
        <v>52</v>
      </c>
      <c r="D44" s="33">
        <f t="shared" si="3"/>
        <v>52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f>IFERROR(VLOOKUP(A45,[4]Wielkopolski!$A$7:$D$100,4,FALSE),0)</f>
        <v>240</v>
      </c>
      <c r="D45" s="33">
        <f t="shared" si="3"/>
        <v>240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f>IFERROR(VLOOKUP(A46,[4]Wielkopolski!$A$7:$D$100,4,FALSE),0)</f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f>IFERROR(VLOOKUP(A47,[4]Wielkopolski!$A$7:$D$100,4,FALSE),0)</f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f>IFERROR(VLOOKUP(A48,[4]Wielkopolski!$A$7:$D$100,4,FALSE),0)</f>
        <v>256</v>
      </c>
      <c r="D48" s="33">
        <f t="shared" si="3"/>
        <v>256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f>IFERROR(VLOOKUP(A49,[4]Wielkopolski!$A$7:$D$100,4,FALSE),0)</f>
        <v>6</v>
      </c>
      <c r="D49" s="33">
        <f t="shared" si="3"/>
        <v>6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f>IFERROR(VLOOKUP(A50,[4]Wielkopolski!$A$7:$D$100,4,FALSE),0)</f>
        <v>24414</v>
      </c>
      <c r="D50" s="33">
        <f t="shared" si="3"/>
        <v>24414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f>IFERROR(VLOOKUP(A51,[4]Wielkopolski!$A$7:$D$100,4,FALSE),0)</f>
        <v>123</v>
      </c>
      <c r="D51" s="33">
        <f t="shared" si="3"/>
        <v>123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5481</v>
      </c>
      <c r="D52" s="29">
        <f>D53+D54+D55+D56</f>
        <v>5481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f>IFERROR(VLOOKUP(A53,[4]Wielkopolski!$A$7:$D$100,4,FALSE),0)</f>
        <v>4191</v>
      </c>
      <c r="D53" s="33">
        <f t="shared" si="3"/>
        <v>4191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f>IFERROR(VLOOKUP(A54,[4]Wielkopolski!$A$7:$D$100,4,FALSE),0)</f>
        <v>597</v>
      </c>
      <c r="D54" s="33">
        <f t="shared" si="3"/>
        <v>597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f>IFERROR(VLOOKUP(A55,[4]Wielkopolski!$A$7:$D$100,4,FALSE),0)</f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f>IFERROR(VLOOKUP(A56,[4]Wielkopolski!$A$7:$D$100,4,FALSE),0)</f>
        <v>693</v>
      </c>
      <c r="D56" s="33">
        <f t="shared" si="3"/>
        <v>693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f>IFERROR(VLOOKUP(A57,[4]Wielkopolski!$A$7:$D$100,4,FALSE),0)</f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f>IFERROR(VLOOKUP(A58,[4]Wielkopolski!$A$7:$D$100,4,FALSE),0)</f>
        <v>4000</v>
      </c>
      <c r="D58" s="33">
        <f t="shared" si="3"/>
        <v>4000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f>IFERROR(VLOOKUP(A59,[4]Wielkopolski!$A$7:$D$100,4,FALSE),0)</f>
        <v>518</v>
      </c>
      <c r="D59" s="33">
        <f t="shared" si="3"/>
        <v>518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21250</v>
      </c>
      <c r="D60" s="107">
        <f>D61+D62+D63+D64</f>
        <v>9101</v>
      </c>
      <c r="E60" s="83">
        <f t="shared" si="0"/>
        <v>-12149</v>
      </c>
      <c r="F60" s="108">
        <f t="shared" si="1"/>
        <v>0.42830000000000001</v>
      </c>
    </row>
    <row r="61" spans="1:6" ht="42" customHeight="1" x14ac:dyDescent="0.2">
      <c r="A61" s="51" t="s">
        <v>100</v>
      </c>
      <c r="B61" s="18" t="s">
        <v>113</v>
      </c>
      <c r="C61" s="31">
        <f>IFERROR(VLOOKUP(A61,[4]Wielkopolski!$A$7:$D$100,4,FALSE),0)</f>
        <v>50</v>
      </c>
      <c r="D61" s="33">
        <f>C61</f>
        <v>50</v>
      </c>
      <c r="E61" s="29" t="str">
        <f t="shared" si="0"/>
        <v>-</v>
      </c>
      <c r="F61" s="39">
        <f t="shared" si="1"/>
        <v>1</v>
      </c>
    </row>
    <row r="62" spans="1:6" ht="31.5" customHeight="1" x14ac:dyDescent="0.2">
      <c r="A62" s="51" t="s">
        <v>29</v>
      </c>
      <c r="B62" s="18" t="s">
        <v>54</v>
      </c>
      <c r="C62" s="31">
        <f>IFERROR(VLOOKUP(A62,[4]Wielkopolski!$A$7:$D$100,4,FALSE),0)</f>
        <v>20000</v>
      </c>
      <c r="D62" s="33">
        <f>C62-11699</f>
        <v>8301</v>
      </c>
      <c r="E62" s="29">
        <f t="shared" si="0"/>
        <v>-11699</v>
      </c>
      <c r="F62" s="39">
        <f t="shared" si="1"/>
        <v>0.41510000000000002</v>
      </c>
    </row>
    <row r="63" spans="1:6" ht="31.5" customHeight="1" x14ac:dyDescent="0.2">
      <c r="A63" s="51" t="s">
        <v>30</v>
      </c>
      <c r="B63" s="18" t="s">
        <v>102</v>
      </c>
      <c r="C63" s="31">
        <f>IFERROR(VLOOKUP(A63,[4]Wielkopolski!$A$7:$D$100,4,FALSE),0)</f>
        <v>0</v>
      </c>
      <c r="D63" s="33"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f>IFERROR(VLOOKUP(A64,[4]Wielkopolski!$A$7:$D$100,4,FALSE),0)</f>
        <v>1200</v>
      </c>
      <c r="D64" s="33">
        <v>750</v>
      </c>
      <c r="E64" s="29">
        <f t="shared" si="0"/>
        <v>-450</v>
      </c>
      <c r="F64" s="39">
        <f t="shared" si="1"/>
        <v>0.625</v>
      </c>
    </row>
    <row r="65" spans="1:6" ht="32.25" customHeight="1" x14ac:dyDescent="0.2">
      <c r="A65" s="94" t="s">
        <v>135</v>
      </c>
      <c r="B65" s="95" t="s">
        <v>114</v>
      </c>
      <c r="C65" s="107">
        <f>IFERROR(VLOOKUP(A65,[4]Wielkopolski!$A$7:$D$100,4,FALSE),0)</f>
        <v>3200</v>
      </c>
      <c r="D65" s="107">
        <f>C65+1930</f>
        <v>5130</v>
      </c>
      <c r="E65" s="83">
        <f t="shared" si="0"/>
        <v>1930</v>
      </c>
      <c r="F65" s="108">
        <f t="shared" si="1"/>
        <v>1.6031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8" type="noConversion"/>
  <printOptions horizontalCentered="1"/>
  <pageMargins left="0" right="0" top="0.39370078740157483" bottom="0.59055118110236227" header="0.51181102362204722" footer="0.39370078740157483"/>
  <pageSetup paperSize="9" scale="37" orientation="portrait" r:id="rId1"/>
  <headerFooter alignWithMargins="0">
    <oddFooter>&amp;R&amp;20&amp;P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A1:F65"/>
  <sheetViews>
    <sheetView showGridLines="0" view="pageBreakPreview" zoomScale="55" zoomScaleNormal="70" zoomScaleSheetLayoutView="55" workbookViewId="0">
      <pane xSplit="2" ySplit="6" topLeftCell="C7" activePane="bottomRight" state="frozen"/>
      <selection activeCell="D6" sqref="D6:D93"/>
      <selection pane="topRight" activeCell="D6" sqref="D6:D93"/>
      <selection pane="bottomLeft" activeCell="D6" sqref="D6:D93"/>
      <selection pane="bottomRight" activeCell="H16" sqref="H16"/>
    </sheetView>
  </sheetViews>
  <sheetFormatPr defaultRowHeight="12.75" x14ac:dyDescent="0.2"/>
  <cols>
    <col min="1" max="1" width="11.7109375" style="1" customWidth="1"/>
    <col min="2" max="2" width="125.85546875" style="1" customWidth="1"/>
    <col min="3" max="3" width="25.7109375" style="1" customWidth="1"/>
    <col min="4" max="4" width="26.85546875" style="1" customWidth="1"/>
    <col min="5" max="5" width="25.140625" style="1" customWidth="1"/>
    <col min="6" max="6" width="20.7109375" style="1" customWidth="1"/>
    <col min="7" max="16384" width="9.140625" style="1"/>
  </cols>
  <sheetData>
    <row r="1" spans="1:6" s="20" customFormat="1" ht="46.5" customHeight="1" x14ac:dyDescent="0.2">
      <c r="A1" s="111" t="str">
        <f>NFZ!A1</f>
        <v>ZMIANA PLANU FINANSOWEGO NARODOWEGO FUNDUSZU ZDROWIA NA 2017 ROK Z DNIA 8 GRUDNIA 2017 R.</v>
      </c>
      <c r="B1" s="111"/>
      <c r="C1" s="111"/>
      <c r="D1" s="111"/>
      <c r="E1" s="111"/>
      <c r="F1" s="111"/>
    </row>
    <row r="2" spans="1:6" s="22" customFormat="1" ht="33" customHeight="1" x14ac:dyDescent="0.2">
      <c r="A2" s="67" t="s">
        <v>75</v>
      </c>
      <c r="B2" s="67"/>
      <c r="C2" s="68"/>
    </row>
    <row r="3" spans="1:6" ht="33" customHeight="1" x14ac:dyDescent="0.25">
      <c r="A3" s="4"/>
      <c r="B3" s="5"/>
      <c r="C3" s="35"/>
      <c r="D3" s="35"/>
      <c r="E3" s="35" t="s">
        <v>139</v>
      </c>
      <c r="F3" s="6"/>
    </row>
    <row r="4" spans="1:6" s="69" customFormat="1" ht="65.099999999999994" customHeight="1" x14ac:dyDescent="0.2">
      <c r="A4" s="76" t="s">
        <v>116</v>
      </c>
      <c r="B4" s="76" t="s">
        <v>53</v>
      </c>
      <c r="C4" s="77" t="s">
        <v>188</v>
      </c>
      <c r="D4" s="77" t="s">
        <v>169</v>
      </c>
      <c r="E4" s="78" t="s">
        <v>170</v>
      </c>
      <c r="F4" s="78" t="s">
        <v>171</v>
      </c>
    </row>
    <row r="5" spans="1:6" s="70" customFormat="1" ht="14.25" x14ac:dyDescent="0.2">
      <c r="A5" s="79">
        <v>1</v>
      </c>
      <c r="B5" s="80">
        <v>2</v>
      </c>
      <c r="C5" s="79">
        <v>3</v>
      </c>
      <c r="D5" s="80">
        <v>4</v>
      </c>
      <c r="E5" s="79">
        <v>5</v>
      </c>
      <c r="F5" s="80">
        <v>6</v>
      </c>
    </row>
    <row r="6" spans="1:6" ht="30" customHeight="1" x14ac:dyDescent="0.2">
      <c r="A6" s="54" t="s">
        <v>0</v>
      </c>
      <c r="B6" s="44" t="s">
        <v>189</v>
      </c>
      <c r="C6" s="102">
        <f>C7+C8+C9+C14+C15+C16+C17+C18+C19+C20+C21+C22+C23+C24+C28+C29+C31+C32+C33+C34</f>
        <v>3296962</v>
      </c>
      <c r="D6" s="102">
        <f>D7+D8+D9+D14+D15+D16+D17+D18+D19+D20+D21+D22+D23+D24+D28+D29+D31+D32+D33+D34</f>
        <v>3308221</v>
      </c>
      <c r="E6" s="83">
        <f>IF(C6=D6,"-",D6-C6)</f>
        <v>11259</v>
      </c>
      <c r="F6" s="103">
        <f>IF(C6=0,"-",D6/C6)</f>
        <v>1.0029999999999999</v>
      </c>
    </row>
    <row r="7" spans="1:6" ht="33" customHeight="1" x14ac:dyDescent="0.2">
      <c r="A7" s="48" t="s">
        <v>1</v>
      </c>
      <c r="B7" s="14" t="s">
        <v>117</v>
      </c>
      <c r="C7" s="31">
        <f>IFERROR(VLOOKUP(A7,[4]Zachodniopomorski!$A$7:$D$100,4,FALSE),0)</f>
        <v>439088</v>
      </c>
      <c r="D7" s="13">
        <f>C7</f>
        <v>439088</v>
      </c>
      <c r="E7" s="38" t="str">
        <f t="shared" ref="E7:E65" si="0">IF(C7=D7,"-",D7-C7)</f>
        <v>-</v>
      </c>
      <c r="F7" s="39">
        <f t="shared" ref="F7:F65" si="1">IF(C7=0,"-",D7/C7)</f>
        <v>1</v>
      </c>
    </row>
    <row r="8" spans="1:6" ht="33" customHeight="1" x14ac:dyDescent="0.2">
      <c r="A8" s="48" t="s">
        <v>2</v>
      </c>
      <c r="B8" s="14" t="s">
        <v>118</v>
      </c>
      <c r="C8" s="31">
        <f>IFERROR(VLOOKUP(A8,[4]Zachodniopomorski!$A$7:$D$100,4,FALSE),0)</f>
        <v>254124</v>
      </c>
      <c r="D8" s="13">
        <f>C8</f>
        <v>254124</v>
      </c>
      <c r="E8" s="38" t="str">
        <f t="shared" si="0"/>
        <v>-</v>
      </c>
      <c r="F8" s="39">
        <f t="shared" si="1"/>
        <v>1</v>
      </c>
    </row>
    <row r="9" spans="1:6" ht="33" customHeight="1" x14ac:dyDescent="0.2">
      <c r="A9" s="48" t="s">
        <v>3</v>
      </c>
      <c r="B9" s="14" t="s">
        <v>115</v>
      </c>
      <c r="C9" s="31">
        <f>IFERROR(VLOOKUP(A9,[4]Zachodniopomorski!$A$7:$D$100,4,FALSE),0)</f>
        <v>1668330</v>
      </c>
      <c r="D9" s="13">
        <f>C9+11259</f>
        <v>1679589</v>
      </c>
      <c r="E9" s="38">
        <f t="shared" si="0"/>
        <v>11259</v>
      </c>
      <c r="F9" s="39">
        <f t="shared" si="1"/>
        <v>1.0066999999999999</v>
      </c>
    </row>
    <row r="10" spans="1:6" ht="31.5" customHeight="1" x14ac:dyDescent="0.2">
      <c r="A10" s="49" t="s">
        <v>55</v>
      </c>
      <c r="B10" s="45" t="s">
        <v>140</v>
      </c>
      <c r="C10" s="31">
        <f>IFERROR(VLOOKUP(A10,[4]Zachodniopomorski!$A$7:$D$100,4,FALSE),0)</f>
        <v>130569</v>
      </c>
      <c r="D10" s="13">
        <f t="shared" ref="D10:D34" si="2">C10</f>
        <v>130569</v>
      </c>
      <c r="E10" s="38" t="str">
        <f t="shared" si="0"/>
        <v>-</v>
      </c>
      <c r="F10" s="39">
        <f t="shared" si="1"/>
        <v>1</v>
      </c>
    </row>
    <row r="11" spans="1:6" ht="31.5" customHeight="1" x14ac:dyDescent="0.2">
      <c r="A11" s="49" t="s">
        <v>141</v>
      </c>
      <c r="B11" s="45" t="s">
        <v>144</v>
      </c>
      <c r="C11" s="31">
        <f>IFERROR(VLOOKUP(A11,[4]Zachodniopomorski!$A$7:$D$100,4,FALSE),0)</f>
        <v>119099</v>
      </c>
      <c r="D11" s="13">
        <f t="shared" si="2"/>
        <v>119099</v>
      </c>
      <c r="E11" s="38" t="str">
        <f t="shared" si="0"/>
        <v>-</v>
      </c>
      <c r="F11" s="39">
        <f t="shared" si="1"/>
        <v>1</v>
      </c>
    </row>
    <row r="12" spans="1:6" ht="31.5" customHeight="1" x14ac:dyDescent="0.2">
      <c r="A12" s="49" t="s">
        <v>142</v>
      </c>
      <c r="B12" s="45" t="s">
        <v>145</v>
      </c>
      <c r="C12" s="31">
        <f>IFERROR(VLOOKUP(A12,[4]Zachodniopomorski!$A$7:$D$100,4,FALSE),0)</f>
        <v>60803</v>
      </c>
      <c r="D12" s="13">
        <f t="shared" si="2"/>
        <v>60803</v>
      </c>
      <c r="E12" s="38" t="str">
        <f t="shared" si="0"/>
        <v>-</v>
      </c>
      <c r="F12" s="39">
        <f t="shared" si="1"/>
        <v>1</v>
      </c>
    </row>
    <row r="13" spans="1:6" ht="31.5" customHeight="1" x14ac:dyDescent="0.2">
      <c r="A13" s="49" t="s">
        <v>143</v>
      </c>
      <c r="B13" s="45" t="s">
        <v>146</v>
      </c>
      <c r="C13" s="31">
        <f>IFERROR(VLOOKUP(A13,[4]Zachodniopomorski!$A$7:$D$100,4,FALSE),0)</f>
        <v>27424</v>
      </c>
      <c r="D13" s="13">
        <f t="shared" si="2"/>
        <v>27424</v>
      </c>
      <c r="E13" s="38" t="str">
        <f t="shared" si="0"/>
        <v>-</v>
      </c>
      <c r="F13" s="39">
        <f t="shared" si="1"/>
        <v>1</v>
      </c>
    </row>
    <row r="14" spans="1:6" ht="33" customHeight="1" x14ac:dyDescent="0.2">
      <c r="A14" s="48" t="s">
        <v>4</v>
      </c>
      <c r="B14" s="14" t="s">
        <v>123</v>
      </c>
      <c r="C14" s="31">
        <f>IFERROR(VLOOKUP(A14,[4]Zachodniopomorski!$A$7:$D$100,4,FALSE),0)</f>
        <v>102752</v>
      </c>
      <c r="D14" s="13">
        <f t="shared" si="2"/>
        <v>102752</v>
      </c>
      <c r="E14" s="38" t="str">
        <f t="shared" si="0"/>
        <v>-</v>
      </c>
      <c r="F14" s="39">
        <f t="shared" si="1"/>
        <v>1</v>
      </c>
    </row>
    <row r="15" spans="1:6" ht="33" customHeight="1" x14ac:dyDescent="0.2">
      <c r="A15" s="48" t="s">
        <v>5</v>
      </c>
      <c r="B15" s="14" t="s">
        <v>119</v>
      </c>
      <c r="C15" s="31">
        <f>IFERROR(VLOOKUP(A15,[4]Zachodniopomorski!$A$7:$D$100,4,FALSE),0)</f>
        <v>77490</v>
      </c>
      <c r="D15" s="13">
        <f t="shared" si="2"/>
        <v>77490</v>
      </c>
      <c r="E15" s="38" t="str">
        <f t="shared" si="0"/>
        <v>-</v>
      </c>
      <c r="F15" s="39">
        <f t="shared" si="1"/>
        <v>1</v>
      </c>
    </row>
    <row r="16" spans="1:6" ht="33" customHeight="1" x14ac:dyDescent="0.2">
      <c r="A16" s="48" t="s">
        <v>6</v>
      </c>
      <c r="B16" s="14" t="s">
        <v>125</v>
      </c>
      <c r="C16" s="31">
        <f>IFERROR(VLOOKUP(A16,[4]Zachodniopomorski!$A$7:$D$100,4,FALSE),0)</f>
        <v>46776</v>
      </c>
      <c r="D16" s="13">
        <f t="shared" si="2"/>
        <v>46776</v>
      </c>
      <c r="E16" s="38" t="str">
        <f t="shared" si="0"/>
        <v>-</v>
      </c>
      <c r="F16" s="39">
        <f t="shared" si="1"/>
        <v>1</v>
      </c>
    </row>
    <row r="17" spans="1:6" ht="33" customHeight="1" x14ac:dyDescent="0.2">
      <c r="A17" s="48" t="s">
        <v>7</v>
      </c>
      <c r="B17" s="14" t="s">
        <v>124</v>
      </c>
      <c r="C17" s="31">
        <f>IFERROR(VLOOKUP(A17,[4]Zachodniopomorski!$A$7:$D$100,4,FALSE),0)</f>
        <v>17261</v>
      </c>
      <c r="D17" s="13">
        <f t="shared" si="2"/>
        <v>17261</v>
      </c>
      <c r="E17" s="38" t="str">
        <f t="shared" si="0"/>
        <v>-</v>
      </c>
      <c r="F17" s="39">
        <f t="shared" si="1"/>
        <v>1</v>
      </c>
    </row>
    <row r="18" spans="1:6" ht="33" customHeight="1" x14ac:dyDescent="0.2">
      <c r="A18" s="48" t="s">
        <v>8</v>
      </c>
      <c r="B18" s="14" t="s">
        <v>120</v>
      </c>
      <c r="C18" s="31">
        <f>IFERROR(VLOOKUP(A18,[4]Zachodniopomorski!$A$7:$D$100,4,FALSE),0)</f>
        <v>83579</v>
      </c>
      <c r="D18" s="13">
        <f t="shared" si="2"/>
        <v>83579</v>
      </c>
      <c r="E18" s="38" t="str">
        <f t="shared" si="0"/>
        <v>-</v>
      </c>
      <c r="F18" s="39">
        <f t="shared" si="1"/>
        <v>1</v>
      </c>
    </row>
    <row r="19" spans="1:6" ht="33" customHeight="1" x14ac:dyDescent="0.2">
      <c r="A19" s="48" t="s">
        <v>9</v>
      </c>
      <c r="B19" s="14" t="s">
        <v>121</v>
      </c>
      <c r="C19" s="31">
        <f>IFERROR(VLOOKUP(A19,[4]Zachodniopomorski!$A$7:$D$100,4,FALSE),0)</f>
        <v>27564</v>
      </c>
      <c r="D19" s="13">
        <f t="shared" si="2"/>
        <v>27564</v>
      </c>
      <c r="E19" s="38" t="str">
        <f t="shared" si="0"/>
        <v>-</v>
      </c>
      <c r="F19" s="39">
        <f t="shared" si="1"/>
        <v>1</v>
      </c>
    </row>
    <row r="20" spans="1:6" ht="33" customHeight="1" x14ac:dyDescent="0.2">
      <c r="A20" s="48" t="s">
        <v>10</v>
      </c>
      <c r="B20" s="14" t="s">
        <v>126</v>
      </c>
      <c r="C20" s="31">
        <f>IFERROR(VLOOKUP(A20,[4]Zachodniopomorski!$A$7:$D$100,4,FALSE),0)</f>
        <v>2472</v>
      </c>
      <c r="D20" s="13">
        <f t="shared" si="2"/>
        <v>2472</v>
      </c>
      <c r="E20" s="38" t="str">
        <f t="shared" si="0"/>
        <v>-</v>
      </c>
      <c r="F20" s="39">
        <f t="shared" si="1"/>
        <v>1</v>
      </c>
    </row>
    <row r="21" spans="1:6" ht="46.5" customHeight="1" x14ac:dyDescent="0.2">
      <c r="A21" s="48" t="s">
        <v>11</v>
      </c>
      <c r="B21" s="14" t="s">
        <v>122</v>
      </c>
      <c r="C21" s="31">
        <f>IFERROR(VLOOKUP(A21,[4]Zachodniopomorski!$A$7:$D$100,4,FALSE),0)</f>
        <v>9937</v>
      </c>
      <c r="D21" s="13">
        <f t="shared" si="2"/>
        <v>9937</v>
      </c>
      <c r="E21" s="38" t="str">
        <f t="shared" si="0"/>
        <v>-</v>
      </c>
      <c r="F21" s="39">
        <f t="shared" si="1"/>
        <v>1</v>
      </c>
    </row>
    <row r="22" spans="1:6" ht="33" customHeight="1" x14ac:dyDescent="0.2">
      <c r="A22" s="48" t="s">
        <v>12</v>
      </c>
      <c r="B22" s="14" t="s">
        <v>163</v>
      </c>
      <c r="C22" s="31">
        <f>IFERROR(VLOOKUP(A22,[4]Zachodniopomorski!$A$7:$D$100,4,FALSE),0)</f>
        <v>146491</v>
      </c>
      <c r="D22" s="13">
        <f t="shared" si="2"/>
        <v>146491</v>
      </c>
      <c r="E22" s="38" t="str">
        <f t="shared" si="0"/>
        <v>-</v>
      </c>
      <c r="F22" s="39">
        <f t="shared" si="1"/>
        <v>1</v>
      </c>
    </row>
    <row r="23" spans="1:6" ht="33" customHeight="1" x14ac:dyDescent="0.2">
      <c r="A23" s="48" t="s">
        <v>13</v>
      </c>
      <c r="B23" s="14" t="s">
        <v>147</v>
      </c>
      <c r="C23" s="31">
        <f>IFERROR(VLOOKUP(A23,[4]Zachodniopomorski!$A$7:$D$100,4,FALSE),0)</f>
        <v>42300</v>
      </c>
      <c r="D23" s="13">
        <f t="shared" si="2"/>
        <v>42300</v>
      </c>
      <c r="E23" s="38" t="str">
        <f t="shared" si="0"/>
        <v>-</v>
      </c>
      <c r="F23" s="39">
        <f t="shared" si="1"/>
        <v>1</v>
      </c>
    </row>
    <row r="24" spans="1:6" ht="33" customHeight="1" x14ac:dyDescent="0.2">
      <c r="A24" s="50" t="s">
        <v>14</v>
      </c>
      <c r="B24" s="30" t="s">
        <v>180</v>
      </c>
      <c r="C24" s="31">
        <f>IFERROR(VLOOKUP(A24,[4]Zachodniopomorski!$A$7:$D$100,4,FALSE),0)</f>
        <v>375924</v>
      </c>
      <c r="D24" s="31">
        <f>SUM(D25:D27)</f>
        <v>375924</v>
      </c>
      <c r="E24" s="38" t="str">
        <f t="shared" si="0"/>
        <v>-</v>
      </c>
      <c r="F24" s="39">
        <f t="shared" si="1"/>
        <v>1</v>
      </c>
    </row>
    <row r="25" spans="1:6" ht="37.5" x14ac:dyDescent="0.2">
      <c r="A25" s="49" t="s">
        <v>127</v>
      </c>
      <c r="B25" s="45" t="s">
        <v>149</v>
      </c>
      <c r="C25" s="31">
        <f>IFERROR(VLOOKUP(A25,[4]Zachodniopomorski!$A$7:$D$100,4,FALSE),0)</f>
        <v>375164</v>
      </c>
      <c r="D25" s="13">
        <f t="shared" si="2"/>
        <v>375164</v>
      </c>
      <c r="E25" s="38" t="str">
        <f t="shared" si="0"/>
        <v>-</v>
      </c>
      <c r="F25" s="39">
        <f t="shared" si="1"/>
        <v>1</v>
      </c>
    </row>
    <row r="26" spans="1:6" ht="31.5" customHeight="1" x14ac:dyDescent="0.2">
      <c r="A26" s="49" t="s">
        <v>148</v>
      </c>
      <c r="B26" s="45" t="s">
        <v>151</v>
      </c>
      <c r="C26" s="31">
        <f>IFERROR(VLOOKUP(A26,[4]Zachodniopomorski!$A$7:$D$100,4,FALSE),0)</f>
        <v>410</v>
      </c>
      <c r="D26" s="13">
        <f t="shared" si="2"/>
        <v>410</v>
      </c>
      <c r="E26" s="38" t="str">
        <f t="shared" si="0"/>
        <v>-</v>
      </c>
      <c r="F26" s="39">
        <f t="shared" si="1"/>
        <v>1</v>
      </c>
    </row>
    <row r="27" spans="1:6" ht="37.5" x14ac:dyDescent="0.2">
      <c r="A27" s="49" t="s">
        <v>152</v>
      </c>
      <c r="B27" s="45" t="s">
        <v>150</v>
      </c>
      <c r="C27" s="31">
        <f>IFERROR(VLOOKUP(A27,[4]Zachodniopomorski!$A$7:$D$100,4,FALSE),0)</f>
        <v>350</v>
      </c>
      <c r="D27" s="13">
        <f t="shared" si="2"/>
        <v>350</v>
      </c>
      <c r="E27" s="38" t="str">
        <f t="shared" si="0"/>
        <v>-</v>
      </c>
      <c r="F27" s="39">
        <f t="shared" si="1"/>
        <v>1</v>
      </c>
    </row>
    <row r="28" spans="1:6" ht="33" customHeight="1" x14ac:dyDescent="0.2">
      <c r="A28" s="51" t="s">
        <v>15</v>
      </c>
      <c r="B28" s="15" t="s">
        <v>111</v>
      </c>
      <c r="C28" s="31">
        <f>IFERROR(VLOOKUP(A28,[4]Zachodniopomorski!$A$7:$D$100,4,FALSE),0)</f>
        <v>0</v>
      </c>
      <c r="D28" s="13">
        <f t="shared" si="2"/>
        <v>0</v>
      </c>
      <c r="E28" s="38" t="str">
        <f t="shared" si="0"/>
        <v>-</v>
      </c>
      <c r="F28" s="39" t="str">
        <f t="shared" si="1"/>
        <v>-</v>
      </c>
    </row>
    <row r="29" spans="1:6" ht="33" customHeight="1" x14ac:dyDescent="0.2">
      <c r="A29" s="51" t="s">
        <v>108</v>
      </c>
      <c r="B29" s="16" t="s">
        <v>153</v>
      </c>
      <c r="C29" s="31">
        <f>IFERROR(VLOOKUP(A29,[4]Zachodniopomorski!$A$7:$D$100,4,FALSE),0)</f>
        <v>0</v>
      </c>
      <c r="D29" s="13">
        <f>C29</f>
        <v>0</v>
      </c>
      <c r="E29" s="38" t="str">
        <f t="shared" si="0"/>
        <v>-</v>
      </c>
      <c r="F29" s="39" t="str">
        <f t="shared" si="1"/>
        <v>-</v>
      </c>
    </row>
    <row r="30" spans="1:6" ht="31.5" customHeight="1" x14ac:dyDescent="0.2">
      <c r="A30" s="49" t="s">
        <v>154</v>
      </c>
      <c r="B30" s="45" t="s">
        <v>165</v>
      </c>
      <c r="C30" s="31">
        <f>IFERROR(VLOOKUP(A30,[4]Zachodniopomorski!$A$7:$D$100,4,FALSE),0)</f>
        <v>0</v>
      </c>
      <c r="D30" s="13">
        <f t="shared" si="2"/>
        <v>0</v>
      </c>
      <c r="E30" s="38" t="str">
        <f t="shared" si="0"/>
        <v>-</v>
      </c>
      <c r="F30" s="39" t="str">
        <f t="shared" si="1"/>
        <v>-</v>
      </c>
    </row>
    <row r="31" spans="1:6" ht="33" customHeight="1" x14ac:dyDescent="0.2">
      <c r="A31" s="51" t="s">
        <v>109</v>
      </c>
      <c r="B31" s="16" t="s">
        <v>112</v>
      </c>
      <c r="C31" s="31">
        <f>IFERROR(VLOOKUP(A31,[4]Zachodniopomorski!$A$7:$D$100,4,FALSE),0)</f>
        <v>0</v>
      </c>
      <c r="D31" s="13">
        <f t="shared" si="2"/>
        <v>0</v>
      </c>
      <c r="E31" s="38" t="str">
        <f t="shared" si="0"/>
        <v>-</v>
      </c>
      <c r="F31" s="39" t="str">
        <f t="shared" si="1"/>
        <v>-</v>
      </c>
    </row>
    <row r="32" spans="1:6" ht="33" customHeight="1" x14ac:dyDescent="0.2">
      <c r="A32" s="51" t="s">
        <v>110</v>
      </c>
      <c r="B32" s="16" t="s">
        <v>164</v>
      </c>
      <c r="C32" s="31">
        <f>IFERROR(VLOOKUP(A32,[4]Zachodniopomorski!$A$7:$D$100,4,FALSE),0)</f>
        <v>874</v>
      </c>
      <c r="D32" s="13">
        <f t="shared" si="2"/>
        <v>874</v>
      </c>
      <c r="E32" s="38" t="str">
        <f t="shared" si="0"/>
        <v>-</v>
      </c>
      <c r="F32" s="39">
        <f t="shared" si="1"/>
        <v>1</v>
      </c>
    </row>
    <row r="33" spans="1:6" ht="42.75" customHeight="1" x14ac:dyDescent="0.2">
      <c r="A33" s="51" t="s">
        <v>181</v>
      </c>
      <c r="B33" s="16" t="s">
        <v>182</v>
      </c>
      <c r="C33" s="31">
        <f>IFERROR(VLOOKUP(A33,[4]Zachodniopomorski!$A$7:$D$100,4,FALSE),0)</f>
        <v>0</v>
      </c>
      <c r="D33" s="13">
        <f t="shared" si="2"/>
        <v>0</v>
      </c>
      <c r="E33" s="38" t="str">
        <f>IF(C33=D33,"-",D33-C33)</f>
        <v>-</v>
      </c>
      <c r="F33" s="39" t="str">
        <f>IF(C33=0,"-",D33/C33)</f>
        <v>-</v>
      </c>
    </row>
    <row r="34" spans="1:6" ht="33" customHeight="1" x14ac:dyDescent="0.2">
      <c r="A34" s="51" t="s">
        <v>190</v>
      </c>
      <c r="B34" s="16" t="s">
        <v>191</v>
      </c>
      <c r="C34" s="31">
        <f>IFERROR(VLOOKUP(A34,[4]Zachodniopomorski!$A$7:$D$100,4,FALSE),0)</f>
        <v>2000</v>
      </c>
      <c r="D34" s="13">
        <f t="shared" si="2"/>
        <v>2000</v>
      </c>
      <c r="E34" s="38" t="str">
        <f>IF(C34=D34,"-",D34-C34)</f>
        <v>-</v>
      </c>
      <c r="F34" s="39">
        <f>IF(C34=0,"-",D34/C34)</f>
        <v>1</v>
      </c>
    </row>
    <row r="35" spans="1:6" s="2" customFormat="1" ht="31.5" customHeight="1" x14ac:dyDescent="0.2">
      <c r="A35" s="52" t="s">
        <v>57</v>
      </c>
      <c r="B35" s="17" t="s">
        <v>58</v>
      </c>
      <c r="C35" s="32">
        <f>IFERROR(VLOOKUP(A35,[4]Zachodniopomorski!$A$7:$D$100,4,FALSE),0)</f>
        <v>890</v>
      </c>
      <c r="D35" s="37">
        <f>C35</f>
        <v>890</v>
      </c>
      <c r="E35" s="7" t="str">
        <f t="shared" si="0"/>
        <v>-</v>
      </c>
      <c r="F35" s="40">
        <f t="shared" si="1"/>
        <v>1</v>
      </c>
    </row>
    <row r="36" spans="1:6" s="2" customFormat="1" ht="31.5" customHeight="1" x14ac:dyDescent="0.2">
      <c r="A36" s="52" t="s">
        <v>56</v>
      </c>
      <c r="B36" s="17" t="s">
        <v>59</v>
      </c>
      <c r="C36" s="32">
        <f>IFERROR(VLOOKUP(A36,[4]Zachodniopomorski!$A$7:$D$100,4,FALSE),0)</f>
        <v>104185</v>
      </c>
      <c r="D36" s="37">
        <f>C36</f>
        <v>104185</v>
      </c>
      <c r="E36" s="7" t="str">
        <f t="shared" si="0"/>
        <v>-</v>
      </c>
      <c r="F36" s="40">
        <f t="shared" si="1"/>
        <v>1</v>
      </c>
    </row>
    <row r="37" spans="1:6" s="2" customFormat="1" ht="60.75" x14ac:dyDescent="0.2">
      <c r="A37" s="52" t="s">
        <v>192</v>
      </c>
      <c r="B37" s="17" t="s">
        <v>193</v>
      </c>
      <c r="C37" s="32">
        <f>IFERROR(VLOOKUP(A37,[4]Zachodniopomorski!$A$7:$D$100,4,FALSE),0)</f>
        <v>24176</v>
      </c>
      <c r="D37" s="37">
        <f>C37</f>
        <v>24176</v>
      </c>
      <c r="E37" s="7" t="str">
        <f t="shared" si="0"/>
        <v>-</v>
      </c>
      <c r="F37" s="40">
        <f t="shared" si="1"/>
        <v>1</v>
      </c>
    </row>
    <row r="38" spans="1:6" s="2" customFormat="1" ht="42.75" customHeight="1" x14ac:dyDescent="0.2">
      <c r="A38" s="52" t="s">
        <v>155</v>
      </c>
      <c r="B38" s="17" t="s">
        <v>156</v>
      </c>
      <c r="C38" s="32">
        <f>C11+C13+C24+C30</f>
        <v>522447</v>
      </c>
      <c r="D38" s="32">
        <f>D11+D13+D24+D30</f>
        <v>522447</v>
      </c>
      <c r="E38" s="7" t="str">
        <f t="shared" si="0"/>
        <v>-</v>
      </c>
      <c r="F38" s="40">
        <f t="shared" si="1"/>
        <v>1</v>
      </c>
    </row>
    <row r="39" spans="1:6" ht="30" customHeight="1" x14ac:dyDescent="0.2">
      <c r="A39" s="104" t="s">
        <v>16</v>
      </c>
      <c r="B39" s="105" t="s">
        <v>186</v>
      </c>
      <c r="C39" s="87">
        <f>C40+C41+C42+C50+C52+C58+C59+C57</f>
        <v>22821</v>
      </c>
      <c r="D39" s="87">
        <f>D40+D41+D42+D50+D52+D58+D59+D57</f>
        <v>22821</v>
      </c>
      <c r="E39" s="83" t="str">
        <f t="shared" si="0"/>
        <v>-</v>
      </c>
      <c r="F39" s="106">
        <f t="shared" si="1"/>
        <v>1</v>
      </c>
    </row>
    <row r="40" spans="1:6" ht="28.5" customHeight="1" x14ac:dyDescent="0.2">
      <c r="A40" s="51" t="s">
        <v>17</v>
      </c>
      <c r="B40" s="18" t="s">
        <v>18</v>
      </c>
      <c r="C40" s="31">
        <f>IFERROR(VLOOKUP(A40,[4]Zachodniopomorski!$A$7:$D$100,4,FALSE),0)</f>
        <v>870</v>
      </c>
      <c r="D40" s="33">
        <f>C40</f>
        <v>870</v>
      </c>
      <c r="E40" s="38" t="str">
        <f t="shared" si="0"/>
        <v>-</v>
      </c>
      <c r="F40" s="39">
        <f t="shared" si="1"/>
        <v>1</v>
      </c>
    </row>
    <row r="41" spans="1:6" ht="28.5" customHeight="1" x14ac:dyDescent="0.2">
      <c r="A41" s="51" t="s">
        <v>19</v>
      </c>
      <c r="B41" s="18" t="s">
        <v>20</v>
      </c>
      <c r="C41" s="31">
        <f>IFERROR(VLOOKUP(A41,[4]Zachodniopomorski!$A$7:$D$100,4,FALSE),0)</f>
        <v>2745</v>
      </c>
      <c r="D41" s="33">
        <f t="shared" ref="D41:D59" si="3">C41</f>
        <v>2745</v>
      </c>
      <c r="E41" s="38" t="str">
        <f t="shared" si="0"/>
        <v>-</v>
      </c>
      <c r="F41" s="39">
        <f t="shared" si="1"/>
        <v>1</v>
      </c>
    </row>
    <row r="42" spans="1:6" ht="28.5" customHeight="1" x14ac:dyDescent="0.2">
      <c r="A42" s="51" t="s">
        <v>21</v>
      </c>
      <c r="B42" s="19" t="s">
        <v>187</v>
      </c>
      <c r="C42" s="33">
        <f>C43+C45+C46+C47+C48+C49</f>
        <v>230</v>
      </c>
      <c r="D42" s="33">
        <f>D43+D45+D46+D47+D48+D49</f>
        <v>230</v>
      </c>
      <c r="E42" s="38" t="str">
        <f t="shared" si="0"/>
        <v>-</v>
      </c>
      <c r="F42" s="39">
        <f t="shared" si="1"/>
        <v>1</v>
      </c>
    </row>
    <row r="43" spans="1:6" ht="23.25" customHeight="1" x14ac:dyDescent="0.2">
      <c r="A43" s="53" t="s">
        <v>38</v>
      </c>
      <c r="B43" s="46" t="s">
        <v>31</v>
      </c>
      <c r="C43" s="31">
        <f>IFERROR(VLOOKUP(A43,[4]Zachodniopomorski!$A$7:$D$100,4,FALSE),0)</f>
        <v>25</v>
      </c>
      <c r="D43" s="33">
        <f t="shared" si="3"/>
        <v>25</v>
      </c>
      <c r="E43" s="38" t="str">
        <f t="shared" si="0"/>
        <v>-</v>
      </c>
      <c r="F43" s="39">
        <f t="shared" si="1"/>
        <v>1</v>
      </c>
    </row>
    <row r="44" spans="1:6" ht="28.5" customHeight="1" x14ac:dyDescent="0.2">
      <c r="A44" s="53" t="s">
        <v>39</v>
      </c>
      <c r="B44" s="47" t="s">
        <v>32</v>
      </c>
      <c r="C44" s="31">
        <f>IFERROR(VLOOKUP(A44,[4]Zachodniopomorski!$A$7:$D$100,4,FALSE),0)</f>
        <v>25</v>
      </c>
      <c r="D44" s="33">
        <f t="shared" si="3"/>
        <v>25</v>
      </c>
      <c r="E44" s="38" t="str">
        <f t="shared" si="0"/>
        <v>-</v>
      </c>
      <c r="F44" s="39">
        <f t="shared" si="1"/>
        <v>1</v>
      </c>
    </row>
    <row r="45" spans="1:6" ht="28.5" customHeight="1" x14ac:dyDescent="0.2">
      <c r="A45" s="53" t="s">
        <v>40</v>
      </c>
      <c r="B45" s="46" t="s">
        <v>33</v>
      </c>
      <c r="C45" s="31">
        <f>IFERROR(VLOOKUP(A45,[4]Zachodniopomorski!$A$7:$D$100,4,FALSE),0)</f>
        <v>23</v>
      </c>
      <c r="D45" s="33">
        <f t="shared" si="3"/>
        <v>23</v>
      </c>
      <c r="E45" s="38" t="str">
        <f t="shared" si="0"/>
        <v>-</v>
      </c>
      <c r="F45" s="39">
        <f t="shared" si="1"/>
        <v>1</v>
      </c>
    </row>
    <row r="46" spans="1:6" ht="28.5" customHeight="1" x14ac:dyDescent="0.2">
      <c r="A46" s="53" t="s">
        <v>41</v>
      </c>
      <c r="B46" s="46" t="s">
        <v>34</v>
      </c>
      <c r="C46" s="31">
        <f>IFERROR(VLOOKUP(A46,[4]Zachodniopomorski!$A$7:$D$100,4,FALSE),0)</f>
        <v>0</v>
      </c>
      <c r="D46" s="33">
        <f t="shared" si="3"/>
        <v>0</v>
      </c>
      <c r="E46" s="38" t="str">
        <f t="shared" si="0"/>
        <v>-</v>
      </c>
      <c r="F46" s="39" t="str">
        <f t="shared" si="1"/>
        <v>-</v>
      </c>
    </row>
    <row r="47" spans="1:6" ht="28.5" customHeight="1" x14ac:dyDescent="0.2">
      <c r="A47" s="53" t="s">
        <v>42</v>
      </c>
      <c r="B47" s="46" t="s">
        <v>35</v>
      </c>
      <c r="C47" s="31">
        <f>IFERROR(VLOOKUP(A47,[4]Zachodniopomorski!$A$7:$D$100,4,FALSE),0)</f>
        <v>0</v>
      </c>
      <c r="D47" s="33">
        <f t="shared" si="3"/>
        <v>0</v>
      </c>
      <c r="E47" s="38" t="str">
        <f t="shared" si="0"/>
        <v>-</v>
      </c>
      <c r="F47" s="39" t="str">
        <f t="shared" si="1"/>
        <v>-</v>
      </c>
    </row>
    <row r="48" spans="1:6" ht="28.5" customHeight="1" x14ac:dyDescent="0.2">
      <c r="A48" s="53" t="s">
        <v>43</v>
      </c>
      <c r="B48" s="46" t="s">
        <v>36</v>
      </c>
      <c r="C48" s="31">
        <f>IFERROR(VLOOKUP(A48,[4]Zachodniopomorski!$A$7:$D$100,4,FALSE),0)</f>
        <v>142</v>
      </c>
      <c r="D48" s="33">
        <f t="shared" si="3"/>
        <v>142</v>
      </c>
      <c r="E48" s="38" t="str">
        <f t="shared" si="0"/>
        <v>-</v>
      </c>
      <c r="F48" s="39">
        <f t="shared" si="1"/>
        <v>1</v>
      </c>
    </row>
    <row r="49" spans="1:6" ht="28.5" customHeight="1" x14ac:dyDescent="0.2">
      <c r="A49" s="53" t="s">
        <v>44</v>
      </c>
      <c r="B49" s="46" t="s">
        <v>37</v>
      </c>
      <c r="C49" s="31">
        <f>IFERROR(VLOOKUP(A49,[4]Zachodniopomorski!$A$7:$D$100,4,FALSE),0)</f>
        <v>40</v>
      </c>
      <c r="D49" s="33">
        <f t="shared" si="3"/>
        <v>40</v>
      </c>
      <c r="E49" s="38" t="str">
        <f t="shared" si="0"/>
        <v>-</v>
      </c>
      <c r="F49" s="39">
        <f t="shared" si="1"/>
        <v>1</v>
      </c>
    </row>
    <row r="50" spans="1:6" ht="28.5" customHeight="1" x14ac:dyDescent="0.2">
      <c r="A50" s="51" t="s">
        <v>22</v>
      </c>
      <c r="B50" s="18" t="s">
        <v>157</v>
      </c>
      <c r="C50" s="31">
        <f>IFERROR(VLOOKUP(A50,[4]Zachodniopomorski!$A$7:$D$100,4,FALSE),0)</f>
        <v>13741</v>
      </c>
      <c r="D50" s="33">
        <f t="shared" si="3"/>
        <v>13741</v>
      </c>
      <c r="E50" s="38" t="str">
        <f t="shared" si="0"/>
        <v>-</v>
      </c>
      <c r="F50" s="39">
        <f t="shared" si="1"/>
        <v>1</v>
      </c>
    </row>
    <row r="51" spans="1:6" ht="28.5" customHeight="1" x14ac:dyDescent="0.2">
      <c r="A51" s="53" t="s">
        <v>158</v>
      </c>
      <c r="B51" s="46" t="s">
        <v>159</v>
      </c>
      <c r="C51" s="31">
        <f>IFERROR(VLOOKUP(A51,[4]Zachodniopomorski!$A$7:$D$100,4,FALSE),0)</f>
        <v>57</v>
      </c>
      <c r="D51" s="33">
        <f t="shared" si="3"/>
        <v>57</v>
      </c>
      <c r="E51" s="38" t="str">
        <f t="shared" si="0"/>
        <v>-</v>
      </c>
      <c r="F51" s="39">
        <f t="shared" si="1"/>
        <v>1</v>
      </c>
    </row>
    <row r="52" spans="1:6" ht="28.5" customHeight="1" x14ac:dyDescent="0.2">
      <c r="A52" s="51" t="s">
        <v>23</v>
      </c>
      <c r="B52" s="19" t="s">
        <v>185</v>
      </c>
      <c r="C52" s="29">
        <f>C53+C54+C55+C56</f>
        <v>3089</v>
      </c>
      <c r="D52" s="29">
        <f>D53+D54+D55+D56</f>
        <v>3089</v>
      </c>
      <c r="E52" s="38" t="str">
        <f t="shared" si="0"/>
        <v>-</v>
      </c>
      <c r="F52" s="39">
        <f t="shared" si="1"/>
        <v>1</v>
      </c>
    </row>
    <row r="53" spans="1:6" ht="28.5" customHeight="1" x14ac:dyDescent="0.2">
      <c r="A53" s="53" t="s">
        <v>49</v>
      </c>
      <c r="B53" s="46" t="s">
        <v>45</v>
      </c>
      <c r="C53" s="31">
        <f>IFERROR(VLOOKUP(A53,[4]Zachodniopomorski!$A$7:$D$100,4,FALSE),0)</f>
        <v>2359</v>
      </c>
      <c r="D53" s="33">
        <f t="shared" si="3"/>
        <v>2359</v>
      </c>
      <c r="E53" s="38" t="str">
        <f t="shared" si="0"/>
        <v>-</v>
      </c>
      <c r="F53" s="39">
        <f t="shared" si="1"/>
        <v>1</v>
      </c>
    </row>
    <row r="54" spans="1:6" ht="28.5" customHeight="1" x14ac:dyDescent="0.2">
      <c r="A54" s="53" t="s">
        <v>50</v>
      </c>
      <c r="B54" s="46" t="s">
        <v>46</v>
      </c>
      <c r="C54" s="31">
        <f>IFERROR(VLOOKUP(A54,[4]Zachodniopomorski!$A$7:$D$100,4,FALSE),0)</f>
        <v>337</v>
      </c>
      <c r="D54" s="33">
        <f t="shared" si="3"/>
        <v>337</v>
      </c>
      <c r="E54" s="38" t="str">
        <f t="shared" si="0"/>
        <v>-</v>
      </c>
      <c r="F54" s="39">
        <f t="shared" si="1"/>
        <v>1</v>
      </c>
    </row>
    <row r="55" spans="1:6" ht="28.5" customHeight="1" x14ac:dyDescent="0.2">
      <c r="A55" s="53" t="s">
        <v>51</v>
      </c>
      <c r="B55" s="46" t="s">
        <v>47</v>
      </c>
      <c r="C55" s="31">
        <f>IFERROR(VLOOKUP(A55,[4]Zachodniopomorski!$A$7:$D$100,4,FALSE),0)</f>
        <v>0</v>
      </c>
      <c r="D55" s="33">
        <f t="shared" si="3"/>
        <v>0</v>
      </c>
      <c r="E55" s="38" t="str">
        <f t="shared" si="0"/>
        <v>-</v>
      </c>
      <c r="F55" s="39" t="str">
        <f t="shared" si="1"/>
        <v>-</v>
      </c>
    </row>
    <row r="56" spans="1:6" ht="28.5" customHeight="1" x14ac:dyDescent="0.2">
      <c r="A56" s="53" t="s">
        <v>52</v>
      </c>
      <c r="B56" s="46" t="s">
        <v>48</v>
      </c>
      <c r="C56" s="31">
        <f>IFERROR(VLOOKUP(A56,[4]Zachodniopomorski!$A$7:$D$100,4,FALSE),0)</f>
        <v>393</v>
      </c>
      <c r="D56" s="33">
        <f t="shared" si="3"/>
        <v>393</v>
      </c>
      <c r="E56" s="38" t="str">
        <f t="shared" si="0"/>
        <v>-</v>
      </c>
      <c r="F56" s="39">
        <f t="shared" si="1"/>
        <v>1</v>
      </c>
    </row>
    <row r="57" spans="1:6" ht="28.5" customHeight="1" x14ac:dyDescent="0.2">
      <c r="A57" s="51" t="s">
        <v>24</v>
      </c>
      <c r="B57" s="18" t="s">
        <v>25</v>
      </c>
      <c r="C57" s="31">
        <f>IFERROR(VLOOKUP(A57,[4]Zachodniopomorski!$A$7:$D$100,4,FALSE),0)</f>
        <v>0</v>
      </c>
      <c r="D57" s="33">
        <f t="shared" si="3"/>
        <v>0</v>
      </c>
      <c r="E57" s="38" t="str">
        <f t="shared" si="0"/>
        <v>-</v>
      </c>
      <c r="F57" s="39" t="str">
        <f t="shared" si="1"/>
        <v>-</v>
      </c>
    </row>
    <row r="58" spans="1:6" ht="28.5" customHeight="1" x14ac:dyDescent="0.2">
      <c r="A58" s="51" t="s">
        <v>26</v>
      </c>
      <c r="B58" s="18" t="s">
        <v>160</v>
      </c>
      <c r="C58" s="31">
        <f>IFERROR(VLOOKUP(A58,[4]Zachodniopomorski!$A$7:$D$100,4,FALSE),0)</f>
        <v>1999</v>
      </c>
      <c r="D58" s="33">
        <f t="shared" si="3"/>
        <v>1999</v>
      </c>
      <c r="E58" s="38" t="str">
        <f t="shared" si="0"/>
        <v>-</v>
      </c>
      <c r="F58" s="41">
        <f t="shared" si="1"/>
        <v>1</v>
      </c>
    </row>
    <row r="59" spans="1:6" ht="28.5" customHeight="1" x14ac:dyDescent="0.2">
      <c r="A59" s="51" t="s">
        <v>27</v>
      </c>
      <c r="B59" s="18" t="s">
        <v>28</v>
      </c>
      <c r="C59" s="31">
        <f>IFERROR(VLOOKUP(A59,[4]Zachodniopomorski!$A$7:$D$100,4,FALSE),0)</f>
        <v>147</v>
      </c>
      <c r="D59" s="33">
        <f t="shared" si="3"/>
        <v>147</v>
      </c>
      <c r="E59" s="38" t="str">
        <f t="shared" si="0"/>
        <v>-</v>
      </c>
      <c r="F59" s="39">
        <f t="shared" si="1"/>
        <v>1</v>
      </c>
    </row>
    <row r="60" spans="1:6" ht="30" customHeight="1" x14ac:dyDescent="0.2">
      <c r="A60" s="94" t="s">
        <v>133</v>
      </c>
      <c r="B60" s="95" t="s">
        <v>161</v>
      </c>
      <c r="C60" s="107">
        <f>C61+C62+C63+C64</f>
        <v>956</v>
      </c>
      <c r="D60" s="107">
        <f>D61+D62+D63+D64</f>
        <v>585</v>
      </c>
      <c r="E60" s="83">
        <f t="shared" si="0"/>
        <v>-371</v>
      </c>
      <c r="F60" s="108">
        <f t="shared" si="1"/>
        <v>0.6119</v>
      </c>
    </row>
    <row r="61" spans="1:6" ht="42" customHeight="1" x14ac:dyDescent="0.2">
      <c r="A61" s="51" t="s">
        <v>100</v>
      </c>
      <c r="B61" s="18" t="s">
        <v>113</v>
      </c>
      <c r="C61" s="31">
        <f>IFERROR(VLOOKUP(A61,[4]Zachodniopomorski!$A$7:$D$100,4,FALSE),0)</f>
        <v>0</v>
      </c>
      <c r="D61" s="33">
        <f>C61</f>
        <v>0</v>
      </c>
      <c r="E61" s="29" t="str">
        <f t="shared" si="0"/>
        <v>-</v>
      </c>
      <c r="F61" s="39" t="str">
        <f t="shared" si="1"/>
        <v>-</v>
      </c>
    </row>
    <row r="62" spans="1:6" ht="31.5" customHeight="1" x14ac:dyDescent="0.2">
      <c r="A62" s="51" t="s">
        <v>29</v>
      </c>
      <c r="B62" s="18" t="s">
        <v>54</v>
      </c>
      <c r="C62" s="31">
        <f>IFERROR(VLOOKUP(A62,[4]Zachodniopomorski!$A$7:$D$100,4,FALSE),0)</f>
        <v>0</v>
      </c>
      <c r="D62" s="33">
        <f>C62+28</f>
        <v>28</v>
      </c>
      <c r="E62" s="29">
        <f t="shared" si="0"/>
        <v>28</v>
      </c>
      <c r="F62" s="39" t="str">
        <f t="shared" si="1"/>
        <v>-</v>
      </c>
    </row>
    <row r="63" spans="1:6" ht="31.5" customHeight="1" x14ac:dyDescent="0.2">
      <c r="A63" s="51" t="s">
        <v>30</v>
      </c>
      <c r="B63" s="18" t="s">
        <v>102</v>
      </c>
      <c r="C63" s="31">
        <f>IFERROR(VLOOKUP(A63,[4]Zachodniopomorski!$A$7:$D$100,4,FALSE),0)</f>
        <v>0</v>
      </c>
      <c r="D63" s="33">
        <f>C63</f>
        <v>0</v>
      </c>
      <c r="E63" s="29" t="str">
        <f t="shared" si="0"/>
        <v>-</v>
      </c>
      <c r="F63" s="39" t="str">
        <f t="shared" si="1"/>
        <v>-</v>
      </c>
    </row>
    <row r="64" spans="1:6" ht="31.5" customHeight="1" x14ac:dyDescent="0.2">
      <c r="A64" s="51" t="s">
        <v>101</v>
      </c>
      <c r="B64" s="18" t="s">
        <v>103</v>
      </c>
      <c r="C64" s="31">
        <f>IFERROR(VLOOKUP(A64,[4]Zachodniopomorski!$A$7:$D$100,4,FALSE),0)</f>
        <v>956</v>
      </c>
      <c r="D64" s="33">
        <f>C64-399</f>
        <v>557</v>
      </c>
      <c r="E64" s="29">
        <f t="shared" si="0"/>
        <v>-399</v>
      </c>
      <c r="F64" s="39">
        <f t="shared" si="1"/>
        <v>0.58260000000000001</v>
      </c>
    </row>
    <row r="65" spans="1:6" ht="32.25" customHeight="1" x14ac:dyDescent="0.2">
      <c r="A65" s="94" t="s">
        <v>135</v>
      </c>
      <c r="B65" s="95" t="s">
        <v>114</v>
      </c>
      <c r="C65" s="107">
        <f>IFERROR(VLOOKUP(A65,[4]Zachodniopomorski!$A$7:$D$100,4,FALSE),0)</f>
        <v>66</v>
      </c>
      <c r="D65" s="107">
        <f>C65+16</f>
        <v>82</v>
      </c>
      <c r="E65" s="83">
        <f t="shared" si="0"/>
        <v>16</v>
      </c>
      <c r="F65" s="108">
        <f t="shared" si="1"/>
        <v>1.2423999999999999</v>
      </c>
    </row>
  </sheetData>
  <sheetProtection formatCells="0" formatColumns="0" formatRows="0" insertColumns="0" insertRows="0" insertHyperlinks="0" deleteColumns="0" deleteRows="0"/>
  <mergeCells count="1">
    <mergeCell ref="A1:F1"/>
  </mergeCells>
  <phoneticPr fontId="0" type="noConversion"/>
  <printOptions horizontalCentered="1"/>
  <pageMargins left="0" right="0" top="0.39370078740157483" bottom="0.59055118110236227" header="0.51181102362204722" footer="0.39370078740157483"/>
  <pageSetup paperSize="9" scale="37" orientation="portrait" r:id="rId1"/>
  <headerFooter alignWithMargins="0">
    <oddFooter>&amp;R&amp;20&amp;P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20</vt:i4>
      </vt:variant>
    </vt:vector>
  </HeadingPairs>
  <TitlesOfParts>
    <vt:vector size="39" baseType="lpstr">
      <vt:lpstr>NFZ</vt:lpstr>
      <vt:lpstr>CENTRALA</vt:lpstr>
      <vt:lpstr>Razem OW</vt:lpstr>
      <vt:lpstr>Dolnośląski</vt:lpstr>
      <vt:lpstr>KujawskoPomorski</vt:lpstr>
      <vt:lpstr>Lubelski</vt:lpstr>
      <vt:lpstr>Lubuski</vt:lpstr>
      <vt:lpstr>Łódzki</vt:lpstr>
      <vt:lpstr>Małopolski</vt:lpstr>
      <vt:lpstr>Mazowiecki</vt:lpstr>
      <vt:lpstr>Opolski</vt:lpstr>
      <vt:lpstr>Podkarpacki</vt:lpstr>
      <vt:lpstr>Podlaski</vt:lpstr>
      <vt:lpstr>Pomorski</vt:lpstr>
      <vt:lpstr>Śląski</vt:lpstr>
      <vt:lpstr>Świętokrzyski</vt:lpstr>
      <vt:lpstr>WarmińskoMazurski</vt:lpstr>
      <vt:lpstr>Wielkopolski</vt:lpstr>
      <vt:lpstr>Zachodniopomorski</vt:lpstr>
      <vt:lpstr>CENTRALA!Obszar_wydruku</vt:lpstr>
      <vt:lpstr>Dolnośląski!Obszar_wydruku</vt:lpstr>
      <vt:lpstr>KujawskoPomorski!Obszar_wydruku</vt:lpstr>
      <vt:lpstr>Lubelski!Obszar_wydruku</vt:lpstr>
      <vt:lpstr>Lubuski!Obszar_wydruku</vt:lpstr>
      <vt:lpstr>Łódzki!Obszar_wydruku</vt:lpstr>
      <vt:lpstr>Małopolski!Obszar_wydruku</vt:lpstr>
      <vt:lpstr>Mazowiecki!Obszar_wydruku</vt:lpstr>
      <vt:lpstr>NFZ!Obszar_wydruku</vt:lpstr>
      <vt:lpstr>Opolski!Obszar_wydruku</vt:lpstr>
      <vt:lpstr>Podkarpacki!Obszar_wydruku</vt:lpstr>
      <vt:lpstr>Podlaski!Obszar_wydruku</vt:lpstr>
      <vt:lpstr>Pomorski!Obszar_wydruku</vt:lpstr>
      <vt:lpstr>'Razem OW'!Obszar_wydruku</vt:lpstr>
      <vt:lpstr>Śląski!Obszar_wydruku</vt:lpstr>
      <vt:lpstr>Świętokrzyski!Obszar_wydruku</vt:lpstr>
      <vt:lpstr>WarmińskoMazurski!Obszar_wydruku</vt:lpstr>
      <vt:lpstr>Wielkopolski!Obszar_wydruku</vt:lpstr>
      <vt:lpstr>Zachodniopomorski!Obszar_wydruku</vt:lpstr>
      <vt:lpstr>NFZ!Tytuły_wydruku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Mackiewicz Marian</dc:creator>
  <cp:lastModifiedBy>Babraj Rafał</cp:lastModifiedBy>
  <cp:lastPrinted>2017-11-29T09:08:55Z</cp:lastPrinted>
  <dcterms:created xsi:type="dcterms:W3CDTF">2005-07-21T09:51:05Z</dcterms:created>
  <dcterms:modified xsi:type="dcterms:W3CDTF">2017-12-15T09:23:30Z</dcterms:modified>
</cp:coreProperties>
</file>