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HCY\Documents\```ST7\Besti@\2023\IV kwartał\2024.03.15 ostateczne\BIP MF\Zbiorówki\"/>
    </mc:Choice>
  </mc:AlternateContent>
  <xr:revisionPtr revIDLastSave="0" documentId="13_ncr:1_{51FCE517-5205-4005-96A0-6DE291D9EF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ob_na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6" i="7" l="1"/>
  <c r="B95" i="7"/>
  <c r="B94" i="7"/>
  <c r="B93" i="7"/>
  <c r="I90" i="7"/>
  <c r="G90" i="7"/>
  <c r="I89" i="7"/>
  <c r="G89" i="7"/>
  <c r="I88" i="7"/>
  <c r="G88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L80" i="7"/>
  <c r="K80" i="7"/>
  <c r="J80" i="7"/>
  <c r="I80" i="7"/>
  <c r="H80" i="7"/>
  <c r="G80" i="7"/>
  <c r="F80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L76" i="7"/>
  <c r="K76" i="7"/>
  <c r="J76" i="7"/>
  <c r="I76" i="7"/>
  <c r="H76" i="7"/>
  <c r="G76" i="7"/>
  <c r="F7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3" i="7" l="1"/>
  <c r="A1" i="7" l="1"/>
  <c r="A30" i="7"/>
  <c r="A85" i="7"/>
  <c r="A66" i="7"/>
</calcChain>
</file>

<file path=xl/sharedStrings.xml><?xml version="1.0" encoding="utf-8"?>
<sst xmlns="http://schemas.openxmlformats.org/spreadsheetml/2006/main" count="97" uniqueCount="81">
  <si>
    <t>Wyszczególnienie</t>
  </si>
  <si>
    <t>sektora finansów publicznych (kol.5+7+8)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</si>
  <si>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</si>
  <si>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</si>
  <si>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</si>
  <si>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</si>
  <si>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</si>
  <si>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</si>
  <si>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</si>
  <si>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</si>
  <si>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</si>
  <si>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</si>
  <si>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</si>
  <si>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</si>
  <si>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</si>
  <si>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</si>
  <si>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</si>
  <si>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</si>
  <si>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</si>
  <si>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</si>
  <si>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</si>
  <si>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</si>
  <si>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</si>
  <si>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</si>
  <si>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</si>
  <si>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</si>
  <si>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</si>
  <si>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</si>
  <si>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</si>
  <si>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</si>
  <si>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</si>
  <si>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</si>
  <si>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</si>
  <si>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</si>
  <si>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</si>
  <si>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</si>
  <si>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</si>
  <si>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</si>
  <si>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</si>
  <si>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</si>
  <si>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N5.2 z tytułu podatków i składek na 
ubezpieczenia społ.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</si>
  <si>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</si>
  <si>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</si>
  <si>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</si>
  <si>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</si>
  <si>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</si>
  <si>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</si>
  <si>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  ZOBOWIĄZANIA WG TYTUŁÓW 
    DŁUŻNYCH (E1+E2+E3+E4)</t>
  </si>
  <si>
    <t>E1 papiery wartościowe 
     (E1.1+E1.2)</t>
  </si>
  <si>
    <t>E1.1 krótkotermionowe</t>
  </si>
  <si>
    <t>E1.2 długoterminowe</t>
  </si>
  <si>
    <t>E2 kredyty i pożyczki 
     (E2.1+E2.2)</t>
  </si>
  <si>
    <t>E2.1 krótkotermionowe</t>
  </si>
  <si>
    <t>E2.2 długoterminowe</t>
  </si>
  <si>
    <t>E3 przyjęte depozyty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</si>
  <si>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</si>
  <si>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</si>
  <si>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</si>
  <si>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</si>
  <si>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</si>
  <si>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</si>
  <si>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</si>
  <si>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</si>
  <si>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</si>
  <si>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</si>
  <si>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</si>
  <si>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</si>
  <si>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</si>
  <si>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</si>
  <si>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</si>
  <si>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</si>
  <si>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</si>
  <si>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wierzyciele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</si>
  <si>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</si>
  <si>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</si>
  <si>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</si>
  <si>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</si>
  <si>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</si>
  <si>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tytul</t>
  </si>
  <si>
    <t>w złotych</t>
  </si>
  <si>
    <t>E4  wymagalne zobowiązania (E4.1+E4.2)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</si>
</sst>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33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charset val="238"/>
    </font>
    <font>
      <b/>
      <sz val="8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8" fillId="0" borderId="0" xfId="37" applyFont="1" applyAlignment="1">
      <alignment horizontal="center" vertical="center" wrapText="1"/>
    </xf>
    <xf numFmtId="0" fontId="28" fillId="0" borderId="0" xfId="37" applyFont="1" applyFill="1" applyBorder="1" applyAlignment="1">
      <alignment horizontal="center" vertical="center" wrapText="1"/>
    </xf>
    <xf numFmtId="0" fontId="4" fillId="19" borderId="10" xfId="37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4" fillId="0" borderId="10" xfId="37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" fillId="0" borderId="10" xfId="37" applyFont="1" applyBorder="1" applyAlignment="1">
      <alignment horizontal="left" vertical="center" wrapText="1"/>
    </xf>
    <xf numFmtId="0" fontId="27" fillId="0" borderId="17" xfId="0" applyFont="1" applyFill="1" applyBorder="1" applyAlignment="1">
      <alignment vertical="center" wrapText="1"/>
    </xf>
    <xf numFmtId="0" fontId="8" fillId="20" borderId="10" xfId="37" applyFont="1" applyFill="1" applyBorder="1" applyAlignment="1">
      <alignment horizontal="left" vertical="center" wrapText="1"/>
    </xf>
    <xf numFmtId="4" fontId="7" fillId="20" borderId="10" xfId="37" applyNumberFormat="1" applyFont="1" applyFill="1" applyBorder="1" applyAlignment="1">
      <alignment horizontal="right" vertical="center" wrapText="1"/>
    </xf>
    <xf numFmtId="4" fontId="7" fillId="0" borderId="10" xfId="37" applyNumberFormat="1" applyFont="1" applyBorder="1" applyAlignment="1">
      <alignment horizontal="right" vertical="center" wrapText="1"/>
    </xf>
    <xf numFmtId="4" fontId="7" fillId="2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vertical="center" wrapText="1"/>
    </xf>
    <xf numFmtId="0" fontId="31" fillId="21" borderId="17" xfId="0" applyFont="1" applyFill="1" applyBorder="1" applyAlignment="1">
      <alignment vertical="center" wrapText="1"/>
    </xf>
    <xf numFmtId="0" fontId="29" fillId="19" borderId="19" xfId="37" applyFont="1" applyFill="1" applyBorder="1" applyAlignment="1">
      <alignment horizontal="center" vertical="center" wrapText="1"/>
    </xf>
    <xf numFmtId="0" fontId="29" fillId="19" borderId="20" xfId="37" applyFont="1" applyFill="1" applyBorder="1" applyAlignment="1">
      <alignment horizontal="center" vertical="center" wrapText="1"/>
    </xf>
    <xf numFmtId="0" fontId="29" fillId="19" borderId="12" xfId="37" applyFont="1" applyFill="1" applyBorder="1" applyAlignment="1">
      <alignment horizontal="center" vertical="center" wrapText="1"/>
    </xf>
    <xf numFmtId="0" fontId="7" fillId="19" borderId="20" xfId="37" applyFont="1" applyFill="1" applyBorder="1" applyAlignment="1">
      <alignment horizontal="center" vertical="center" wrapText="1"/>
    </xf>
    <xf numFmtId="0" fontId="7" fillId="19" borderId="12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29" fillId="19" borderId="15" xfId="37" applyFont="1" applyFill="1" applyBorder="1" applyAlignment="1">
      <alignment horizontal="center" vertical="center" wrapText="1"/>
    </xf>
    <xf numFmtId="0" fontId="29" fillId="19" borderId="14" xfId="37" applyFont="1" applyFill="1" applyBorder="1" applyAlignment="1">
      <alignment horizontal="center" vertical="center" wrapText="1"/>
    </xf>
    <xf numFmtId="0" fontId="29" fillId="19" borderId="11" xfId="37" applyFont="1" applyFill="1" applyBorder="1" applyAlignment="1">
      <alignment horizontal="center" vertical="center" wrapText="1"/>
    </xf>
    <xf numFmtId="0" fontId="32" fillId="0" borderId="0" xfId="37" applyFont="1" applyAlignment="1">
      <alignment horizontal="center" vertical="center" wrapText="1"/>
    </xf>
    <xf numFmtId="0" fontId="6" fillId="0" borderId="0" xfId="37" applyFont="1" applyAlignment="1">
      <alignment horizontal="left" vertical="center" wrapText="1"/>
    </xf>
    <xf numFmtId="0" fontId="7" fillId="19" borderId="19" xfId="37" applyFont="1" applyFill="1" applyBorder="1" applyAlignment="1">
      <alignment horizontal="center" vertical="center" wrapText="1"/>
    </xf>
    <xf numFmtId="0" fontId="28" fillId="0" borderId="0" xfId="37" applyFont="1" applyFill="1" applyBorder="1" applyAlignment="1">
      <alignment horizontal="center" vertical="center" wrapText="1"/>
    </xf>
    <xf numFmtId="0" fontId="5" fillId="19" borderId="21" xfId="37" applyFont="1" applyFill="1" applyBorder="1" applyAlignment="1">
      <alignment horizontal="center" vertical="center" wrapText="1"/>
    </xf>
    <xf numFmtId="0" fontId="5" fillId="19" borderId="22" xfId="37" applyFont="1" applyFill="1" applyBorder="1" applyAlignment="1">
      <alignment horizontal="center" vertical="center" wrapText="1"/>
    </xf>
    <xf numFmtId="0" fontId="5" fillId="19" borderId="13" xfId="37" applyFont="1" applyFill="1" applyBorder="1" applyAlignment="1">
      <alignment horizontal="center" vertical="center" wrapText="1"/>
    </xf>
    <xf numFmtId="0" fontId="30" fillId="19" borderId="10" xfId="37" applyFont="1" applyFill="1" applyBorder="1" applyAlignment="1">
      <alignment horizontal="center" vertical="center" wrapText="1"/>
    </xf>
    <xf numFmtId="0" fontId="7" fillId="19" borderId="22" xfId="37" applyFont="1" applyFill="1" applyBorder="1" applyAlignment="1">
      <alignment horizontal="center" vertical="center" wrapText="1"/>
    </xf>
    <xf numFmtId="0" fontId="7" fillId="19" borderId="13" xfId="37" applyFont="1" applyFill="1" applyBorder="1" applyAlignment="1">
      <alignment horizontal="center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4" fontId="7" fillId="20" borderId="15" xfId="37" applyNumberFormat="1" applyFont="1" applyFill="1" applyBorder="1" applyAlignment="1">
      <alignment horizontal="right" vertical="center" wrapText="1"/>
    </xf>
    <xf numFmtId="4" fontId="7" fillId="20" borderId="11" xfId="37" applyNumberFormat="1" applyFont="1" applyFill="1" applyBorder="1" applyAlignment="1">
      <alignment horizontal="right" vertical="center" wrapText="1"/>
    </xf>
    <xf numFmtId="0" fontId="7" fillId="19" borderId="15" xfId="37" applyFont="1" applyFill="1" applyBorder="1" applyAlignment="1">
      <alignment horizontal="center" vertical="center" wrapText="1"/>
    </xf>
    <xf numFmtId="0" fontId="7" fillId="19" borderId="14" xfId="37" applyFont="1" applyFill="1" applyBorder="1" applyAlignment="1">
      <alignment horizontal="center" vertical="center" wrapText="1"/>
    </xf>
    <xf numFmtId="0" fontId="7" fillId="19" borderId="11" xfId="37" applyFont="1" applyFill="1" applyBorder="1" applyAlignment="1">
      <alignment horizontal="center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0" fontId="2" fillId="20" borderId="15" xfId="37" applyFont="1" applyFill="1" applyBorder="1" applyAlignment="1">
      <alignment horizontal="left" vertical="center" wrapText="1"/>
    </xf>
    <xf numFmtId="0" fontId="2" fillId="20" borderId="14" xfId="37" applyFont="1" applyFill="1" applyBorder="1" applyAlignment="1">
      <alignment horizontal="left" vertical="center" wrapText="1"/>
    </xf>
    <xf numFmtId="0" fontId="2" fillId="20" borderId="11" xfId="37" applyFont="1" applyFill="1" applyBorder="1" applyAlignment="1">
      <alignment horizontal="left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3" fontId="7" fillId="20" borderId="15" xfId="37" applyNumberFormat="1" applyFont="1" applyFill="1" applyBorder="1" applyAlignment="1">
      <alignment horizontal="right" vertical="center" wrapText="1"/>
    </xf>
    <xf numFmtId="3" fontId="7" fillId="20" borderId="11" xfId="37" applyNumberFormat="1" applyFont="1" applyFill="1" applyBorder="1" applyAlignment="1">
      <alignment horizontal="right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5" fillId="19" borderId="14" xfId="37" applyFont="1" applyFill="1" applyBorder="1" applyAlignment="1">
      <alignment horizontal="center" vertical="center" wrapText="1"/>
    </xf>
    <xf numFmtId="0" fontId="30" fillId="19" borderId="10" xfId="37" applyNumberFormat="1" applyFont="1" applyFill="1" applyBorder="1" applyAlignment="1">
      <alignment horizontal="center" vertical="center" wrapText="1"/>
    </xf>
    <xf numFmtId="0" fontId="4" fillId="19" borderId="10" xfId="37" applyFill="1" applyBorder="1" applyAlignment="1">
      <alignment horizontal="center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4" fillId="19" borderId="10" xfId="37" applyNumberFormat="1" applyFont="1" applyFill="1" applyBorder="1" applyAlignment="1">
      <alignment horizontal="center" vertical="center" wrapText="1"/>
    </xf>
  </cellXfs>
  <cellStyles count="4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ny" xfId="0" builtinId="0"/>
    <cellStyle name="Normalny_Zeszyt1" xfId="37" xr:uid="{00000000-0005-0000-0000-000025000000}"/>
    <cellStyle name="Note" xfId="38" xr:uid="{00000000-0005-0000-0000-000026000000}"/>
    <cellStyle name="Output" xfId="39" xr:uid="{00000000-0005-0000-0000-000027000000}"/>
    <cellStyle name="Title" xfId="40" xr:uid="{00000000-0005-0000-0000-000028000000}"/>
    <cellStyle name="Total" xfId="41" xr:uid="{00000000-0005-0000-0000-000029000000}"/>
    <cellStyle name="Warning Text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Q96"/>
  <sheetViews>
    <sheetView tabSelected="1" zoomScaleNormal="100" zoomScaleSheetLayoutView="50" workbookViewId="0">
      <selection activeCell="A3" sqref="A3:M3"/>
    </sheetView>
  </sheetViews>
  <sheetFormatPr defaultRowHeight="13.5" customHeight="1" x14ac:dyDescent="0.2"/>
  <cols>
    <col min="1" max="1" width="22.5703125" style="2" customWidth="1"/>
    <col min="2" max="3" width="13.7109375" style="2" customWidth="1"/>
    <col min="4" max="4" width="12.42578125" style="2" customWidth="1"/>
    <col min="5" max="6" width="11.42578125" style="2" customWidth="1"/>
    <col min="7" max="7" width="12.7109375" style="2" customWidth="1"/>
    <col min="8" max="8" width="9.7109375" style="2" customWidth="1"/>
    <col min="9" max="9" width="10.7109375" style="2" customWidth="1"/>
    <col min="10" max="10" width="14" style="2" customWidth="1"/>
    <col min="11" max="11" width="12.140625" style="2" customWidth="1"/>
    <col min="12" max="12" width="11.42578125" style="2" customWidth="1"/>
    <col min="13" max="13" width="12" style="2" customWidth="1"/>
    <col min="14" max="14" width="11.7109375" style="2" customWidth="1"/>
    <col min="15" max="15" width="11.140625" style="2" customWidth="1"/>
    <col min="16" max="16" width="12.5703125" style="2" customWidth="1"/>
    <col min="17" max="16384" width="9.140625" style="2"/>
  </cols>
  <sheetData>
    <row r="1" spans="1:17" ht="75" customHeight="1" x14ac:dyDescent="0.2">
      <c r="A1" s="36" t="str">
        <f>CONCATENATE("Informacja z wykonania budżetów miast na prawach powiatu za  ",$C$93," ",$B$94," roku     ",$B$96,"")</f>
        <v xml:space="preserve">Informacja z wykonania budżetów miast na prawach powiatu za  IV Kwartały 2023 roku     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37" t="s">
        <v>64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5" spans="1:17" ht="13.5" customHeight="1" x14ac:dyDescent="0.2">
      <c r="B5" s="12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11"/>
      <c r="O5" s="11"/>
      <c r="P5" s="11"/>
      <c r="Q5" s="11"/>
    </row>
    <row r="6" spans="1:17" ht="13.5" customHeight="1" x14ac:dyDescent="0.2">
      <c r="A6" s="26" t="s">
        <v>0</v>
      </c>
      <c r="B6" s="38" t="s">
        <v>65</v>
      </c>
      <c r="C6" s="50" t="s">
        <v>69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2"/>
      <c r="O6" s="50" t="s">
        <v>68</v>
      </c>
      <c r="P6" s="51"/>
      <c r="Q6" s="52"/>
    </row>
    <row r="7" spans="1:17" ht="13.5" customHeight="1" x14ac:dyDescent="0.2">
      <c r="A7" s="27"/>
      <c r="B7" s="29"/>
      <c r="C7" s="30" t="s">
        <v>66</v>
      </c>
      <c r="D7" s="30" t="s">
        <v>1</v>
      </c>
      <c r="E7" s="30" t="s">
        <v>70</v>
      </c>
      <c r="F7" s="30" t="s">
        <v>71</v>
      </c>
      <c r="G7" s="30" t="s">
        <v>28</v>
      </c>
      <c r="H7" s="30" t="s">
        <v>29</v>
      </c>
      <c r="I7" s="44" t="s">
        <v>67</v>
      </c>
      <c r="J7" s="30" t="s">
        <v>17</v>
      </c>
      <c r="K7" s="30" t="s">
        <v>18</v>
      </c>
      <c r="L7" s="30" t="s">
        <v>19</v>
      </c>
      <c r="M7" s="30" t="s">
        <v>20</v>
      </c>
      <c r="N7" s="29" t="s">
        <v>21</v>
      </c>
      <c r="O7" s="31" t="s">
        <v>22</v>
      </c>
      <c r="P7" s="31" t="s">
        <v>23</v>
      </c>
      <c r="Q7" s="31" t="s">
        <v>24</v>
      </c>
    </row>
    <row r="8" spans="1:17" ht="13.5" customHeight="1" x14ac:dyDescent="0.2">
      <c r="A8" s="27"/>
      <c r="B8" s="29"/>
      <c r="C8" s="31"/>
      <c r="D8" s="31"/>
      <c r="E8" s="31"/>
      <c r="F8" s="31"/>
      <c r="G8" s="31"/>
      <c r="H8" s="31"/>
      <c r="I8" s="44"/>
      <c r="J8" s="31"/>
      <c r="K8" s="31"/>
      <c r="L8" s="31"/>
      <c r="M8" s="31"/>
      <c r="N8" s="29"/>
      <c r="O8" s="31"/>
      <c r="P8" s="31"/>
      <c r="Q8" s="31"/>
    </row>
    <row r="9" spans="1:17" ht="11.25" customHeight="1" x14ac:dyDescent="0.2">
      <c r="A9" s="27"/>
      <c r="B9" s="29"/>
      <c r="C9" s="31"/>
      <c r="D9" s="31"/>
      <c r="E9" s="31"/>
      <c r="F9" s="31"/>
      <c r="G9" s="31"/>
      <c r="H9" s="31"/>
      <c r="I9" s="44"/>
      <c r="J9" s="31"/>
      <c r="K9" s="31"/>
      <c r="L9" s="31"/>
      <c r="M9" s="31"/>
      <c r="N9" s="29"/>
      <c r="O9" s="31"/>
      <c r="P9" s="31"/>
      <c r="Q9" s="31"/>
    </row>
    <row r="10" spans="1:17" ht="11.25" customHeight="1" x14ac:dyDescent="0.2">
      <c r="A10" s="28"/>
      <c r="B10" s="30"/>
      <c r="C10" s="31"/>
      <c r="D10" s="31"/>
      <c r="E10" s="31"/>
      <c r="F10" s="31"/>
      <c r="G10" s="31"/>
      <c r="H10" s="31"/>
      <c r="I10" s="45"/>
      <c r="J10" s="31"/>
      <c r="K10" s="31"/>
      <c r="L10" s="31"/>
      <c r="M10" s="31"/>
      <c r="N10" s="30"/>
      <c r="O10" s="31"/>
      <c r="P10" s="31"/>
      <c r="Q10" s="31"/>
    </row>
    <row r="11" spans="1:17" ht="11.25" customHeight="1" x14ac:dyDescent="0.2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14">
        <v>16</v>
      </c>
      <c r="Q11" s="14">
        <v>17</v>
      </c>
    </row>
    <row r="12" spans="1:17" ht="13.5" customHeight="1" x14ac:dyDescent="0.2">
      <c r="A12" s="14"/>
      <c r="B12" s="77" t="s">
        <v>79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9"/>
    </row>
    <row r="13" spans="1:17" ht="38.25" customHeight="1" x14ac:dyDescent="0.2">
      <c r="A13" s="20" t="s">
        <v>47</v>
      </c>
      <c r="B13" s="21">
        <f>52168943524.34</f>
        <v>52168943524.339996</v>
      </c>
      <c r="C13" s="21">
        <f>28710700289.58</f>
        <v>28710700289.580002</v>
      </c>
      <c r="D13" s="21">
        <f>386164603.16</f>
        <v>386164603.16000003</v>
      </c>
      <c r="E13" s="21">
        <f>10389.48</f>
        <v>10389.48</v>
      </c>
      <c r="F13" s="21">
        <f>221688404.49</f>
        <v>221688404.49000001</v>
      </c>
      <c r="G13" s="21">
        <f>164116178.13</f>
        <v>164116178.13</v>
      </c>
      <c r="H13" s="21">
        <f>349631.06</f>
        <v>349631.06</v>
      </c>
      <c r="I13" s="21">
        <f>0</f>
        <v>0</v>
      </c>
      <c r="J13" s="21">
        <f>25779258213.48</f>
        <v>25779258213.48</v>
      </c>
      <c r="K13" s="21">
        <f>1178318542.92</f>
        <v>1178318542.9200001</v>
      </c>
      <c r="L13" s="21">
        <f>1352786475.66</f>
        <v>1352786475.6600001</v>
      </c>
      <c r="M13" s="21">
        <f>13501829.77</f>
        <v>13501829.77</v>
      </c>
      <c r="N13" s="21">
        <f>670624.59</f>
        <v>670624.59</v>
      </c>
      <c r="O13" s="21">
        <f>23458243234.76</f>
        <v>23458243234.759998</v>
      </c>
      <c r="P13" s="21">
        <f>23416927444.76</f>
        <v>23416927444.759998</v>
      </c>
      <c r="Q13" s="21">
        <f>41315790</f>
        <v>41315790</v>
      </c>
    </row>
    <row r="14" spans="1:17" ht="38.25" customHeight="1" x14ac:dyDescent="0.2">
      <c r="A14" s="20" t="s">
        <v>48</v>
      </c>
      <c r="B14" s="21">
        <f>4964941000</f>
        <v>4964941000</v>
      </c>
      <c r="C14" s="21">
        <f>4964941000</f>
        <v>4964941000</v>
      </c>
      <c r="D14" s="21">
        <f>0</f>
        <v>0</v>
      </c>
      <c r="E14" s="21">
        <f>0</f>
        <v>0</v>
      </c>
      <c r="F14" s="21">
        <f>0</f>
        <v>0</v>
      </c>
      <c r="G14" s="21">
        <f>0</f>
        <v>0</v>
      </c>
      <c r="H14" s="21">
        <f>0</f>
        <v>0</v>
      </c>
      <c r="I14" s="21">
        <f>0</f>
        <v>0</v>
      </c>
      <c r="J14" s="21">
        <f>4803441000</f>
        <v>4803441000</v>
      </c>
      <c r="K14" s="21">
        <f>161500000</f>
        <v>161500000</v>
      </c>
      <c r="L14" s="21">
        <f>0</f>
        <v>0</v>
      </c>
      <c r="M14" s="21">
        <f>0</f>
        <v>0</v>
      </c>
      <c r="N14" s="21">
        <f>0</f>
        <v>0</v>
      </c>
      <c r="O14" s="21">
        <f>0</f>
        <v>0</v>
      </c>
      <c r="P14" s="21">
        <f>0</f>
        <v>0</v>
      </c>
      <c r="Q14" s="21">
        <f>0</f>
        <v>0</v>
      </c>
    </row>
    <row r="15" spans="1:17" ht="38.25" customHeight="1" x14ac:dyDescent="0.2">
      <c r="A15" s="18" t="s">
        <v>49</v>
      </c>
      <c r="B15" s="22">
        <f>0</f>
        <v>0</v>
      </c>
      <c r="C15" s="22">
        <f>0</f>
        <v>0</v>
      </c>
      <c r="D15" s="22">
        <f>0</f>
        <v>0</v>
      </c>
      <c r="E15" s="22">
        <f>0</f>
        <v>0</v>
      </c>
      <c r="F15" s="22">
        <f>0</f>
        <v>0</v>
      </c>
      <c r="G15" s="22">
        <f>0</f>
        <v>0</v>
      </c>
      <c r="H15" s="22">
        <f>0</f>
        <v>0</v>
      </c>
      <c r="I15" s="22">
        <f>0</f>
        <v>0</v>
      </c>
      <c r="J15" s="22">
        <f>0</f>
        <v>0</v>
      </c>
      <c r="K15" s="22">
        <f>0</f>
        <v>0</v>
      </c>
      <c r="L15" s="22">
        <f>0</f>
        <v>0</v>
      </c>
      <c r="M15" s="22">
        <f>0</f>
        <v>0</v>
      </c>
      <c r="N15" s="22">
        <f>0</f>
        <v>0</v>
      </c>
      <c r="O15" s="22">
        <f>0</f>
        <v>0</v>
      </c>
      <c r="P15" s="22">
        <f>0</f>
        <v>0</v>
      </c>
      <c r="Q15" s="22">
        <f>0</f>
        <v>0</v>
      </c>
    </row>
    <row r="16" spans="1:17" ht="38.25" customHeight="1" x14ac:dyDescent="0.2">
      <c r="A16" s="18" t="s">
        <v>50</v>
      </c>
      <c r="B16" s="22">
        <f>4964941000</f>
        <v>4964941000</v>
      </c>
      <c r="C16" s="22">
        <f>4964941000</f>
        <v>4964941000</v>
      </c>
      <c r="D16" s="22">
        <f>0</f>
        <v>0</v>
      </c>
      <c r="E16" s="22">
        <f>0</f>
        <v>0</v>
      </c>
      <c r="F16" s="22">
        <f>0</f>
        <v>0</v>
      </c>
      <c r="G16" s="22">
        <f>0</f>
        <v>0</v>
      </c>
      <c r="H16" s="22">
        <f>0</f>
        <v>0</v>
      </c>
      <c r="I16" s="22">
        <f>0</f>
        <v>0</v>
      </c>
      <c r="J16" s="22">
        <f>4803441000</f>
        <v>4803441000</v>
      </c>
      <c r="K16" s="22">
        <f>161500000</f>
        <v>161500000</v>
      </c>
      <c r="L16" s="22">
        <f>0</f>
        <v>0</v>
      </c>
      <c r="M16" s="22">
        <f>0</f>
        <v>0</v>
      </c>
      <c r="N16" s="22">
        <f>0</f>
        <v>0</v>
      </c>
      <c r="O16" s="22">
        <f>0</f>
        <v>0</v>
      </c>
      <c r="P16" s="22">
        <f>0</f>
        <v>0</v>
      </c>
      <c r="Q16" s="22">
        <f>0</f>
        <v>0</v>
      </c>
    </row>
    <row r="17" spans="1:17" ht="38.25" customHeight="1" x14ac:dyDescent="0.2">
      <c r="A17" s="20" t="s">
        <v>51</v>
      </c>
      <c r="B17" s="21">
        <f>47172712996.28</f>
        <v>47172712996.279999</v>
      </c>
      <c r="C17" s="21">
        <f>23714469761.52</f>
        <v>23714469761.52</v>
      </c>
      <c r="D17" s="21">
        <f>382537211.32</f>
        <v>382537211.31999999</v>
      </c>
      <c r="E17" s="21">
        <f>0</f>
        <v>0</v>
      </c>
      <c r="F17" s="21">
        <f>221688404.49</f>
        <v>221688404.49000001</v>
      </c>
      <c r="G17" s="21">
        <f>160848806.83</f>
        <v>160848806.83000001</v>
      </c>
      <c r="H17" s="21">
        <f>0</f>
        <v>0</v>
      </c>
      <c r="I17" s="21">
        <f>0</f>
        <v>0</v>
      </c>
      <c r="J17" s="21">
        <f>20975817213.48</f>
        <v>20975817213.48</v>
      </c>
      <c r="K17" s="21">
        <f>1016817887.6</f>
        <v>1016817887.6</v>
      </c>
      <c r="L17" s="21">
        <f>1339247449.12</f>
        <v>1339247449.1199999</v>
      </c>
      <c r="M17" s="21">
        <f>50000</f>
        <v>50000</v>
      </c>
      <c r="N17" s="21">
        <f>0</f>
        <v>0</v>
      </c>
      <c r="O17" s="21">
        <f>23458243234.76</f>
        <v>23458243234.759998</v>
      </c>
      <c r="P17" s="21">
        <f>23416927444.76</f>
        <v>23416927444.759998</v>
      </c>
      <c r="Q17" s="21">
        <f>41315790</f>
        <v>41315790</v>
      </c>
    </row>
    <row r="18" spans="1:17" ht="38.25" customHeight="1" x14ac:dyDescent="0.2">
      <c r="A18" s="18" t="s">
        <v>52</v>
      </c>
      <c r="B18" s="22">
        <f>73447500</f>
        <v>73447500</v>
      </c>
      <c r="C18" s="22">
        <f>53447500</f>
        <v>53447500</v>
      </c>
      <c r="D18" s="22">
        <f>0</f>
        <v>0</v>
      </c>
      <c r="E18" s="22">
        <f>0</f>
        <v>0</v>
      </c>
      <c r="F18" s="22">
        <f>0</f>
        <v>0</v>
      </c>
      <c r="G18" s="22">
        <f>0</f>
        <v>0</v>
      </c>
      <c r="H18" s="22">
        <f>0</f>
        <v>0</v>
      </c>
      <c r="I18" s="22">
        <f>0</f>
        <v>0</v>
      </c>
      <c r="J18" s="22">
        <f>44560000</f>
        <v>44560000</v>
      </c>
      <c r="K18" s="22">
        <f>8000000</f>
        <v>8000000</v>
      </c>
      <c r="L18" s="22">
        <f>887500</f>
        <v>887500</v>
      </c>
      <c r="M18" s="22">
        <f>0</f>
        <v>0</v>
      </c>
      <c r="N18" s="22">
        <f>0</f>
        <v>0</v>
      </c>
      <c r="O18" s="22">
        <f>20000000</f>
        <v>20000000</v>
      </c>
      <c r="P18" s="22">
        <f>0</f>
        <v>0</v>
      </c>
      <c r="Q18" s="22">
        <f>20000000</f>
        <v>20000000</v>
      </c>
    </row>
    <row r="19" spans="1:17" ht="38.25" customHeight="1" x14ac:dyDescent="0.2">
      <c r="A19" s="18" t="s">
        <v>53</v>
      </c>
      <c r="B19" s="22">
        <f>47099265496.28</f>
        <v>47099265496.279999</v>
      </c>
      <c r="C19" s="22">
        <f>23661022261.52</f>
        <v>23661022261.52</v>
      </c>
      <c r="D19" s="22">
        <f>382537211.32</f>
        <v>382537211.31999999</v>
      </c>
      <c r="E19" s="22">
        <f>0</f>
        <v>0</v>
      </c>
      <c r="F19" s="22">
        <f>221688404.49</f>
        <v>221688404.49000001</v>
      </c>
      <c r="G19" s="22">
        <f>160848806.83</f>
        <v>160848806.83000001</v>
      </c>
      <c r="H19" s="22">
        <f>0</f>
        <v>0</v>
      </c>
      <c r="I19" s="22">
        <f>0</f>
        <v>0</v>
      </c>
      <c r="J19" s="22">
        <f>20931257213.48</f>
        <v>20931257213.48</v>
      </c>
      <c r="K19" s="22">
        <f>1008817887.6</f>
        <v>1008817887.6</v>
      </c>
      <c r="L19" s="22">
        <f>1338359949.12</f>
        <v>1338359949.1199999</v>
      </c>
      <c r="M19" s="22">
        <f>50000</f>
        <v>50000</v>
      </c>
      <c r="N19" s="22">
        <f>0</f>
        <v>0</v>
      </c>
      <c r="O19" s="22">
        <f>23438243234.76</f>
        <v>23438243234.759998</v>
      </c>
      <c r="P19" s="22">
        <f>23416927444.76</f>
        <v>23416927444.759998</v>
      </c>
      <c r="Q19" s="22">
        <f>21315790</f>
        <v>21315790</v>
      </c>
    </row>
    <row r="20" spans="1:17" ht="38.25" customHeight="1" x14ac:dyDescent="0.2">
      <c r="A20" s="20" t="s">
        <v>54</v>
      </c>
      <c r="B20" s="21">
        <f>0</f>
        <v>0</v>
      </c>
      <c r="C20" s="21">
        <f>0</f>
        <v>0</v>
      </c>
      <c r="D20" s="21">
        <f>0</f>
        <v>0</v>
      </c>
      <c r="E20" s="21">
        <f>0</f>
        <v>0</v>
      </c>
      <c r="F20" s="21">
        <f>0</f>
        <v>0</v>
      </c>
      <c r="G20" s="21">
        <f>0</f>
        <v>0</v>
      </c>
      <c r="H20" s="21">
        <f>0</f>
        <v>0</v>
      </c>
      <c r="I20" s="21">
        <f>0</f>
        <v>0</v>
      </c>
      <c r="J20" s="21">
        <f>0</f>
        <v>0</v>
      </c>
      <c r="K20" s="21">
        <f>0</f>
        <v>0</v>
      </c>
      <c r="L20" s="21">
        <f>0</f>
        <v>0</v>
      </c>
      <c r="M20" s="21">
        <f>0</f>
        <v>0</v>
      </c>
      <c r="N20" s="21">
        <f>0</f>
        <v>0</v>
      </c>
      <c r="O20" s="21">
        <f>0</f>
        <v>0</v>
      </c>
      <c r="P20" s="21">
        <f>0</f>
        <v>0</v>
      </c>
      <c r="Q20" s="21">
        <f>0</f>
        <v>0</v>
      </c>
    </row>
    <row r="21" spans="1:17" ht="38.25" customHeight="1" x14ac:dyDescent="0.2">
      <c r="A21" s="20" t="s">
        <v>80</v>
      </c>
      <c r="B21" s="21">
        <f>31289528.06</f>
        <v>31289528.059999999</v>
      </c>
      <c r="C21" s="21">
        <f>31289528.06</f>
        <v>31289528.059999999</v>
      </c>
      <c r="D21" s="21">
        <f>3627391.84</f>
        <v>3627391.84</v>
      </c>
      <c r="E21" s="21">
        <f>10389.48</f>
        <v>10389.48</v>
      </c>
      <c r="F21" s="21">
        <f>0</f>
        <v>0</v>
      </c>
      <c r="G21" s="21">
        <f>3267371.3</f>
        <v>3267371.3</v>
      </c>
      <c r="H21" s="21">
        <f>349631.06</f>
        <v>349631.06</v>
      </c>
      <c r="I21" s="21">
        <f>0</f>
        <v>0</v>
      </c>
      <c r="J21" s="21">
        <f>0</f>
        <v>0</v>
      </c>
      <c r="K21" s="21">
        <f>655.32</f>
        <v>655.32000000000005</v>
      </c>
      <c r="L21" s="21">
        <f>13539026.54</f>
        <v>13539026.539999999</v>
      </c>
      <c r="M21" s="21">
        <f>13451829.77</f>
        <v>13451829.77</v>
      </c>
      <c r="N21" s="21">
        <f>670624.59</f>
        <v>670624.59</v>
      </c>
      <c r="O21" s="21">
        <f>0</f>
        <v>0</v>
      </c>
      <c r="P21" s="21">
        <f>0</f>
        <v>0</v>
      </c>
      <c r="Q21" s="21">
        <f>0</f>
        <v>0</v>
      </c>
    </row>
    <row r="22" spans="1:17" ht="38.25" customHeight="1" x14ac:dyDescent="0.2">
      <c r="A22" s="18" t="s">
        <v>55</v>
      </c>
      <c r="B22" s="22">
        <f>24172711.9</f>
        <v>24172711.899999999</v>
      </c>
      <c r="C22" s="22">
        <f>24172711.9</f>
        <v>24172711.899999999</v>
      </c>
      <c r="D22" s="22">
        <f>1084077.86</f>
        <v>1084077.8600000001</v>
      </c>
      <c r="E22" s="22">
        <f>155.48</f>
        <v>155.47999999999999</v>
      </c>
      <c r="F22" s="22">
        <f>0</f>
        <v>0</v>
      </c>
      <c r="G22" s="22">
        <f>1083922.38</f>
        <v>1083922.3799999999</v>
      </c>
      <c r="H22" s="22">
        <f>0</f>
        <v>0</v>
      </c>
      <c r="I22" s="22">
        <f>0</f>
        <v>0</v>
      </c>
      <c r="J22" s="22">
        <f>0</f>
        <v>0</v>
      </c>
      <c r="K22" s="22">
        <f>0</f>
        <v>0</v>
      </c>
      <c r="L22" s="22">
        <f>11087482.2</f>
        <v>11087482.199999999</v>
      </c>
      <c r="M22" s="22">
        <f>11344445.41</f>
        <v>11344445.41</v>
      </c>
      <c r="N22" s="22">
        <f>656706.43</f>
        <v>656706.43000000005</v>
      </c>
      <c r="O22" s="22">
        <f>0</f>
        <v>0</v>
      </c>
      <c r="P22" s="22">
        <f>0</f>
        <v>0</v>
      </c>
      <c r="Q22" s="22">
        <f>0</f>
        <v>0</v>
      </c>
    </row>
    <row r="23" spans="1:17" ht="38.25" customHeight="1" x14ac:dyDescent="0.2">
      <c r="A23" s="18" t="s">
        <v>56</v>
      </c>
      <c r="B23" s="22">
        <f>7116816.16</f>
        <v>7116816.1600000001</v>
      </c>
      <c r="C23" s="22">
        <f>7116816.16</f>
        <v>7116816.1600000001</v>
      </c>
      <c r="D23" s="22">
        <f>2543313.98</f>
        <v>2543313.98</v>
      </c>
      <c r="E23" s="22">
        <f>10234</f>
        <v>10234</v>
      </c>
      <c r="F23" s="22">
        <f>0</f>
        <v>0</v>
      </c>
      <c r="G23" s="22">
        <f>2183448.92</f>
        <v>2183448.92</v>
      </c>
      <c r="H23" s="22">
        <f>349631.06</f>
        <v>349631.06</v>
      </c>
      <c r="I23" s="22">
        <f>0</f>
        <v>0</v>
      </c>
      <c r="J23" s="22">
        <f>0</f>
        <v>0</v>
      </c>
      <c r="K23" s="22">
        <f>655.32</f>
        <v>655.32000000000005</v>
      </c>
      <c r="L23" s="22">
        <f>2451544.34</f>
        <v>2451544.34</v>
      </c>
      <c r="M23" s="22">
        <f>2107384.36</f>
        <v>2107384.36</v>
      </c>
      <c r="N23" s="22">
        <f>13918.16</f>
        <v>13918.16</v>
      </c>
      <c r="O23" s="22">
        <f>0</f>
        <v>0</v>
      </c>
      <c r="P23" s="22">
        <f>0</f>
        <v>0</v>
      </c>
      <c r="Q23" s="22">
        <f>0</f>
        <v>0</v>
      </c>
    </row>
    <row r="24" spans="1:17" ht="19.5" customHeight="1" x14ac:dyDescent="0.2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19.5" customHeight="1" x14ac:dyDescent="0.2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19.5" customHeight="1" x14ac:dyDescent="0.2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19.5" customHeight="1" x14ac:dyDescent="0.2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19.5" customHeight="1" x14ac:dyDescent="0.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19.5" customHeight="1" x14ac:dyDescent="0.2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45.75" customHeight="1" x14ac:dyDescent="0.2">
      <c r="A30" s="36" t="str">
        <f>CONCATENATE("Informacja z wykonania budżetów miast na prawach powiatu za  ",$C$93," ",$B$94," roku     ",$B$96,"")</f>
        <v xml:space="preserve">Informacja z wykonania budżetów miast na prawach powiatu za  IV Kwartały 2023 roku     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2" spans="1:17" ht="13.5" customHeight="1" x14ac:dyDescent="0.2">
      <c r="A32" s="37" t="s">
        <v>12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4" spans="1:17" ht="13.5" customHeight="1" x14ac:dyDescent="0.2">
      <c r="A34" s="26" t="s">
        <v>0</v>
      </c>
      <c r="B34" s="38" t="s">
        <v>13</v>
      </c>
      <c r="C34" s="33" t="s">
        <v>15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33" t="s">
        <v>25</v>
      </c>
      <c r="P34" s="34"/>
      <c r="Q34" s="35"/>
    </row>
    <row r="35" spans="1:17" ht="13.5" customHeight="1" x14ac:dyDescent="0.2">
      <c r="A35" s="27"/>
      <c r="B35" s="29"/>
      <c r="C35" s="29" t="s">
        <v>14</v>
      </c>
      <c r="D35" s="31" t="s">
        <v>16</v>
      </c>
      <c r="E35" s="31" t="s">
        <v>26</v>
      </c>
      <c r="F35" s="31" t="s">
        <v>27</v>
      </c>
      <c r="G35" s="31" t="s">
        <v>75</v>
      </c>
      <c r="H35" s="31" t="s">
        <v>29</v>
      </c>
      <c r="I35" s="31" t="s">
        <v>2</v>
      </c>
      <c r="J35" s="31" t="s">
        <v>17</v>
      </c>
      <c r="K35" s="31" t="s">
        <v>18</v>
      </c>
      <c r="L35" s="31" t="s">
        <v>19</v>
      </c>
      <c r="M35" s="31" t="s">
        <v>20</v>
      </c>
      <c r="N35" s="75" t="s">
        <v>21</v>
      </c>
      <c r="O35" s="31" t="s">
        <v>22</v>
      </c>
      <c r="P35" s="31" t="s">
        <v>23</v>
      </c>
      <c r="Q35" s="38" t="s">
        <v>24</v>
      </c>
    </row>
    <row r="36" spans="1:17" ht="11.25" customHeight="1" x14ac:dyDescent="0.2">
      <c r="A36" s="27"/>
      <c r="B36" s="29"/>
      <c r="C36" s="29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5"/>
      <c r="O36" s="31"/>
      <c r="P36" s="31"/>
      <c r="Q36" s="29"/>
    </row>
    <row r="37" spans="1:17" ht="24.75" customHeight="1" x14ac:dyDescent="0.2">
      <c r="A37" s="28"/>
      <c r="B37" s="30"/>
      <c r="C37" s="30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5"/>
      <c r="O37" s="31"/>
      <c r="P37" s="31"/>
      <c r="Q37" s="30"/>
    </row>
    <row r="38" spans="1:17" ht="13.5" customHeight="1" x14ac:dyDescent="0.2">
      <c r="A38" s="14">
        <v>1</v>
      </c>
      <c r="B38" s="14">
        <v>2</v>
      </c>
      <c r="C38" s="14">
        <v>3</v>
      </c>
      <c r="D38" s="14">
        <v>4</v>
      </c>
      <c r="E38" s="14">
        <v>5</v>
      </c>
      <c r="F38" s="14">
        <v>6</v>
      </c>
      <c r="G38" s="14">
        <v>7</v>
      </c>
      <c r="H38" s="14">
        <v>8</v>
      </c>
      <c r="I38" s="14">
        <v>9</v>
      </c>
      <c r="J38" s="14">
        <v>10</v>
      </c>
      <c r="K38" s="14">
        <v>11</v>
      </c>
      <c r="L38" s="14">
        <v>12</v>
      </c>
      <c r="M38" s="14">
        <v>13</v>
      </c>
      <c r="N38" s="14">
        <v>14</v>
      </c>
      <c r="O38" s="14">
        <v>15</v>
      </c>
      <c r="P38" s="14">
        <v>16</v>
      </c>
      <c r="Q38" s="14">
        <v>17</v>
      </c>
    </row>
    <row r="39" spans="1:17" ht="12.75" customHeight="1" x14ac:dyDescent="0.2">
      <c r="A39" s="13"/>
      <c r="B39" s="61" t="s">
        <v>79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62"/>
    </row>
    <row r="40" spans="1:17" ht="26.25" customHeight="1" x14ac:dyDescent="0.2">
      <c r="A40" s="25" t="s">
        <v>42</v>
      </c>
      <c r="B40" s="23">
        <f>105339.5</f>
        <v>105339.5</v>
      </c>
      <c r="C40" s="23">
        <f>105339.5</f>
        <v>105339.5</v>
      </c>
      <c r="D40" s="23">
        <f>0</f>
        <v>0</v>
      </c>
      <c r="E40" s="23">
        <f>0</f>
        <v>0</v>
      </c>
      <c r="F40" s="23">
        <f>0</f>
        <v>0</v>
      </c>
      <c r="G40" s="23">
        <f>0</f>
        <v>0</v>
      </c>
      <c r="H40" s="23">
        <f>0</f>
        <v>0</v>
      </c>
      <c r="I40" s="23">
        <f>0</f>
        <v>0</v>
      </c>
      <c r="J40" s="23">
        <f>0</f>
        <v>0</v>
      </c>
      <c r="K40" s="23">
        <f>0</f>
        <v>0</v>
      </c>
      <c r="L40" s="23">
        <f>105339.5</f>
        <v>105339.5</v>
      </c>
      <c r="M40" s="23">
        <f>0</f>
        <v>0</v>
      </c>
      <c r="N40" s="23">
        <f>0</f>
        <v>0</v>
      </c>
      <c r="O40" s="23">
        <f>0</f>
        <v>0</v>
      </c>
      <c r="P40" s="23">
        <f>0</f>
        <v>0</v>
      </c>
      <c r="Q40" s="23">
        <f>0</f>
        <v>0</v>
      </c>
    </row>
    <row r="41" spans="1:17" ht="26.25" customHeight="1" x14ac:dyDescent="0.2">
      <c r="A41" s="19" t="s">
        <v>30</v>
      </c>
      <c r="B41" s="24">
        <f>0</f>
        <v>0</v>
      </c>
      <c r="C41" s="24">
        <f>0</f>
        <v>0</v>
      </c>
      <c r="D41" s="24">
        <f>0</f>
        <v>0</v>
      </c>
      <c r="E41" s="24">
        <f>0</f>
        <v>0</v>
      </c>
      <c r="F41" s="24">
        <f>0</f>
        <v>0</v>
      </c>
      <c r="G41" s="24">
        <f>0</f>
        <v>0</v>
      </c>
      <c r="H41" s="24">
        <f>0</f>
        <v>0</v>
      </c>
      <c r="I41" s="24">
        <f>0</f>
        <v>0</v>
      </c>
      <c r="J41" s="24">
        <f>0</f>
        <v>0</v>
      </c>
      <c r="K41" s="24">
        <f>0</f>
        <v>0</v>
      </c>
      <c r="L41" s="24">
        <f>0</f>
        <v>0</v>
      </c>
      <c r="M41" s="24">
        <f>0</f>
        <v>0</v>
      </c>
      <c r="N41" s="24">
        <f>0</f>
        <v>0</v>
      </c>
      <c r="O41" s="24">
        <f>0</f>
        <v>0</v>
      </c>
      <c r="P41" s="24">
        <f>0</f>
        <v>0</v>
      </c>
      <c r="Q41" s="24">
        <f>0</f>
        <v>0</v>
      </c>
    </row>
    <row r="42" spans="1:17" ht="26.25" customHeight="1" x14ac:dyDescent="0.2">
      <c r="A42" s="19" t="s">
        <v>31</v>
      </c>
      <c r="B42" s="24">
        <f>105339.5</f>
        <v>105339.5</v>
      </c>
      <c r="C42" s="24">
        <f>105339.5</f>
        <v>105339.5</v>
      </c>
      <c r="D42" s="24">
        <f>0</f>
        <v>0</v>
      </c>
      <c r="E42" s="24">
        <f>0</f>
        <v>0</v>
      </c>
      <c r="F42" s="24">
        <f>0</f>
        <v>0</v>
      </c>
      <c r="G42" s="24">
        <f>0</f>
        <v>0</v>
      </c>
      <c r="H42" s="24">
        <f>0</f>
        <v>0</v>
      </c>
      <c r="I42" s="24">
        <f>0</f>
        <v>0</v>
      </c>
      <c r="J42" s="24">
        <f>0</f>
        <v>0</v>
      </c>
      <c r="K42" s="24">
        <f>0</f>
        <v>0</v>
      </c>
      <c r="L42" s="24">
        <f>105339.5</f>
        <v>105339.5</v>
      </c>
      <c r="M42" s="24">
        <f>0</f>
        <v>0</v>
      </c>
      <c r="N42" s="24">
        <f>0</f>
        <v>0</v>
      </c>
      <c r="O42" s="24">
        <f>0</f>
        <v>0</v>
      </c>
      <c r="P42" s="24">
        <f>0</f>
        <v>0</v>
      </c>
      <c r="Q42" s="24">
        <f>0</f>
        <v>0</v>
      </c>
    </row>
    <row r="43" spans="1:17" ht="26.25" customHeight="1" x14ac:dyDescent="0.2">
      <c r="A43" s="25" t="s">
        <v>43</v>
      </c>
      <c r="B43" s="23">
        <f>361455002.09</f>
        <v>361455002.08999997</v>
      </c>
      <c r="C43" s="23">
        <f>361455002.09</f>
        <v>361455002.08999997</v>
      </c>
      <c r="D43" s="23">
        <f>126761567.9</f>
        <v>126761567.90000001</v>
      </c>
      <c r="E43" s="23">
        <f>2125</f>
        <v>2125</v>
      </c>
      <c r="F43" s="23">
        <f>0</f>
        <v>0</v>
      </c>
      <c r="G43" s="23">
        <f>126759442.9</f>
        <v>126759442.90000001</v>
      </c>
      <c r="H43" s="23">
        <f>0</f>
        <v>0</v>
      </c>
      <c r="I43" s="23">
        <f>0</f>
        <v>0</v>
      </c>
      <c r="J43" s="23">
        <f>0</f>
        <v>0</v>
      </c>
      <c r="K43" s="23">
        <f>4560</f>
        <v>4560</v>
      </c>
      <c r="L43" s="23">
        <f>130315045.44</f>
        <v>130315045.44</v>
      </c>
      <c r="M43" s="23">
        <f>91487888.4</f>
        <v>91487888.400000006</v>
      </c>
      <c r="N43" s="23">
        <f>12885940.35</f>
        <v>12885940.35</v>
      </c>
      <c r="O43" s="23">
        <f>0</f>
        <v>0</v>
      </c>
      <c r="P43" s="23">
        <f>0</f>
        <v>0</v>
      </c>
      <c r="Q43" s="23">
        <f>0</f>
        <v>0</v>
      </c>
    </row>
    <row r="44" spans="1:17" ht="26.25" customHeight="1" x14ac:dyDescent="0.2">
      <c r="A44" s="19" t="s">
        <v>32</v>
      </c>
      <c r="B44" s="24">
        <f>44782536.73</f>
        <v>44782536.729999997</v>
      </c>
      <c r="C44" s="24">
        <f>44782536.73</f>
        <v>44782536.729999997</v>
      </c>
      <c r="D44" s="24">
        <f>11594098.28</f>
        <v>11594098.279999999</v>
      </c>
      <c r="E44" s="24">
        <f>2125</f>
        <v>2125</v>
      </c>
      <c r="F44" s="24">
        <f>0</f>
        <v>0</v>
      </c>
      <c r="G44" s="24">
        <f>11591973.28</f>
        <v>11591973.279999999</v>
      </c>
      <c r="H44" s="24">
        <f>0</f>
        <v>0</v>
      </c>
      <c r="I44" s="24">
        <f>0</f>
        <v>0</v>
      </c>
      <c r="J44" s="24">
        <f>0</f>
        <v>0</v>
      </c>
      <c r="K44" s="24">
        <f>4560</f>
        <v>4560</v>
      </c>
      <c r="L44" s="24">
        <f>13283241.4</f>
        <v>13283241.4</v>
      </c>
      <c r="M44" s="24">
        <f>19448837.79</f>
        <v>19448837.789999999</v>
      </c>
      <c r="N44" s="24">
        <f>451799.26</f>
        <v>451799.26</v>
      </c>
      <c r="O44" s="24">
        <f>0</f>
        <v>0</v>
      </c>
      <c r="P44" s="24">
        <f>0</f>
        <v>0</v>
      </c>
      <c r="Q44" s="24">
        <f>0</f>
        <v>0</v>
      </c>
    </row>
    <row r="45" spans="1:17" ht="26.25" customHeight="1" x14ac:dyDescent="0.2">
      <c r="A45" s="19" t="s">
        <v>33</v>
      </c>
      <c r="B45" s="24">
        <f>316672465.36</f>
        <v>316672465.36000001</v>
      </c>
      <c r="C45" s="24">
        <f>316672465.36</f>
        <v>316672465.36000001</v>
      </c>
      <c r="D45" s="24">
        <f>115167469.62</f>
        <v>115167469.62</v>
      </c>
      <c r="E45" s="24">
        <f>0</f>
        <v>0</v>
      </c>
      <c r="F45" s="24">
        <f>0</f>
        <v>0</v>
      </c>
      <c r="G45" s="24">
        <f>115167469.62</f>
        <v>115167469.62</v>
      </c>
      <c r="H45" s="24">
        <f>0</f>
        <v>0</v>
      </c>
      <c r="I45" s="24">
        <f>0</f>
        <v>0</v>
      </c>
      <c r="J45" s="24">
        <f>0</f>
        <v>0</v>
      </c>
      <c r="K45" s="24">
        <f>0</f>
        <v>0</v>
      </c>
      <c r="L45" s="24">
        <f>117031804.04</f>
        <v>117031804.04000001</v>
      </c>
      <c r="M45" s="24">
        <f>72039050.61</f>
        <v>72039050.609999999</v>
      </c>
      <c r="N45" s="24">
        <f>12434141.09</f>
        <v>12434141.09</v>
      </c>
      <c r="O45" s="24">
        <f>0</f>
        <v>0</v>
      </c>
      <c r="P45" s="24">
        <f>0</f>
        <v>0</v>
      </c>
      <c r="Q45" s="24">
        <f>0</f>
        <v>0</v>
      </c>
    </row>
    <row r="46" spans="1:17" ht="26.25" customHeight="1" x14ac:dyDescent="0.2">
      <c r="A46" s="25" t="s">
        <v>44</v>
      </c>
      <c r="B46" s="23">
        <f>6926053905.78</f>
        <v>6926053905.7799997</v>
      </c>
      <c r="C46" s="23">
        <f>6926053905.78</f>
        <v>6926053905.7799997</v>
      </c>
      <c r="D46" s="23">
        <f>3873274.22</f>
        <v>3873274.22</v>
      </c>
      <c r="E46" s="23">
        <f>99183.55</f>
        <v>99183.55</v>
      </c>
      <c r="F46" s="23">
        <f>55644.68</f>
        <v>55644.68</v>
      </c>
      <c r="G46" s="23">
        <f>3718445.99</f>
        <v>3718445.99</v>
      </c>
      <c r="H46" s="23">
        <f>0</f>
        <v>0</v>
      </c>
      <c r="I46" s="23">
        <f>5137805.6</f>
        <v>5137805.5999999996</v>
      </c>
      <c r="J46" s="23">
        <f>6915006310.37</f>
        <v>6915006310.3699999</v>
      </c>
      <c r="K46" s="23">
        <f>54478.05</f>
        <v>54478.05</v>
      </c>
      <c r="L46" s="23">
        <f>1938301.58</f>
        <v>1938301.58</v>
      </c>
      <c r="M46" s="23">
        <f>43087.05</f>
        <v>43087.05</v>
      </c>
      <c r="N46" s="23">
        <f>648.91</f>
        <v>648.91</v>
      </c>
      <c r="O46" s="23">
        <f>0</f>
        <v>0</v>
      </c>
      <c r="P46" s="23">
        <f>0</f>
        <v>0</v>
      </c>
      <c r="Q46" s="23">
        <f>0</f>
        <v>0</v>
      </c>
    </row>
    <row r="47" spans="1:17" ht="26.25" customHeight="1" x14ac:dyDescent="0.2">
      <c r="A47" s="19" t="s">
        <v>34</v>
      </c>
      <c r="B47" s="24">
        <f>3551981.38</f>
        <v>3551981.38</v>
      </c>
      <c r="C47" s="24">
        <f>3551981.38</f>
        <v>3551981.38</v>
      </c>
      <c r="D47" s="24">
        <f>3551981.38</f>
        <v>3551981.38</v>
      </c>
      <c r="E47" s="24">
        <f>0</f>
        <v>0</v>
      </c>
      <c r="F47" s="24">
        <f>0</f>
        <v>0</v>
      </c>
      <c r="G47" s="24">
        <f>3551981.38</f>
        <v>3551981.38</v>
      </c>
      <c r="H47" s="24">
        <f>0</f>
        <v>0</v>
      </c>
      <c r="I47" s="24">
        <f>0</f>
        <v>0</v>
      </c>
      <c r="J47" s="24">
        <f>0</f>
        <v>0</v>
      </c>
      <c r="K47" s="24">
        <f>0</f>
        <v>0</v>
      </c>
      <c r="L47" s="24">
        <f>0</f>
        <v>0</v>
      </c>
      <c r="M47" s="24">
        <f>0</f>
        <v>0</v>
      </c>
      <c r="N47" s="24">
        <f>0</f>
        <v>0</v>
      </c>
      <c r="O47" s="24">
        <f>0</f>
        <v>0</v>
      </c>
      <c r="P47" s="24">
        <f>0</f>
        <v>0</v>
      </c>
      <c r="Q47" s="24">
        <f>0</f>
        <v>0</v>
      </c>
    </row>
    <row r="48" spans="1:17" ht="26.25" customHeight="1" x14ac:dyDescent="0.2">
      <c r="A48" s="19" t="s">
        <v>35</v>
      </c>
      <c r="B48" s="24">
        <f>6307300722.48</f>
        <v>6307300722.4799995</v>
      </c>
      <c r="C48" s="24">
        <f>6307300722.48</f>
        <v>6307300722.4799995</v>
      </c>
      <c r="D48" s="24">
        <f>28236.16</f>
        <v>28236.16</v>
      </c>
      <c r="E48" s="24">
        <f>14000</f>
        <v>14000</v>
      </c>
      <c r="F48" s="24">
        <f>0</f>
        <v>0</v>
      </c>
      <c r="G48" s="24">
        <f>14236.16</f>
        <v>14236.16</v>
      </c>
      <c r="H48" s="24">
        <f>0</f>
        <v>0</v>
      </c>
      <c r="I48" s="24">
        <f>5054021.07</f>
        <v>5054021.07</v>
      </c>
      <c r="J48" s="24">
        <f>6301385453.2</f>
        <v>6301385453.1999998</v>
      </c>
      <c r="K48" s="24">
        <f>54478.05</f>
        <v>54478.05</v>
      </c>
      <c r="L48" s="24">
        <f>777477.61</f>
        <v>777477.61</v>
      </c>
      <c r="M48" s="24">
        <f>1056.39</f>
        <v>1056.3900000000001</v>
      </c>
      <c r="N48" s="24">
        <f>0</f>
        <v>0</v>
      </c>
      <c r="O48" s="24">
        <f>0</f>
        <v>0</v>
      </c>
      <c r="P48" s="24">
        <f>0</f>
        <v>0</v>
      </c>
      <c r="Q48" s="24">
        <f>0</f>
        <v>0</v>
      </c>
    </row>
    <row r="49" spans="1:17" ht="26.25" customHeight="1" x14ac:dyDescent="0.2">
      <c r="A49" s="19" t="s">
        <v>36</v>
      </c>
      <c r="B49" s="24">
        <f>615201201.92</f>
        <v>615201201.91999996</v>
      </c>
      <c r="C49" s="24">
        <f>615201201.92</f>
        <v>615201201.91999996</v>
      </c>
      <c r="D49" s="24">
        <f>293056.68</f>
        <v>293056.68</v>
      </c>
      <c r="E49" s="24">
        <f>85183.55</f>
        <v>85183.55</v>
      </c>
      <c r="F49" s="24">
        <f>55644.68</f>
        <v>55644.68</v>
      </c>
      <c r="G49" s="24">
        <f>152228.45</f>
        <v>152228.45000000001</v>
      </c>
      <c r="H49" s="24">
        <f>0</f>
        <v>0</v>
      </c>
      <c r="I49" s="24">
        <f>83784.53</f>
        <v>83784.53</v>
      </c>
      <c r="J49" s="24">
        <f>613620857.17</f>
        <v>613620857.16999996</v>
      </c>
      <c r="K49" s="24">
        <f>0</f>
        <v>0</v>
      </c>
      <c r="L49" s="24">
        <f>1160823.97</f>
        <v>1160823.97</v>
      </c>
      <c r="M49" s="24">
        <f>42030.66</f>
        <v>42030.66</v>
      </c>
      <c r="N49" s="24">
        <f>648.91</f>
        <v>648.91</v>
      </c>
      <c r="O49" s="24">
        <f>0</f>
        <v>0</v>
      </c>
      <c r="P49" s="24">
        <f>0</f>
        <v>0</v>
      </c>
      <c r="Q49" s="24">
        <f>0</f>
        <v>0</v>
      </c>
    </row>
    <row r="50" spans="1:17" ht="26.25" customHeight="1" x14ac:dyDescent="0.2">
      <c r="A50" s="25" t="s">
        <v>45</v>
      </c>
      <c r="B50" s="23">
        <f>12640191653.36</f>
        <v>12640191653.360001</v>
      </c>
      <c r="C50" s="23">
        <f>12615531340.97</f>
        <v>12615531340.969999</v>
      </c>
      <c r="D50" s="23">
        <f>326247294.19</f>
        <v>326247294.19</v>
      </c>
      <c r="E50" s="23">
        <f>72623588.27</f>
        <v>72623588.269999996</v>
      </c>
      <c r="F50" s="23">
        <f>8536229.46</f>
        <v>8536229.4600000009</v>
      </c>
      <c r="G50" s="23">
        <f>244878533.77</f>
        <v>244878533.77000001</v>
      </c>
      <c r="H50" s="23">
        <f>208942.69</f>
        <v>208942.69</v>
      </c>
      <c r="I50" s="23">
        <f>56000</f>
        <v>56000</v>
      </c>
      <c r="J50" s="23">
        <f>446598.8</f>
        <v>446598.8</v>
      </c>
      <c r="K50" s="23">
        <f>3284117.12</f>
        <v>3284117.12</v>
      </c>
      <c r="L50" s="23">
        <f>2679824296.65</f>
        <v>2679824296.6500001</v>
      </c>
      <c r="M50" s="23">
        <f>9525019209.02</f>
        <v>9525019209.0200005</v>
      </c>
      <c r="N50" s="23">
        <f>80653825.19</f>
        <v>80653825.189999998</v>
      </c>
      <c r="O50" s="23">
        <f>24660312.39</f>
        <v>24660312.390000001</v>
      </c>
      <c r="P50" s="23">
        <f>13367208.81</f>
        <v>13367208.810000001</v>
      </c>
      <c r="Q50" s="23">
        <f>11293103.58</f>
        <v>11293103.58</v>
      </c>
    </row>
    <row r="51" spans="1:17" ht="26.25" customHeight="1" x14ac:dyDescent="0.2">
      <c r="A51" s="19" t="s">
        <v>37</v>
      </c>
      <c r="B51" s="24">
        <f>5199262377.3</f>
        <v>5199262377.3000002</v>
      </c>
      <c r="C51" s="24">
        <f>5196554818.81</f>
        <v>5196554818.8100004</v>
      </c>
      <c r="D51" s="24">
        <f>68813427.14</f>
        <v>68813427.140000001</v>
      </c>
      <c r="E51" s="24">
        <f>1109830.85</f>
        <v>1109830.8500000001</v>
      </c>
      <c r="F51" s="24">
        <f>3000788.47</f>
        <v>3000788.47</v>
      </c>
      <c r="G51" s="24">
        <f>64700741.43</f>
        <v>64700741.43</v>
      </c>
      <c r="H51" s="24">
        <f>2066.39</f>
        <v>2066.39</v>
      </c>
      <c r="I51" s="24">
        <f>0</f>
        <v>0</v>
      </c>
      <c r="J51" s="24">
        <f>106146.71</f>
        <v>106146.71</v>
      </c>
      <c r="K51" s="24">
        <f>381018.86</f>
        <v>381018.86</v>
      </c>
      <c r="L51" s="24">
        <f>694479798.13</f>
        <v>694479798.13</v>
      </c>
      <c r="M51" s="24">
        <f>4394564188.98</f>
        <v>4394564188.9799995</v>
      </c>
      <c r="N51" s="24">
        <f>38210238.99</f>
        <v>38210238.990000002</v>
      </c>
      <c r="O51" s="24">
        <f>2707558.49</f>
        <v>2707558.49</v>
      </c>
      <c r="P51" s="24">
        <f>685159.37</f>
        <v>685159.37</v>
      </c>
      <c r="Q51" s="24">
        <f>2022399.12</f>
        <v>2022399.12</v>
      </c>
    </row>
    <row r="52" spans="1:17" ht="26.25" customHeight="1" x14ac:dyDescent="0.2">
      <c r="A52" s="19" t="s">
        <v>38</v>
      </c>
      <c r="B52" s="24">
        <f>7440929276.06</f>
        <v>7440929276.0600004</v>
      </c>
      <c r="C52" s="24">
        <f>7418976522.16</f>
        <v>7418976522.1599998</v>
      </c>
      <c r="D52" s="24">
        <f>257433867.05</f>
        <v>257433867.05000001</v>
      </c>
      <c r="E52" s="24">
        <f>71513757.42</f>
        <v>71513757.420000002</v>
      </c>
      <c r="F52" s="24">
        <f>5535440.99</f>
        <v>5535440.9900000002</v>
      </c>
      <c r="G52" s="24">
        <f>180177792.34</f>
        <v>180177792.34</v>
      </c>
      <c r="H52" s="24">
        <f>206876.3</f>
        <v>206876.3</v>
      </c>
      <c r="I52" s="24">
        <f>56000</f>
        <v>56000</v>
      </c>
      <c r="J52" s="24">
        <f>340452.09</f>
        <v>340452.09</v>
      </c>
      <c r="K52" s="24">
        <f>2903098.26</f>
        <v>2903098.26</v>
      </c>
      <c r="L52" s="24">
        <f>1985344498.52</f>
        <v>1985344498.52</v>
      </c>
      <c r="M52" s="24">
        <f>5130455020.04</f>
        <v>5130455020.04</v>
      </c>
      <c r="N52" s="24">
        <f>42443586.2</f>
        <v>42443586.200000003</v>
      </c>
      <c r="O52" s="24">
        <f>21952753.9</f>
        <v>21952753.899999999</v>
      </c>
      <c r="P52" s="24">
        <f>12682049.44</f>
        <v>12682049.439999999</v>
      </c>
      <c r="Q52" s="24">
        <f>9270704.46</f>
        <v>9270704.4600000009</v>
      </c>
    </row>
    <row r="53" spans="1:17" ht="26.25" customHeight="1" x14ac:dyDescent="0.2">
      <c r="A53" s="25" t="s">
        <v>46</v>
      </c>
      <c r="B53" s="23">
        <f>3833490177.72</f>
        <v>3833490177.7199998</v>
      </c>
      <c r="C53" s="23">
        <f>3809349627.85</f>
        <v>3809349627.8499999</v>
      </c>
      <c r="D53" s="23">
        <f>717611446.07</f>
        <v>717611446.07000005</v>
      </c>
      <c r="E53" s="23">
        <f>464020329.24</f>
        <v>464020329.24000001</v>
      </c>
      <c r="F53" s="23">
        <f>8741150.99</f>
        <v>8741150.9900000002</v>
      </c>
      <c r="G53" s="23">
        <f>228803161.91</f>
        <v>228803161.91</v>
      </c>
      <c r="H53" s="23">
        <f>16046803.93</f>
        <v>16046803.93</v>
      </c>
      <c r="I53" s="23">
        <f>56754.05</f>
        <v>56754.05</v>
      </c>
      <c r="J53" s="23">
        <f>424024.12</f>
        <v>424024.12</v>
      </c>
      <c r="K53" s="23">
        <f>2354467.95</f>
        <v>2354467.9500000002</v>
      </c>
      <c r="L53" s="23">
        <f>1610750105.68</f>
        <v>1610750105.6800001</v>
      </c>
      <c r="M53" s="23">
        <f>1242427020.32</f>
        <v>1242427020.3199999</v>
      </c>
      <c r="N53" s="23">
        <f>235725809.66</f>
        <v>235725809.66</v>
      </c>
      <c r="O53" s="23">
        <f>24140549.87</f>
        <v>24140549.870000001</v>
      </c>
      <c r="P53" s="23">
        <f>1119644.15</f>
        <v>1119644.1499999999</v>
      </c>
      <c r="Q53" s="23">
        <f>23020905.72</f>
        <v>23020905.719999999</v>
      </c>
    </row>
    <row r="54" spans="1:17" ht="26.25" customHeight="1" x14ac:dyDescent="0.2">
      <c r="A54" s="19" t="s">
        <v>39</v>
      </c>
      <c r="B54" s="24">
        <f>754172014.62</f>
        <v>754172014.62</v>
      </c>
      <c r="C54" s="24">
        <f>753550924.25</f>
        <v>753550924.25</v>
      </c>
      <c r="D54" s="24">
        <f>33915728.32</f>
        <v>33915728.32</v>
      </c>
      <c r="E54" s="24">
        <f>3539504.45</f>
        <v>3539504.45</v>
      </c>
      <c r="F54" s="24">
        <f>1967026.51</f>
        <v>1967026.51</v>
      </c>
      <c r="G54" s="24">
        <f>25966054.26</f>
        <v>25966054.260000002</v>
      </c>
      <c r="H54" s="24">
        <f>2443143.1</f>
        <v>2443143.1</v>
      </c>
      <c r="I54" s="24">
        <f>0</f>
        <v>0</v>
      </c>
      <c r="J54" s="24">
        <f>151839.55</f>
        <v>151839.54999999999</v>
      </c>
      <c r="K54" s="24">
        <f>403711.97</f>
        <v>403711.97</v>
      </c>
      <c r="L54" s="24">
        <f>300221996.94</f>
        <v>300221996.94</v>
      </c>
      <c r="M54" s="24">
        <f>400796768.78</f>
        <v>400796768.77999997</v>
      </c>
      <c r="N54" s="24">
        <f>18060878.69</f>
        <v>18060878.690000001</v>
      </c>
      <c r="O54" s="24">
        <f>621090.37</f>
        <v>621090.37</v>
      </c>
      <c r="P54" s="24">
        <f>37200.85</f>
        <v>37200.85</v>
      </c>
      <c r="Q54" s="24">
        <f>583889.52</f>
        <v>583889.52</v>
      </c>
    </row>
    <row r="55" spans="1:17" ht="36.75" customHeight="1" x14ac:dyDescent="0.2">
      <c r="A55" s="19" t="s">
        <v>40</v>
      </c>
      <c r="B55" s="24">
        <f>239725849.11</f>
        <v>239725849.11000001</v>
      </c>
      <c r="C55" s="24">
        <f>239725833.11</f>
        <v>239725833.11000001</v>
      </c>
      <c r="D55" s="24">
        <f>44258068.4</f>
        <v>44258068.399999999</v>
      </c>
      <c r="E55" s="24">
        <f>32469596.68</f>
        <v>32469596.68</v>
      </c>
      <c r="F55" s="24">
        <f>2440820.46</f>
        <v>2440820.46</v>
      </c>
      <c r="G55" s="24">
        <f>8356691.49</f>
        <v>8356691.4900000002</v>
      </c>
      <c r="H55" s="24">
        <f>990959.77</f>
        <v>990959.77</v>
      </c>
      <c r="I55" s="24">
        <f>0</f>
        <v>0</v>
      </c>
      <c r="J55" s="24">
        <f>20</f>
        <v>20</v>
      </c>
      <c r="K55" s="24">
        <f>7218.43</f>
        <v>7218.43</v>
      </c>
      <c r="L55" s="24">
        <f>148444056.48</f>
        <v>148444056.47999999</v>
      </c>
      <c r="M55" s="24">
        <f>44955556.69</f>
        <v>44955556.689999998</v>
      </c>
      <c r="N55" s="24">
        <f>2060913.11</f>
        <v>2060913.11</v>
      </c>
      <c r="O55" s="24">
        <f>16</f>
        <v>16</v>
      </c>
      <c r="P55" s="24">
        <f>16</f>
        <v>16</v>
      </c>
      <c r="Q55" s="24">
        <f>0</f>
        <v>0</v>
      </c>
    </row>
    <row r="56" spans="1:17" ht="26.25" customHeight="1" x14ac:dyDescent="0.2">
      <c r="A56" s="19" t="s">
        <v>41</v>
      </c>
      <c r="B56" s="24">
        <f>2839592313.99</f>
        <v>2839592313.9899998</v>
      </c>
      <c r="C56" s="24">
        <f>2816072870.49</f>
        <v>2816072870.4899998</v>
      </c>
      <c r="D56" s="24">
        <f>639437649.35</f>
        <v>639437649.35000002</v>
      </c>
      <c r="E56" s="24">
        <f>428011228.11</f>
        <v>428011228.11000001</v>
      </c>
      <c r="F56" s="24">
        <f>4333304.02</f>
        <v>4333304.0199999996</v>
      </c>
      <c r="G56" s="24">
        <f>194480416.16</f>
        <v>194480416.16</v>
      </c>
      <c r="H56" s="24">
        <f>12612701.06</f>
        <v>12612701.060000001</v>
      </c>
      <c r="I56" s="24">
        <f>56754.05</f>
        <v>56754.05</v>
      </c>
      <c r="J56" s="24">
        <f>272164.57</f>
        <v>272164.57</v>
      </c>
      <c r="K56" s="24">
        <f>1943537.55</f>
        <v>1943537.55</v>
      </c>
      <c r="L56" s="24">
        <f>1162084052.26</f>
        <v>1162084052.26</v>
      </c>
      <c r="M56" s="24">
        <f>796674694.85</f>
        <v>796674694.85000002</v>
      </c>
      <c r="N56" s="24">
        <f>215604017.86</f>
        <v>215604017.86000001</v>
      </c>
      <c r="O56" s="24">
        <f>23519443.5</f>
        <v>23519443.5</v>
      </c>
      <c r="P56" s="24">
        <f>1082427.3</f>
        <v>1082427.3</v>
      </c>
      <c r="Q56" s="24">
        <f>22437016.2</f>
        <v>22437016.199999999</v>
      </c>
    </row>
    <row r="66" spans="1:13" ht="75" customHeight="1" x14ac:dyDescent="0.2">
      <c r="A66" s="36" t="str">
        <f>CONCATENATE("Informacja z wykonania budżetów miast na prawach powiatu za  ",$C$93," ",$B$94," roku     ",$B$96,"")</f>
        <v xml:space="preserve">Informacja z wykonania budżetów miast na prawach powiatu za  IV Kwartały 2023 roku     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</row>
    <row r="67" spans="1:13" ht="13.5" customHeight="1" x14ac:dyDescent="0.2">
      <c r="B67" s="37" t="s">
        <v>3</v>
      </c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</row>
    <row r="69" spans="1:13" ht="13.5" customHeight="1" x14ac:dyDescent="0.2">
      <c r="B69" s="65" t="s">
        <v>0</v>
      </c>
      <c r="C69" s="66"/>
      <c r="D69" s="66"/>
      <c r="E69" s="67"/>
      <c r="F69" s="40" t="s">
        <v>73</v>
      </c>
      <c r="G69" s="61" t="s">
        <v>72</v>
      </c>
      <c r="H69" s="74"/>
      <c r="I69" s="74"/>
      <c r="J69" s="74"/>
      <c r="K69" s="74"/>
      <c r="L69" s="62"/>
    </row>
    <row r="70" spans="1:13" ht="13.5" customHeight="1" x14ac:dyDescent="0.2">
      <c r="B70" s="68"/>
      <c r="C70" s="69"/>
      <c r="D70" s="69"/>
      <c r="E70" s="70"/>
      <c r="F70" s="41"/>
      <c r="G70" s="43" t="s">
        <v>74</v>
      </c>
      <c r="H70" s="32" t="s">
        <v>70</v>
      </c>
      <c r="I70" s="32" t="s">
        <v>71</v>
      </c>
      <c r="J70" s="32" t="s">
        <v>75</v>
      </c>
      <c r="K70" s="32" t="s">
        <v>76</v>
      </c>
      <c r="L70" s="80" t="s">
        <v>77</v>
      </c>
    </row>
    <row r="71" spans="1:13" ht="13.5" customHeight="1" x14ac:dyDescent="0.2">
      <c r="B71" s="68"/>
      <c r="C71" s="69"/>
      <c r="D71" s="69"/>
      <c r="E71" s="70"/>
      <c r="F71" s="41"/>
      <c r="G71" s="43"/>
      <c r="H71" s="32"/>
      <c r="I71" s="32"/>
      <c r="J71" s="32"/>
      <c r="K71" s="32"/>
      <c r="L71" s="80"/>
    </row>
    <row r="72" spans="1:13" ht="11.25" customHeight="1" x14ac:dyDescent="0.2">
      <c r="B72" s="68"/>
      <c r="C72" s="69"/>
      <c r="D72" s="69"/>
      <c r="E72" s="70"/>
      <c r="F72" s="41"/>
      <c r="G72" s="43"/>
      <c r="H72" s="32"/>
      <c r="I72" s="32"/>
      <c r="J72" s="32"/>
      <c r="K72" s="32"/>
      <c r="L72" s="80"/>
    </row>
    <row r="73" spans="1:13" ht="11.25" customHeight="1" x14ac:dyDescent="0.2">
      <c r="B73" s="71"/>
      <c r="C73" s="72"/>
      <c r="D73" s="72"/>
      <c r="E73" s="73"/>
      <c r="F73" s="42"/>
      <c r="G73" s="43"/>
      <c r="H73" s="32"/>
      <c r="I73" s="32"/>
      <c r="J73" s="32"/>
      <c r="K73" s="32"/>
      <c r="L73" s="80"/>
    </row>
    <row r="74" spans="1:13" ht="11.25" customHeight="1" x14ac:dyDescent="0.2">
      <c r="B74" s="32">
        <v>1</v>
      </c>
      <c r="C74" s="32"/>
      <c r="D74" s="32"/>
      <c r="E74" s="32"/>
      <c r="F74" s="3">
        <v>2</v>
      </c>
      <c r="G74" s="3">
        <v>3</v>
      </c>
      <c r="H74" s="3">
        <v>4</v>
      </c>
      <c r="I74" s="3">
        <v>5</v>
      </c>
      <c r="J74" s="3">
        <v>6</v>
      </c>
      <c r="K74" s="3">
        <v>7</v>
      </c>
      <c r="L74" s="13">
        <v>8</v>
      </c>
    </row>
    <row r="75" spans="1:13" ht="11.25" customHeight="1" x14ac:dyDescent="0.2">
      <c r="B75" s="76"/>
      <c r="C75" s="76"/>
      <c r="D75" s="76"/>
      <c r="E75" s="76"/>
      <c r="F75" s="32" t="s">
        <v>79</v>
      </c>
      <c r="G75" s="32"/>
      <c r="H75" s="32"/>
      <c r="I75" s="32"/>
      <c r="J75" s="32"/>
      <c r="K75" s="32"/>
      <c r="L75" s="32"/>
    </row>
    <row r="76" spans="1:13" ht="47.25" customHeight="1" x14ac:dyDescent="0.2">
      <c r="B76" s="53" t="s">
        <v>57</v>
      </c>
      <c r="C76" s="54"/>
      <c r="D76" s="54"/>
      <c r="E76" s="55"/>
      <c r="F76" s="22">
        <f>1612901453.89</f>
        <v>1612901453.8900001</v>
      </c>
      <c r="G76" s="22">
        <f>215746367.96</f>
        <v>215746367.96000001</v>
      </c>
      <c r="H76" s="22">
        <f>19147000</f>
        <v>19147000</v>
      </c>
      <c r="I76" s="22">
        <f>74343000</f>
        <v>74343000</v>
      </c>
      <c r="J76" s="22">
        <f>122256367.96</f>
        <v>122256367.95999999</v>
      </c>
      <c r="K76" s="22">
        <f>0</f>
        <v>0</v>
      </c>
      <c r="L76" s="22">
        <f>1397155085.93</f>
        <v>1397155085.9300001</v>
      </c>
    </row>
    <row r="77" spans="1:13" ht="47.25" customHeight="1" x14ac:dyDescent="0.2">
      <c r="B77" s="53" t="s">
        <v>58</v>
      </c>
      <c r="C77" s="54"/>
      <c r="D77" s="54"/>
      <c r="E77" s="55"/>
      <c r="F77" s="22">
        <f>0</f>
        <v>0</v>
      </c>
      <c r="G77" s="22">
        <f>0</f>
        <v>0</v>
      </c>
      <c r="H77" s="22">
        <f>0</f>
        <v>0</v>
      </c>
      <c r="I77" s="22">
        <f>0</f>
        <v>0</v>
      </c>
      <c r="J77" s="22">
        <f>0</f>
        <v>0</v>
      </c>
      <c r="K77" s="22">
        <f>0</f>
        <v>0</v>
      </c>
      <c r="L77" s="22">
        <f>0</f>
        <v>0</v>
      </c>
    </row>
    <row r="78" spans="1:13" ht="47.25" customHeight="1" x14ac:dyDescent="0.2">
      <c r="B78" s="53" t="s">
        <v>59</v>
      </c>
      <c r="C78" s="54"/>
      <c r="D78" s="54"/>
      <c r="E78" s="55"/>
      <c r="F78" s="22">
        <f>18447956.24</f>
        <v>18447956.239999998</v>
      </c>
      <c r="G78" s="22">
        <f>10400000</f>
        <v>10400000</v>
      </c>
      <c r="H78" s="22">
        <f>0</f>
        <v>0</v>
      </c>
      <c r="I78" s="22">
        <f>0</f>
        <v>0</v>
      </c>
      <c r="J78" s="22">
        <f>10400000</f>
        <v>10400000</v>
      </c>
      <c r="K78" s="22">
        <f>0</f>
        <v>0</v>
      </c>
      <c r="L78" s="22">
        <f>8047956.24</f>
        <v>8047956.2400000002</v>
      </c>
    </row>
    <row r="79" spans="1:13" ht="47.25" customHeight="1" x14ac:dyDescent="0.2">
      <c r="B79" s="53" t="s">
        <v>60</v>
      </c>
      <c r="C79" s="54"/>
      <c r="D79" s="54"/>
      <c r="E79" s="55"/>
      <c r="F79" s="22">
        <f>21000012.88</f>
        <v>21000012.879999999</v>
      </c>
      <c r="G79" s="22">
        <f>20000012.88</f>
        <v>20000012.879999999</v>
      </c>
      <c r="H79" s="22">
        <f>0</f>
        <v>0</v>
      </c>
      <c r="I79" s="22">
        <f>0</f>
        <v>0</v>
      </c>
      <c r="J79" s="22">
        <f>20000012.88</f>
        <v>20000012.879999999</v>
      </c>
      <c r="K79" s="22">
        <f>0</f>
        <v>0</v>
      </c>
      <c r="L79" s="22">
        <f>1000000</f>
        <v>1000000</v>
      </c>
    </row>
    <row r="80" spans="1:13" ht="47.25" customHeight="1" x14ac:dyDescent="0.2">
      <c r="B80" s="53" t="s">
        <v>61</v>
      </c>
      <c r="C80" s="54"/>
      <c r="D80" s="54"/>
      <c r="E80" s="55"/>
      <c r="F80" s="22">
        <f>6480742.57</f>
        <v>6480742.5700000003</v>
      </c>
      <c r="G80" s="22">
        <f>6480742.57</f>
        <v>6480742.5700000003</v>
      </c>
      <c r="H80" s="22">
        <f>0</f>
        <v>0</v>
      </c>
      <c r="I80" s="22">
        <f>0</f>
        <v>0</v>
      </c>
      <c r="J80" s="22">
        <f>6480742.57</f>
        <v>6480742.5700000003</v>
      </c>
      <c r="K80" s="22">
        <f>0</f>
        <v>0</v>
      </c>
      <c r="L80" s="22">
        <f>0</f>
        <v>0</v>
      </c>
    </row>
    <row r="81" spans="1:13" ht="47.25" customHeight="1" x14ac:dyDescent="0.2">
      <c r="B81" s="53" t="s">
        <v>62</v>
      </c>
      <c r="C81" s="54"/>
      <c r="D81" s="54"/>
      <c r="E81" s="55"/>
      <c r="F81" s="22">
        <f>8399276.28</f>
        <v>8399276.2799999993</v>
      </c>
      <c r="G81" s="22">
        <f>7899276.28</f>
        <v>7899276.2800000003</v>
      </c>
      <c r="H81" s="22">
        <f>0</f>
        <v>0</v>
      </c>
      <c r="I81" s="22">
        <f>0</f>
        <v>0</v>
      </c>
      <c r="J81" s="22">
        <f>7899276.28</f>
        <v>7899276.2800000003</v>
      </c>
      <c r="K81" s="22">
        <f>0</f>
        <v>0</v>
      </c>
      <c r="L81" s="22">
        <f>500000</f>
        <v>500000</v>
      </c>
    </row>
    <row r="82" spans="1:13" ht="47.25" customHeight="1" x14ac:dyDescent="0.2">
      <c r="B82" s="53" t="s">
        <v>63</v>
      </c>
      <c r="C82" s="54"/>
      <c r="D82" s="54"/>
      <c r="E82" s="55"/>
      <c r="F82" s="22">
        <f>0</f>
        <v>0</v>
      </c>
      <c r="G82" s="22">
        <f>0</f>
        <v>0</v>
      </c>
      <c r="H82" s="22">
        <f>0</f>
        <v>0</v>
      </c>
      <c r="I82" s="22">
        <f>0</f>
        <v>0</v>
      </c>
      <c r="J82" s="22">
        <f>0</f>
        <v>0</v>
      </c>
      <c r="K82" s="22">
        <f>0</f>
        <v>0</v>
      </c>
      <c r="L82" s="22">
        <f>0</f>
        <v>0</v>
      </c>
    </row>
    <row r="85" spans="1:13" ht="75" customHeight="1" x14ac:dyDescent="0.2">
      <c r="A85" s="36" t="str">
        <f>CONCATENATE("Informacja z wykonania budżetów miast na prawach powiatu za  ",$C$93," ",$B$94," roku     ",$B$96,"")</f>
        <v xml:space="preserve">Informacja z wykonania budżetów miast na prawach powiatu za  IV Kwartały 2023 roku     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</row>
    <row r="86" spans="1:13" ht="13.5" customHeight="1" x14ac:dyDescent="0.2">
      <c r="B86" s="4"/>
    </row>
    <row r="87" spans="1:13" ht="13.5" customHeight="1" x14ac:dyDescent="0.2">
      <c r="B87" s="5"/>
      <c r="C87" s="61"/>
      <c r="D87" s="74"/>
      <c r="E87" s="74"/>
      <c r="F87" s="62"/>
      <c r="G87" s="61" t="s">
        <v>4</v>
      </c>
      <c r="H87" s="62"/>
      <c r="I87" s="61" t="s">
        <v>5</v>
      </c>
      <c r="J87" s="62"/>
      <c r="K87" s="5"/>
    </row>
    <row r="88" spans="1:13" ht="13.5" customHeight="1" x14ac:dyDescent="0.2">
      <c r="B88" s="6"/>
      <c r="C88" s="53" t="s">
        <v>6</v>
      </c>
      <c r="D88" s="54"/>
      <c r="E88" s="54"/>
      <c r="F88" s="55"/>
      <c r="G88" s="59">
        <f>8</f>
        <v>8</v>
      </c>
      <c r="H88" s="60"/>
      <c r="I88" s="46">
        <f>176242517.63</f>
        <v>176242517.63</v>
      </c>
      <c r="J88" s="47"/>
      <c r="K88" s="7"/>
    </row>
    <row r="89" spans="1:13" ht="13.5" customHeight="1" x14ac:dyDescent="0.2">
      <c r="B89" s="6"/>
      <c r="C89" s="56" t="s">
        <v>7</v>
      </c>
      <c r="D89" s="57"/>
      <c r="E89" s="57"/>
      <c r="F89" s="58"/>
      <c r="G89" s="63">
        <f>58</f>
        <v>58</v>
      </c>
      <c r="H89" s="64"/>
      <c r="I89" s="48">
        <f>-11229881081.42</f>
        <v>-11229881081.42</v>
      </c>
      <c r="J89" s="49"/>
      <c r="K89" s="7"/>
    </row>
    <row r="90" spans="1:13" ht="13.5" customHeight="1" x14ac:dyDescent="0.2">
      <c r="B90" s="6"/>
      <c r="C90" s="53" t="s">
        <v>8</v>
      </c>
      <c r="D90" s="54"/>
      <c r="E90" s="54"/>
      <c r="F90" s="55"/>
      <c r="G90" s="59">
        <f>0</f>
        <v>0</v>
      </c>
      <c r="H90" s="60"/>
      <c r="I90" s="46">
        <f>0</f>
        <v>0</v>
      </c>
      <c r="J90" s="47"/>
      <c r="K90" s="7"/>
    </row>
    <row r="93" spans="1:13" ht="13.5" customHeight="1" x14ac:dyDescent="0.2">
      <c r="A93" s="8" t="s">
        <v>9</v>
      </c>
      <c r="B93" s="8">
        <f>4</f>
        <v>4</v>
      </c>
      <c r="C93" s="8" t="str">
        <f>IF(B93=1,"I Kwartał",IF(B93=2,"II Kwartały",IF(B93=3,"III Kwartały",IF(B93=4,"IV Kwartały","-"))))</f>
        <v>IV Kwartały</v>
      </c>
    </row>
    <row r="94" spans="1:13" ht="13.5" customHeight="1" x14ac:dyDescent="0.2">
      <c r="A94" s="8" t="s">
        <v>10</v>
      </c>
      <c r="B94" s="8">
        <f>2023</f>
        <v>2023</v>
      </c>
      <c r="C94" s="9"/>
    </row>
    <row r="95" spans="1:13" ht="13.5" customHeight="1" x14ac:dyDescent="0.2">
      <c r="A95" s="8" t="s">
        <v>11</v>
      </c>
      <c r="B95" s="10" t="str">
        <f>"Mar 15 2024 12:00AM"</f>
        <v>Mar 15 2024 12:00AM</v>
      </c>
      <c r="C95" s="9"/>
    </row>
    <row r="96" spans="1:13" ht="13.5" customHeight="1" x14ac:dyDescent="0.2">
      <c r="A96" s="15" t="s">
        <v>78</v>
      </c>
      <c r="B96" s="10" t="str">
        <f>""</f>
        <v/>
      </c>
    </row>
  </sheetData>
  <mergeCells count="79">
    <mergeCell ref="O6:Q6"/>
    <mergeCell ref="O7:O10"/>
    <mergeCell ref="A66:M66"/>
    <mergeCell ref="L35:L37"/>
    <mergeCell ref="P35:P37"/>
    <mergeCell ref="B75:E75"/>
    <mergeCell ref="F75:L75"/>
    <mergeCell ref="B12:Q12"/>
    <mergeCell ref="B39:Q39"/>
    <mergeCell ref="L70:L73"/>
    <mergeCell ref="G90:H90"/>
    <mergeCell ref="I88:J88"/>
    <mergeCell ref="B67:M67"/>
    <mergeCell ref="I87:J87"/>
    <mergeCell ref="B74:E74"/>
    <mergeCell ref="B69:E73"/>
    <mergeCell ref="B82:E82"/>
    <mergeCell ref="A85:M85"/>
    <mergeCell ref="B78:E78"/>
    <mergeCell ref="B79:E79"/>
    <mergeCell ref="C87:F87"/>
    <mergeCell ref="B81:E81"/>
    <mergeCell ref="G69:L69"/>
    <mergeCell ref="H70:H73"/>
    <mergeCell ref="I70:I73"/>
    <mergeCell ref="J70:J73"/>
    <mergeCell ref="I90:J90"/>
    <mergeCell ref="I89:J89"/>
    <mergeCell ref="A6:A10"/>
    <mergeCell ref="C6:N6"/>
    <mergeCell ref="D7:D10"/>
    <mergeCell ref="E7:E10"/>
    <mergeCell ref="B80:E80"/>
    <mergeCell ref="B77:E77"/>
    <mergeCell ref="M35:M37"/>
    <mergeCell ref="B76:E76"/>
    <mergeCell ref="C88:F88"/>
    <mergeCell ref="C89:F89"/>
    <mergeCell ref="C90:F90"/>
    <mergeCell ref="G88:H88"/>
    <mergeCell ref="G87:H87"/>
    <mergeCell ref="G89:H89"/>
    <mergeCell ref="A1:M1"/>
    <mergeCell ref="C5:M5"/>
    <mergeCell ref="A3:M3"/>
    <mergeCell ref="K7:K10"/>
    <mergeCell ref="C7:C10"/>
    <mergeCell ref="B6:B10"/>
    <mergeCell ref="G7:G10"/>
    <mergeCell ref="F7:F10"/>
    <mergeCell ref="I7:I10"/>
    <mergeCell ref="J7:J10"/>
    <mergeCell ref="H7:H10"/>
    <mergeCell ref="Q7:Q10"/>
    <mergeCell ref="C34:N34"/>
    <mergeCell ref="L7:L10"/>
    <mergeCell ref="M7:M10"/>
    <mergeCell ref="N7:N10"/>
    <mergeCell ref="P7:P10"/>
    <mergeCell ref="A30:M30"/>
    <mergeCell ref="O34:Q34"/>
    <mergeCell ref="A32:M32"/>
    <mergeCell ref="B34:B37"/>
    <mergeCell ref="Q35:Q37"/>
    <mergeCell ref="N35:N37"/>
    <mergeCell ref="O35:O37"/>
    <mergeCell ref="D35:D37"/>
    <mergeCell ref="A34:A37"/>
    <mergeCell ref="C35:C37"/>
    <mergeCell ref="E35:E37"/>
    <mergeCell ref="K70:K73"/>
    <mergeCell ref="F35:F37"/>
    <mergeCell ref="G35:G37"/>
    <mergeCell ref="H35:H37"/>
    <mergeCell ref="K35:K37"/>
    <mergeCell ref="I35:I37"/>
    <mergeCell ref="J35:J37"/>
    <mergeCell ref="F69:F73"/>
    <mergeCell ref="G70:G73"/>
  </mergeCells>
  <phoneticPr fontId="4" type="noConversion"/>
  <pageMargins left="0.19685039370078741" right="0.19685039370078741" top="0.19685039370078741" bottom="0.19685039370078741" header="0" footer="0"/>
  <pageSetup paperSize="9" scale="69" orientation="landscape" useFirstPageNumber="1" horizontalDpi="300" verticalDpi="300" r:id="rId1"/>
  <headerFooter alignWithMargins="0">
    <oddFooter>&amp;L&amp;D&amp;Rstrona &amp;P z 3</oddFooter>
  </headerFooter>
  <rowBreaks count="2" manualBreakCount="2">
    <brk id="29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2016-08-26T11:41:03Z</cp:lastPrinted>
  <dcterms:created xsi:type="dcterms:W3CDTF">2001-05-17T08:58:03Z</dcterms:created>
  <dcterms:modified xsi:type="dcterms:W3CDTF">2024-03-27T09:00:18Z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2024-03-27T10:00:16.5332720+01:00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GRN-422f147e-0528-41bb-adea-37b430cff70d</vt:lpwstr>
  </property>
  <property fmtid="{D5CDD505-2E9C-101B-9397-08002B2CF9AE}" pid="7" name="MFHash">
    <vt:lpwstr>MCu/jbKRut//Js7JSXKDDeJb+tZHHvpzXqF+sWloQvU=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