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<sst xmlns="http://schemas.openxmlformats.org/spreadsheetml/2006/main" count="95" uniqueCount="78">
  <si>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</si>
  <si>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</si>
  <si>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</si>
  <si>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</si>
  <si>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</si>
  <si>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</si>
  <si>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</si>
  <si>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</si>
  <si>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</si>
  <si>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</si>
  <si>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</si>
  <si>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</si>
  <si>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</si>
  <si>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</si>
  <si>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</si>
  <si>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</si>
  <si>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</si>
  <si>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</si>
  <si>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</si>
  <si>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</si>
  <si>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</si>
  <si>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</si>
  <si>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</si>
  <si>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</si>
  <si>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</si>
  <si>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</si>
  <si>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</si>
  <si>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</si>
  <si>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</si>
  <si>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</si>
  <si>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</si>
  <si>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</si>
  <si>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</si>
  <si>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</si>
  <si>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</si>
  <si>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</si>
  <si>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</si>
  <si>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</si>
  <si>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</si>
  <si>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</si>
  <si>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</si>
  <si>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</si>
  <si>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</si>
  <si>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</si>
  <si>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E1.1 krótkotermionowe</t>
  </si>
  <si>
    <t>E1.2 długoterminowe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</si>
  <si>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</si>
  <si>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</si>
  <si>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</si>
  <si>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</si>
  <si>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</si>
  <si>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</si>
  <si>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</si>
  <si>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</si>
  <si>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</si>
  <si>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</si>
  <si>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</si>
  <si>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</si>
  <si>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</si>
  <si>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</si>
  <si>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</si>
  <si>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</si>
  <si>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</si>
  <si>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</si>
  <si>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</si>
  <si>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</si>
  <si>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</si>
  <si>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</si>
  <si>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</si>
  <si>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</si>
  <si>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</si>
  <si>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</si>
  <si>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</si>
  <si>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E1 papiery wartościowe (E1.1+E1.2)</t>
  </si>
  <si>
    <t>E2 kredyty i pożyczki (E2.1+E2.2)</t>
  </si>
  <si>
    <t>E4  wymagalne zobowiązania (E4.1+E4.2)</t>
  </si>
  <si>
    <t>N5.2 z tytułu podatków i składek na ubezpieczenia społ.</t>
  </si>
  <si>
    <t>Informacja z wykonania budżetów jednostek samorządu terytorialnego za II Kwartały 2020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</si>
</sst>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3" fillId="0" borderId="19" xfId="88" applyFont="1" applyBorder="1" applyAlignment="1">
      <alignment horizontal="left" vertical="top" wrapText="1"/>
      <protection/>
    </xf>
    <xf numFmtId="0" fontId="29" fillId="0" borderId="20" xfId="0" applyFont="1" applyFill="1" applyBorder="1" applyAlignment="1">
      <alignment vertical="top" wrapText="1"/>
    </xf>
    <xf numFmtId="0" fontId="8" fillId="40" borderId="19" xfId="88" applyFont="1" applyFill="1" applyBorder="1" applyAlignment="1">
      <alignment horizontal="left" vertical="top" wrapText="1"/>
      <protection/>
    </xf>
    <xf numFmtId="0" fontId="3" fillId="40" borderId="19" xfId="88" applyFont="1" applyFill="1" applyBorder="1" applyAlignment="1">
      <alignment horizontal="left" vertical="top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8" fillId="50" borderId="19" xfId="88" applyFont="1" applyFill="1" applyBorder="1" applyAlignment="1">
      <alignment horizontal="left" vertical="center" wrapText="1"/>
      <protection/>
    </xf>
    <xf numFmtId="4" fontId="7" fillId="50" borderId="19" xfId="88" applyNumberFormat="1" applyFont="1" applyFill="1" applyBorder="1" applyAlignment="1">
      <alignment horizontal="right" vertical="center" wrapText="1"/>
      <protection/>
    </xf>
    <xf numFmtId="0" fontId="28" fillId="50" borderId="20" xfId="0" applyFont="1" applyFill="1" applyBorder="1" applyAlignment="1">
      <alignment vertical="top" wrapText="1"/>
    </xf>
    <xf numFmtId="0" fontId="3" fillId="2" borderId="19" xfId="88" applyFont="1" applyFill="1" applyBorder="1" applyAlignment="1">
      <alignment horizontal="center" vertical="center" wrapText="1"/>
      <protection/>
    </xf>
    <xf numFmtId="0" fontId="8" fillId="2" borderId="21" xfId="88" applyFont="1" applyFill="1" applyBorder="1" applyAlignment="1">
      <alignment horizontal="center" vertical="center" wrapText="1"/>
      <protection/>
    </xf>
    <xf numFmtId="0" fontId="8" fillId="2" borderId="22" xfId="88" applyFont="1" applyFill="1" applyBorder="1" applyAlignment="1">
      <alignment horizontal="center" vertical="center" wrapText="1"/>
      <protection/>
    </xf>
    <xf numFmtId="0" fontId="8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3" fillId="2" borderId="19" xfId="88" applyNumberFormat="1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8" fillId="2" borderId="26" xfId="88" applyFont="1" applyFill="1" applyBorder="1" applyAlignment="1">
      <alignment horizontal="center" vertical="center" wrapText="1"/>
      <protection/>
    </xf>
    <xf numFmtId="0" fontId="8" fillId="2" borderId="25" xfId="88" applyFont="1" applyFill="1" applyBorder="1" applyAlignment="1">
      <alignment horizontal="center" vertical="center" wrapText="1"/>
      <protection/>
    </xf>
    <xf numFmtId="0" fontId="8" fillId="2" borderId="24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Fill="1" applyBorder="1" applyAlignment="1">
      <alignment horizontal="right" vertical="center" wrapText="1"/>
      <protection/>
    </xf>
    <xf numFmtId="3" fontId="7" fillId="0" borderId="23" xfId="88" applyNumberFormat="1" applyFont="1" applyFill="1" applyBorder="1" applyAlignment="1">
      <alignment horizontal="right" vertical="center" wrapText="1"/>
      <protection/>
    </xf>
    <xf numFmtId="4" fontId="7" fillId="0" borderId="21" xfId="88" applyNumberFormat="1" applyFont="1" applyFill="1" applyBorder="1" applyAlignment="1">
      <alignment horizontal="right" vertical="center" wrapText="1"/>
      <protection/>
    </xf>
    <xf numFmtId="4" fontId="7" fillId="0" borderId="23" xfId="88" applyNumberFormat="1" applyFont="1" applyFill="1" applyBorder="1" applyAlignment="1">
      <alignment horizontal="right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2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16.375" style="2" customWidth="1"/>
    <col min="2" max="2" width="14.75390625" style="2" customWidth="1"/>
    <col min="3" max="3" width="15.125" style="2" customWidth="1"/>
    <col min="4" max="4" width="12.625" style="2" customWidth="1"/>
    <col min="5" max="5" width="11.375" style="2" customWidth="1"/>
    <col min="6" max="7" width="12.625" style="2" customWidth="1"/>
    <col min="8" max="8" width="12.00390625" style="2" customWidth="1"/>
    <col min="9" max="9" width="11.75390625" style="2" customWidth="1"/>
    <col min="10" max="10" width="13.00390625" style="2" customWidth="1"/>
    <col min="11" max="11" width="12.125" style="2" customWidth="1"/>
    <col min="12" max="12" width="13.25390625" style="2" customWidth="1"/>
    <col min="13" max="13" width="12.875" style="2" customWidth="1"/>
    <col min="14" max="14" width="12.00390625" style="2" customWidth="1"/>
    <col min="15" max="17" width="11.75390625" style="2" customWidth="1"/>
    <col min="18" max="16384" width="9.125" style="2" customWidth="1"/>
  </cols>
  <sheetData>
    <row r="1" spans="1:13" ht="75" customHeight="1">
      <c r="A1" s="35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6" t="s">
        <v>58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2:17" ht="13.5" customHeight="1">
      <c r="B5" s="8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7"/>
      <c r="O5" s="7"/>
      <c r="P5" s="7"/>
      <c r="Q5" s="7"/>
    </row>
    <row r="6" spans="1:17" ht="13.5" customHeight="1">
      <c r="A6" s="40" t="s">
        <v>0</v>
      </c>
      <c r="B6" s="37" t="s">
        <v>59</v>
      </c>
      <c r="C6" s="44" t="s">
        <v>63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  <c r="O6" s="44" t="s">
        <v>62</v>
      </c>
      <c r="P6" s="45"/>
      <c r="Q6" s="46"/>
    </row>
    <row r="7" spans="1:17" ht="13.5" customHeight="1">
      <c r="A7" s="41"/>
      <c r="B7" s="33"/>
      <c r="C7" s="32" t="s">
        <v>60</v>
      </c>
      <c r="D7" s="32" t="s">
        <v>71</v>
      </c>
      <c r="E7" s="32" t="s">
        <v>64</v>
      </c>
      <c r="F7" s="32" t="s">
        <v>65</v>
      </c>
      <c r="G7" s="32" t="s">
        <v>24</v>
      </c>
      <c r="H7" s="32" t="s">
        <v>25</v>
      </c>
      <c r="I7" s="38" t="s">
        <v>61</v>
      </c>
      <c r="J7" s="32" t="s">
        <v>13</v>
      </c>
      <c r="K7" s="32" t="s">
        <v>14</v>
      </c>
      <c r="L7" s="32" t="s">
        <v>15</v>
      </c>
      <c r="M7" s="32" t="s">
        <v>16</v>
      </c>
      <c r="N7" s="33" t="s">
        <v>17</v>
      </c>
      <c r="O7" s="28" t="s">
        <v>18</v>
      </c>
      <c r="P7" s="28" t="s">
        <v>19</v>
      </c>
      <c r="Q7" s="28" t="s">
        <v>20</v>
      </c>
    </row>
    <row r="8" spans="1:17" ht="13.5" customHeight="1">
      <c r="A8" s="41"/>
      <c r="B8" s="33"/>
      <c r="C8" s="28"/>
      <c r="D8" s="28"/>
      <c r="E8" s="28"/>
      <c r="F8" s="28"/>
      <c r="G8" s="28"/>
      <c r="H8" s="28"/>
      <c r="I8" s="38"/>
      <c r="J8" s="28"/>
      <c r="K8" s="28"/>
      <c r="L8" s="28"/>
      <c r="M8" s="28"/>
      <c r="N8" s="33"/>
      <c r="O8" s="28"/>
      <c r="P8" s="28"/>
      <c r="Q8" s="28"/>
    </row>
    <row r="9" spans="1:17" ht="13.5" customHeight="1">
      <c r="A9" s="41"/>
      <c r="B9" s="33"/>
      <c r="C9" s="28"/>
      <c r="D9" s="28"/>
      <c r="E9" s="28"/>
      <c r="F9" s="28"/>
      <c r="G9" s="28"/>
      <c r="H9" s="28"/>
      <c r="I9" s="38"/>
      <c r="J9" s="28"/>
      <c r="K9" s="28"/>
      <c r="L9" s="28"/>
      <c r="M9" s="28"/>
      <c r="N9" s="33"/>
      <c r="O9" s="28"/>
      <c r="P9" s="28"/>
      <c r="Q9" s="28"/>
    </row>
    <row r="10" spans="1:17" ht="11.25" customHeight="1">
      <c r="A10" s="41"/>
      <c r="B10" s="33"/>
      <c r="C10" s="28"/>
      <c r="D10" s="28"/>
      <c r="E10" s="28"/>
      <c r="F10" s="28"/>
      <c r="G10" s="28"/>
      <c r="H10" s="28"/>
      <c r="I10" s="38"/>
      <c r="J10" s="28"/>
      <c r="K10" s="28"/>
      <c r="L10" s="28"/>
      <c r="M10" s="28"/>
      <c r="N10" s="33"/>
      <c r="O10" s="28"/>
      <c r="P10" s="28"/>
      <c r="Q10" s="28"/>
    </row>
    <row r="11" spans="1:17" ht="27.75" customHeight="1">
      <c r="A11" s="42"/>
      <c r="B11" s="32"/>
      <c r="C11" s="28"/>
      <c r="D11" s="28"/>
      <c r="E11" s="28"/>
      <c r="F11" s="28"/>
      <c r="G11" s="28"/>
      <c r="H11" s="28"/>
      <c r="I11" s="39"/>
      <c r="J11" s="28"/>
      <c r="K11" s="28"/>
      <c r="L11" s="28"/>
      <c r="M11" s="28"/>
      <c r="N11" s="32"/>
      <c r="O11" s="28"/>
      <c r="P11" s="28"/>
      <c r="Q11" s="28"/>
    </row>
    <row r="12" spans="1:17" ht="13.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  <c r="Q12" s="9">
        <v>17</v>
      </c>
    </row>
    <row r="13" spans="1:17" ht="52.5" customHeight="1">
      <c r="A13" s="18" t="s">
        <v>43</v>
      </c>
      <c r="B13" s="20">
        <f>81468770562.1</f>
        <v>81468770562.1</v>
      </c>
      <c r="C13" s="20">
        <f>62888407556.1</f>
        <v>62888407556.1</v>
      </c>
      <c r="D13" s="20">
        <f>3674697146.29</f>
        <v>3674697146.29</v>
      </c>
      <c r="E13" s="20">
        <f>736644642.58</f>
        <v>736644642.58</v>
      </c>
      <c r="F13" s="20">
        <f>584531442.66</f>
        <v>584531442.66</v>
      </c>
      <c r="G13" s="20">
        <f>2343817016.44</f>
        <v>2343817016.44</v>
      </c>
      <c r="H13" s="20">
        <f>9704044.61</f>
        <v>9704044.61</v>
      </c>
      <c r="I13" s="20">
        <f>0</f>
        <v>0</v>
      </c>
      <c r="J13" s="20">
        <f>56041418345.28</f>
        <v>56041418345.28</v>
      </c>
      <c r="K13" s="20">
        <f>1249247563.44</f>
        <v>1249247563.44</v>
      </c>
      <c r="L13" s="20">
        <f>1861811531.19</f>
        <v>1861811531.19</v>
      </c>
      <c r="M13" s="20">
        <f>44186622.72</f>
        <v>44186622.72</v>
      </c>
      <c r="N13" s="20">
        <f>17046347.18</f>
        <v>17046347.18</v>
      </c>
      <c r="O13" s="20">
        <f>18580363006</f>
        <v>18580363006</v>
      </c>
      <c r="P13" s="20">
        <f>18580356992.12</f>
        <v>18580356992.12</v>
      </c>
      <c r="Q13" s="20">
        <f>6013.88</f>
        <v>6013.88</v>
      </c>
    </row>
    <row r="14" spans="1:17" ht="41.25" customHeight="1">
      <c r="A14" s="18" t="s">
        <v>73</v>
      </c>
      <c r="B14" s="20">
        <f>3135398037.88</f>
        <v>3135398037.88</v>
      </c>
      <c r="C14" s="20">
        <f>3135398037.88</f>
        <v>3135398037.88</v>
      </c>
      <c r="D14" s="20">
        <f>532523</f>
        <v>532523</v>
      </c>
      <c r="E14" s="20">
        <f>0</f>
        <v>0</v>
      </c>
      <c r="F14" s="20">
        <f>0</f>
        <v>0</v>
      </c>
      <c r="G14" s="20">
        <f>532523</f>
        <v>532523</v>
      </c>
      <c r="H14" s="20">
        <f>0</f>
        <v>0</v>
      </c>
      <c r="I14" s="20">
        <f>0</f>
        <v>0</v>
      </c>
      <c r="J14" s="20">
        <f>3090143514.88</f>
        <v>3090143514.88</v>
      </c>
      <c r="K14" s="20">
        <f>43482000</f>
        <v>43482000</v>
      </c>
      <c r="L14" s="20">
        <f>1240000</f>
        <v>1240000</v>
      </c>
      <c r="M14" s="20">
        <f>0</f>
        <v>0</v>
      </c>
      <c r="N14" s="20">
        <f>0</f>
        <v>0</v>
      </c>
      <c r="O14" s="20">
        <f>0</f>
        <v>0</v>
      </c>
      <c r="P14" s="20">
        <f>0</f>
        <v>0</v>
      </c>
      <c r="Q14" s="20">
        <f>0</f>
        <v>0</v>
      </c>
    </row>
    <row r="15" spans="1:17" ht="22.5">
      <c r="A15" s="15" t="s">
        <v>44</v>
      </c>
      <c r="B15" s="21">
        <f>162583.26</f>
        <v>162583.26</v>
      </c>
      <c r="C15" s="21">
        <f>162583.26</f>
        <v>162583.26</v>
      </c>
      <c r="D15" s="21">
        <f>0</f>
        <v>0</v>
      </c>
      <c r="E15" s="21">
        <f>0</f>
        <v>0</v>
      </c>
      <c r="F15" s="21">
        <f>0</f>
        <v>0</v>
      </c>
      <c r="G15" s="21">
        <f>0</f>
        <v>0</v>
      </c>
      <c r="H15" s="21">
        <f>0</f>
        <v>0</v>
      </c>
      <c r="I15" s="21">
        <f>0</f>
        <v>0</v>
      </c>
      <c r="J15" s="21">
        <f>162583.26</f>
        <v>162583.26</v>
      </c>
      <c r="K15" s="21">
        <f>0</f>
        <v>0</v>
      </c>
      <c r="L15" s="21">
        <f>0</f>
        <v>0</v>
      </c>
      <c r="M15" s="21">
        <f>0</f>
        <v>0</v>
      </c>
      <c r="N15" s="21">
        <f>0</f>
        <v>0</v>
      </c>
      <c r="O15" s="21">
        <f>0</f>
        <v>0</v>
      </c>
      <c r="P15" s="21">
        <f>0</f>
        <v>0</v>
      </c>
      <c r="Q15" s="21">
        <f>0</f>
        <v>0</v>
      </c>
    </row>
    <row r="16" spans="1:17" ht="23.25" customHeight="1">
      <c r="A16" s="15" t="s">
        <v>45</v>
      </c>
      <c r="B16" s="21">
        <f>3135235454.62</f>
        <v>3135235454.62</v>
      </c>
      <c r="C16" s="21">
        <f>3135235454.62</f>
        <v>3135235454.62</v>
      </c>
      <c r="D16" s="21">
        <f>532523</f>
        <v>532523</v>
      </c>
      <c r="E16" s="21">
        <f>0</f>
        <v>0</v>
      </c>
      <c r="F16" s="21">
        <f>0</f>
        <v>0</v>
      </c>
      <c r="G16" s="21">
        <f>532523</f>
        <v>532523</v>
      </c>
      <c r="H16" s="21">
        <f>0</f>
        <v>0</v>
      </c>
      <c r="I16" s="21">
        <f>0</f>
        <v>0</v>
      </c>
      <c r="J16" s="21">
        <f>3089980931.62</f>
        <v>3089980931.62</v>
      </c>
      <c r="K16" s="21">
        <f>43482000</f>
        <v>43482000</v>
      </c>
      <c r="L16" s="21">
        <f>1240000</f>
        <v>1240000</v>
      </c>
      <c r="M16" s="21">
        <f>0</f>
        <v>0</v>
      </c>
      <c r="N16" s="21">
        <f>0</f>
        <v>0</v>
      </c>
      <c r="O16" s="21">
        <f>0</f>
        <v>0</v>
      </c>
      <c r="P16" s="21">
        <f>0</f>
        <v>0</v>
      </c>
      <c r="Q16" s="21">
        <f>0</f>
        <v>0</v>
      </c>
    </row>
    <row r="17" spans="1:17" ht="33" customHeight="1">
      <c r="A17" s="18" t="s">
        <v>74</v>
      </c>
      <c r="B17" s="20">
        <f>78253677464.79</f>
        <v>78253677464.79</v>
      </c>
      <c r="C17" s="20">
        <f>59673320472.67</f>
        <v>59673320472.67</v>
      </c>
      <c r="D17" s="20">
        <f>3647710046.07</f>
        <v>3647710046.07</v>
      </c>
      <c r="E17" s="20">
        <f>728185502.63</f>
        <v>728185502.63</v>
      </c>
      <c r="F17" s="20">
        <f>584439395.66</f>
        <v>584439395.66</v>
      </c>
      <c r="G17" s="20">
        <f>2331847248.55</f>
        <v>2331847248.55</v>
      </c>
      <c r="H17" s="20">
        <f>3237899.23</f>
        <v>3237899.23</v>
      </c>
      <c r="I17" s="20">
        <f>0</f>
        <v>0</v>
      </c>
      <c r="J17" s="20">
        <f>52951252781.91</f>
        <v>52951252781.91</v>
      </c>
      <c r="K17" s="20">
        <f>1205329402.73</f>
        <v>1205329402.73</v>
      </c>
      <c r="L17" s="20">
        <f>1845170815.35</f>
        <v>1845170815.35</v>
      </c>
      <c r="M17" s="20">
        <f>12965825.46</f>
        <v>12965825.46</v>
      </c>
      <c r="N17" s="20">
        <f>10891601.15</f>
        <v>10891601.15</v>
      </c>
      <c r="O17" s="20">
        <f>18580356992.12</f>
        <v>18580356992.12</v>
      </c>
      <c r="P17" s="20">
        <f>18580356992.12</f>
        <v>18580356992.12</v>
      </c>
      <c r="Q17" s="20">
        <f>0</f>
        <v>0</v>
      </c>
    </row>
    <row r="18" spans="1:17" ht="22.5">
      <c r="A18" s="15" t="s">
        <v>46</v>
      </c>
      <c r="B18" s="21">
        <f>961582217.06</f>
        <v>961582217.06</v>
      </c>
      <c r="C18" s="21">
        <f>961582217.06</f>
        <v>961582217.06</v>
      </c>
      <c r="D18" s="21">
        <f>30781108.86</f>
        <v>30781108.86</v>
      </c>
      <c r="E18" s="21">
        <f>15182669.55</f>
        <v>15182669.55</v>
      </c>
      <c r="F18" s="21">
        <f>3611452.23</f>
        <v>3611452.23</v>
      </c>
      <c r="G18" s="21">
        <f>11986987.08</f>
        <v>11986987.08</v>
      </c>
      <c r="H18" s="21">
        <f>0</f>
        <v>0</v>
      </c>
      <c r="I18" s="21">
        <f>0</f>
        <v>0</v>
      </c>
      <c r="J18" s="21">
        <f>901165495.82</f>
        <v>901165495.82</v>
      </c>
      <c r="K18" s="21">
        <f>26987535.44</f>
        <v>26987535.44</v>
      </c>
      <c r="L18" s="21">
        <f>1306729.85</f>
        <v>1306729.85</v>
      </c>
      <c r="M18" s="21">
        <f>1089876.5</f>
        <v>1089876.5</v>
      </c>
      <c r="N18" s="21">
        <f>251470.59</f>
        <v>251470.59</v>
      </c>
      <c r="O18" s="21">
        <f>0</f>
        <v>0</v>
      </c>
      <c r="P18" s="21">
        <f>0</f>
        <v>0</v>
      </c>
      <c r="Q18" s="21">
        <f>0</f>
        <v>0</v>
      </c>
    </row>
    <row r="19" spans="1:17" ht="24" customHeight="1">
      <c r="A19" s="15" t="s">
        <v>47</v>
      </c>
      <c r="B19" s="21">
        <f>77292095247.73</f>
        <v>77292095247.73</v>
      </c>
      <c r="C19" s="21">
        <f>58711738255.61</f>
        <v>58711738255.61</v>
      </c>
      <c r="D19" s="21">
        <f>3616928937.21</f>
        <v>3616928937.21</v>
      </c>
      <c r="E19" s="21">
        <f>713002833.08</f>
        <v>713002833.08</v>
      </c>
      <c r="F19" s="21">
        <f>580827943.43</f>
        <v>580827943.43</v>
      </c>
      <c r="G19" s="21">
        <f>2319860261.47</f>
        <v>2319860261.47</v>
      </c>
      <c r="H19" s="21">
        <f>3237899.23</f>
        <v>3237899.23</v>
      </c>
      <c r="I19" s="21">
        <f>0</f>
        <v>0</v>
      </c>
      <c r="J19" s="21">
        <f>52050087286.09</f>
        <v>52050087286.09</v>
      </c>
      <c r="K19" s="21">
        <f>1178341867.29</f>
        <v>1178341867.29</v>
      </c>
      <c r="L19" s="21">
        <f>1843864085.5</f>
        <v>1843864085.5</v>
      </c>
      <c r="M19" s="21">
        <f>11875948.96</f>
        <v>11875948.96</v>
      </c>
      <c r="N19" s="21">
        <f>10640130.56</f>
        <v>10640130.56</v>
      </c>
      <c r="O19" s="21">
        <f>18580356992.12</f>
        <v>18580356992.12</v>
      </c>
      <c r="P19" s="21">
        <f>18580356992.12</f>
        <v>18580356992.12</v>
      </c>
      <c r="Q19" s="21">
        <f>0</f>
        <v>0</v>
      </c>
    </row>
    <row r="20" spans="1:17" ht="24.75" customHeight="1">
      <c r="A20" s="25" t="s">
        <v>48</v>
      </c>
      <c r="B20" s="26">
        <f>0</f>
        <v>0</v>
      </c>
      <c r="C20" s="26">
        <f>0</f>
        <v>0</v>
      </c>
      <c r="D20" s="26">
        <f>0</f>
        <v>0</v>
      </c>
      <c r="E20" s="26">
        <f>0</f>
        <v>0</v>
      </c>
      <c r="F20" s="26">
        <f>0</f>
        <v>0</v>
      </c>
      <c r="G20" s="26">
        <f>0</f>
        <v>0</v>
      </c>
      <c r="H20" s="26">
        <f>0</f>
        <v>0</v>
      </c>
      <c r="I20" s="26">
        <f>0</f>
        <v>0</v>
      </c>
      <c r="J20" s="26">
        <f>0</f>
        <v>0</v>
      </c>
      <c r="K20" s="26">
        <f>0</f>
        <v>0</v>
      </c>
      <c r="L20" s="26">
        <f>0</f>
        <v>0</v>
      </c>
      <c r="M20" s="26">
        <f>0</f>
        <v>0</v>
      </c>
      <c r="N20" s="26">
        <f>0</f>
        <v>0</v>
      </c>
      <c r="O20" s="26">
        <f>0</f>
        <v>0</v>
      </c>
      <c r="P20" s="26">
        <f>0</f>
        <v>0</v>
      </c>
      <c r="Q20" s="26">
        <f>0</f>
        <v>0</v>
      </c>
    </row>
    <row r="21" spans="1:17" ht="38.25" customHeight="1">
      <c r="A21" s="19" t="s">
        <v>75</v>
      </c>
      <c r="B21" s="20">
        <f>79695059.43</f>
        <v>79695059.43</v>
      </c>
      <c r="C21" s="20">
        <f>79689045.55</f>
        <v>79689045.55</v>
      </c>
      <c r="D21" s="20">
        <f>26454577.22</f>
        <v>26454577.22</v>
      </c>
      <c r="E21" s="20">
        <f>8459139.95</f>
        <v>8459139.95</v>
      </c>
      <c r="F21" s="20">
        <f>92047</f>
        <v>92047</v>
      </c>
      <c r="G21" s="20">
        <f>11437244.89</f>
        <v>11437244.89</v>
      </c>
      <c r="H21" s="20">
        <f>6466145.38</f>
        <v>6466145.38</v>
      </c>
      <c r="I21" s="20">
        <f>0</f>
        <v>0</v>
      </c>
      <c r="J21" s="20">
        <f>22048.49</f>
        <v>22048.49</v>
      </c>
      <c r="K21" s="20">
        <f>436160.71</f>
        <v>436160.71</v>
      </c>
      <c r="L21" s="20">
        <f>15400715.84</f>
        <v>15400715.84</v>
      </c>
      <c r="M21" s="20">
        <f>31220797.26</f>
        <v>31220797.26</v>
      </c>
      <c r="N21" s="20">
        <f>6154746.03</f>
        <v>6154746.03</v>
      </c>
      <c r="O21" s="20">
        <f>6013.88</f>
        <v>6013.88</v>
      </c>
      <c r="P21" s="20">
        <f>0</f>
        <v>0</v>
      </c>
      <c r="Q21" s="20">
        <f>6013.88</f>
        <v>6013.88</v>
      </c>
    </row>
    <row r="22" spans="1:17" ht="33" customHeight="1">
      <c r="A22" s="16" t="s">
        <v>49</v>
      </c>
      <c r="B22" s="21">
        <f>41876953.57</f>
        <v>41876953.57</v>
      </c>
      <c r="C22" s="21">
        <f>41872234.38</f>
        <v>41872234.38</v>
      </c>
      <c r="D22" s="21">
        <f>1045797.48</f>
        <v>1045797.48</v>
      </c>
      <c r="E22" s="21">
        <f>627.88</f>
        <v>627.88</v>
      </c>
      <c r="F22" s="21">
        <f>0</f>
        <v>0</v>
      </c>
      <c r="G22" s="21">
        <f>1045169.6</f>
        <v>1045169.6</v>
      </c>
      <c r="H22" s="21">
        <f>0</f>
        <v>0</v>
      </c>
      <c r="I22" s="21">
        <f>0</f>
        <v>0</v>
      </c>
      <c r="J22" s="21">
        <f>0</f>
        <v>0</v>
      </c>
      <c r="K22" s="21">
        <f>5248.05</f>
        <v>5248.05</v>
      </c>
      <c r="L22" s="21">
        <f>13359374.24</f>
        <v>13359374.24</v>
      </c>
      <c r="M22" s="21">
        <f>22378338.16</f>
        <v>22378338.16</v>
      </c>
      <c r="N22" s="21">
        <f>5083476.45</f>
        <v>5083476.45</v>
      </c>
      <c r="O22" s="21">
        <f>4719.19</f>
        <v>4719.19</v>
      </c>
      <c r="P22" s="21">
        <f>0</f>
        <v>0</v>
      </c>
      <c r="Q22" s="21">
        <f>4719.19</f>
        <v>4719.19</v>
      </c>
    </row>
    <row r="23" spans="1:17" ht="23.25" customHeight="1">
      <c r="A23" s="16" t="s">
        <v>50</v>
      </c>
      <c r="B23" s="21">
        <f>37818105.86</f>
        <v>37818105.86</v>
      </c>
      <c r="C23" s="21">
        <f>37816811.17</f>
        <v>37816811.17</v>
      </c>
      <c r="D23" s="21">
        <f>25408779.74</f>
        <v>25408779.74</v>
      </c>
      <c r="E23" s="21">
        <f>8458512.07</f>
        <v>8458512.07</v>
      </c>
      <c r="F23" s="21">
        <f>92047</f>
        <v>92047</v>
      </c>
      <c r="G23" s="21">
        <f>10392075.29</f>
        <v>10392075.29</v>
      </c>
      <c r="H23" s="21">
        <f>6466145.38</f>
        <v>6466145.38</v>
      </c>
      <c r="I23" s="21">
        <f>0</f>
        <v>0</v>
      </c>
      <c r="J23" s="21">
        <f>22048.49</f>
        <v>22048.49</v>
      </c>
      <c r="K23" s="21">
        <f>430912.66</f>
        <v>430912.66</v>
      </c>
      <c r="L23" s="21">
        <f>2041341.6</f>
        <v>2041341.6</v>
      </c>
      <c r="M23" s="21">
        <f>8842459.1</f>
        <v>8842459.1</v>
      </c>
      <c r="N23" s="21">
        <f>1071269.58</f>
        <v>1071269.58</v>
      </c>
      <c r="O23" s="21">
        <f>1294.69</f>
        <v>1294.69</v>
      </c>
      <c r="P23" s="21">
        <f>0</f>
        <v>0</v>
      </c>
      <c r="Q23" s="21">
        <f>1294.69</f>
        <v>1294.69</v>
      </c>
    </row>
    <row r="24" spans="1:17" ht="19.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9.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9.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9.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9.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9.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3" ht="45.75" customHeight="1">
      <c r="A30" s="35" t="s">
        <v>77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2" spans="1:13" ht="13.5" customHeight="1">
      <c r="A32" s="36" t="s">
        <v>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4" spans="1:17" ht="13.5" customHeight="1">
      <c r="A34" s="40" t="s">
        <v>0</v>
      </c>
      <c r="B34" s="37" t="s">
        <v>9</v>
      </c>
      <c r="C34" s="29" t="s">
        <v>11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29" t="s">
        <v>21</v>
      </c>
      <c r="P34" s="30"/>
      <c r="Q34" s="31"/>
    </row>
    <row r="35" spans="1:17" ht="13.5" customHeight="1">
      <c r="A35" s="41"/>
      <c r="B35" s="33"/>
      <c r="C35" s="33" t="s">
        <v>10</v>
      </c>
      <c r="D35" s="28" t="s">
        <v>12</v>
      </c>
      <c r="E35" s="28" t="s">
        <v>22</v>
      </c>
      <c r="F35" s="28" t="s">
        <v>23</v>
      </c>
      <c r="G35" s="28" t="s">
        <v>68</v>
      </c>
      <c r="H35" s="28" t="s">
        <v>25</v>
      </c>
      <c r="I35" s="28" t="s">
        <v>1</v>
      </c>
      <c r="J35" s="28" t="s">
        <v>13</v>
      </c>
      <c r="K35" s="28" t="s">
        <v>14</v>
      </c>
      <c r="L35" s="28" t="s">
        <v>15</v>
      </c>
      <c r="M35" s="28" t="s">
        <v>16</v>
      </c>
      <c r="N35" s="34" t="s">
        <v>17</v>
      </c>
      <c r="O35" s="28" t="s">
        <v>18</v>
      </c>
      <c r="P35" s="28" t="s">
        <v>19</v>
      </c>
      <c r="Q35" s="37" t="s">
        <v>20</v>
      </c>
    </row>
    <row r="36" spans="1:17" ht="13.5" customHeight="1">
      <c r="A36" s="41"/>
      <c r="B36" s="33"/>
      <c r="C36" s="33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4"/>
      <c r="O36" s="28"/>
      <c r="P36" s="28"/>
      <c r="Q36" s="33"/>
    </row>
    <row r="37" spans="1:17" ht="11.25" customHeight="1">
      <c r="A37" s="41"/>
      <c r="B37" s="33"/>
      <c r="C37" s="33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4"/>
      <c r="O37" s="28"/>
      <c r="P37" s="28"/>
      <c r="Q37" s="33"/>
    </row>
    <row r="38" spans="1:17" ht="32.25" customHeight="1">
      <c r="A38" s="42"/>
      <c r="B38" s="32"/>
      <c r="C38" s="32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34"/>
      <c r="O38" s="28"/>
      <c r="P38" s="28"/>
      <c r="Q38" s="32"/>
    </row>
    <row r="39" spans="1:17" ht="13.5" customHeight="1">
      <c r="A39" s="9">
        <v>1</v>
      </c>
      <c r="B39" s="9">
        <v>2</v>
      </c>
      <c r="C39" s="9">
        <v>3</v>
      </c>
      <c r="D39" s="9">
        <v>4</v>
      </c>
      <c r="E39" s="9">
        <v>5</v>
      </c>
      <c r="F39" s="9">
        <v>6</v>
      </c>
      <c r="G39" s="9">
        <v>7</v>
      </c>
      <c r="H39" s="9">
        <v>8</v>
      </c>
      <c r="I39" s="9">
        <v>9</v>
      </c>
      <c r="J39" s="9">
        <v>10</v>
      </c>
      <c r="K39" s="9">
        <v>11</v>
      </c>
      <c r="L39" s="9">
        <v>12</v>
      </c>
      <c r="M39" s="9">
        <v>13</v>
      </c>
      <c r="N39" s="9">
        <v>14</v>
      </c>
      <c r="O39" s="9">
        <v>15</v>
      </c>
      <c r="P39" s="9">
        <v>16</v>
      </c>
      <c r="Q39" s="9">
        <v>17</v>
      </c>
    </row>
    <row r="40" spans="1:17" ht="27.75" customHeight="1" hidden="1">
      <c r="A40" s="10" t="s">
        <v>26</v>
      </c>
      <c r="B40" s="11">
        <f>0</f>
        <v>0</v>
      </c>
      <c r="C40" s="11">
        <f>0</f>
        <v>0</v>
      </c>
      <c r="D40" s="11">
        <f>0</f>
        <v>0</v>
      </c>
      <c r="E40" s="11">
        <f>0</f>
        <v>0</v>
      </c>
      <c r="F40" s="11">
        <f>0</f>
        <v>0</v>
      </c>
      <c r="G40" s="11">
        <f>0</f>
        <v>0</v>
      </c>
      <c r="H40" s="11">
        <f>0</f>
        <v>0</v>
      </c>
      <c r="I40" s="11">
        <f>0</f>
        <v>0</v>
      </c>
      <c r="J40" s="11">
        <f>0</f>
        <v>0</v>
      </c>
      <c r="K40" s="11">
        <f>0</f>
        <v>0</v>
      </c>
      <c r="L40" s="11">
        <f>0</f>
        <v>0</v>
      </c>
      <c r="M40" s="11">
        <f>0</f>
        <v>0</v>
      </c>
      <c r="N40" s="11">
        <f>0</f>
        <v>0</v>
      </c>
      <c r="O40" s="11">
        <f>0</f>
        <v>0</v>
      </c>
      <c r="P40" s="11">
        <f>0</f>
        <v>0</v>
      </c>
      <c r="Q40" s="11">
        <f>0</f>
        <v>0</v>
      </c>
    </row>
    <row r="41" spans="1:17" ht="35.25" customHeight="1">
      <c r="A41" s="27" t="s">
        <v>38</v>
      </c>
      <c r="B41" s="22">
        <f>117644262.53</f>
        <v>117644262.53</v>
      </c>
      <c r="C41" s="22">
        <f>117644262.53</f>
        <v>117644262.53</v>
      </c>
      <c r="D41" s="22">
        <f>50000</f>
        <v>50000</v>
      </c>
      <c r="E41" s="22">
        <f>50000</f>
        <v>50000</v>
      </c>
      <c r="F41" s="22">
        <f>0</f>
        <v>0</v>
      </c>
      <c r="G41" s="22">
        <f>0</f>
        <v>0</v>
      </c>
      <c r="H41" s="22">
        <f>0</f>
        <v>0</v>
      </c>
      <c r="I41" s="22">
        <f>0</f>
        <v>0</v>
      </c>
      <c r="J41" s="22">
        <f>30844951.9</f>
        <v>30844951.9</v>
      </c>
      <c r="K41" s="22">
        <f>175949.8</f>
        <v>175949.8</v>
      </c>
      <c r="L41" s="22">
        <f>5321259.66</f>
        <v>5321259.66</v>
      </c>
      <c r="M41" s="22">
        <f>81243809.9</f>
        <v>81243809.9</v>
      </c>
      <c r="N41" s="22">
        <f>8291.27</f>
        <v>8291.27</v>
      </c>
      <c r="O41" s="22">
        <f>0</f>
        <v>0</v>
      </c>
      <c r="P41" s="22">
        <f>0</f>
        <v>0</v>
      </c>
      <c r="Q41" s="22">
        <f>0</f>
        <v>0</v>
      </c>
    </row>
    <row r="42" spans="1:17" ht="28.5" customHeight="1">
      <c r="A42" s="17" t="s">
        <v>27</v>
      </c>
      <c r="B42" s="23">
        <f>83319720.98</f>
        <v>83319720.98</v>
      </c>
      <c r="C42" s="23">
        <f>83319720.98</f>
        <v>83319720.98</v>
      </c>
      <c r="D42" s="23">
        <f>0</f>
        <v>0</v>
      </c>
      <c r="E42" s="23">
        <f>0</f>
        <v>0</v>
      </c>
      <c r="F42" s="23">
        <f>0</f>
        <v>0</v>
      </c>
      <c r="G42" s="23">
        <f>0</f>
        <v>0</v>
      </c>
      <c r="H42" s="23">
        <f>0</f>
        <v>0</v>
      </c>
      <c r="I42" s="23">
        <f>0</f>
        <v>0</v>
      </c>
      <c r="J42" s="23">
        <f>2806011.3</f>
        <v>2806011.3</v>
      </c>
      <c r="K42" s="23">
        <f>0</f>
        <v>0</v>
      </c>
      <c r="L42" s="23">
        <f>0</f>
        <v>0</v>
      </c>
      <c r="M42" s="23">
        <f>80513709.68</f>
        <v>80513709.68</v>
      </c>
      <c r="N42" s="23">
        <f>0</f>
        <v>0</v>
      </c>
      <c r="O42" s="23">
        <f>0</f>
        <v>0</v>
      </c>
      <c r="P42" s="23">
        <f>0</f>
        <v>0</v>
      </c>
      <c r="Q42" s="23">
        <f>0</f>
        <v>0</v>
      </c>
    </row>
    <row r="43" spans="1:17" ht="28.5" customHeight="1">
      <c r="A43" s="17" t="s">
        <v>28</v>
      </c>
      <c r="B43" s="23">
        <f>34324541.55</f>
        <v>34324541.55</v>
      </c>
      <c r="C43" s="23">
        <f>34324541.55</f>
        <v>34324541.55</v>
      </c>
      <c r="D43" s="23">
        <f>50000</f>
        <v>50000</v>
      </c>
      <c r="E43" s="23">
        <f>50000</f>
        <v>50000</v>
      </c>
      <c r="F43" s="23">
        <f>0</f>
        <v>0</v>
      </c>
      <c r="G43" s="23">
        <f>0</f>
        <v>0</v>
      </c>
      <c r="H43" s="23">
        <f>0</f>
        <v>0</v>
      </c>
      <c r="I43" s="23">
        <f>0</f>
        <v>0</v>
      </c>
      <c r="J43" s="23">
        <f>28038940.6</f>
        <v>28038940.6</v>
      </c>
      <c r="K43" s="23">
        <f>175949.8</f>
        <v>175949.8</v>
      </c>
      <c r="L43" s="23">
        <f>5321259.66</f>
        <v>5321259.66</v>
      </c>
      <c r="M43" s="23">
        <f>730100.22</f>
        <v>730100.22</v>
      </c>
      <c r="N43" s="23">
        <f>8291.27</f>
        <v>8291.27</v>
      </c>
      <c r="O43" s="23">
        <f>0</f>
        <v>0</v>
      </c>
      <c r="P43" s="23">
        <f>0</f>
        <v>0</v>
      </c>
      <c r="Q43" s="23">
        <f>0</f>
        <v>0</v>
      </c>
    </row>
    <row r="44" spans="1:17" ht="28.5" customHeight="1">
      <c r="A44" s="27" t="s">
        <v>39</v>
      </c>
      <c r="B44" s="22">
        <f>4053027095.73</f>
        <v>4053027095.73</v>
      </c>
      <c r="C44" s="22">
        <f>4053016051.03</f>
        <v>4053016051.03</v>
      </c>
      <c r="D44" s="22">
        <f>569955654.16</f>
        <v>569955654.16</v>
      </c>
      <c r="E44" s="22">
        <f>804801.72</f>
        <v>804801.72</v>
      </c>
      <c r="F44" s="22">
        <f>3197507.69</f>
        <v>3197507.69</v>
      </c>
      <c r="G44" s="22">
        <f>565826366.56</f>
        <v>565826366.56</v>
      </c>
      <c r="H44" s="22">
        <f>126978.19</f>
        <v>126978.19</v>
      </c>
      <c r="I44" s="22">
        <f>0</f>
        <v>0</v>
      </c>
      <c r="J44" s="22">
        <f>245581.1</f>
        <v>245581.1</v>
      </c>
      <c r="K44" s="22">
        <f>2055545.27</f>
        <v>2055545.27</v>
      </c>
      <c r="L44" s="22">
        <f>1085299584.45</f>
        <v>1085299584.45</v>
      </c>
      <c r="M44" s="22">
        <f>2341736622.05</f>
        <v>2341736622.05</v>
      </c>
      <c r="N44" s="22">
        <f>53723064</f>
        <v>53723064</v>
      </c>
      <c r="O44" s="22">
        <f>11044.7</f>
        <v>11044.7</v>
      </c>
      <c r="P44" s="22">
        <f>8621.41</f>
        <v>8621.41</v>
      </c>
      <c r="Q44" s="22">
        <f>2423.29</f>
        <v>2423.29</v>
      </c>
    </row>
    <row r="45" spans="1:17" ht="32.25" customHeight="1">
      <c r="A45" s="17" t="s">
        <v>29</v>
      </c>
      <c r="B45" s="23">
        <f>2677062057.85</f>
        <v>2677062057.85</v>
      </c>
      <c r="C45" s="23">
        <f>2677062057.85</f>
        <v>2677062057.85</v>
      </c>
      <c r="D45" s="23">
        <f>59136743.23</f>
        <v>59136743.23</v>
      </c>
      <c r="E45" s="23">
        <f>309028.9</f>
        <v>309028.9</v>
      </c>
      <c r="F45" s="23">
        <f>2200000</f>
        <v>2200000</v>
      </c>
      <c r="G45" s="23">
        <f>56627714.33</f>
        <v>56627714.33</v>
      </c>
      <c r="H45" s="23">
        <f>0</f>
        <v>0</v>
      </c>
      <c r="I45" s="23">
        <f>0</f>
        <v>0</v>
      </c>
      <c r="J45" s="23">
        <f>0</f>
        <v>0</v>
      </c>
      <c r="K45" s="23">
        <f>489999</f>
        <v>489999</v>
      </c>
      <c r="L45" s="23">
        <f>633719617.56</f>
        <v>633719617.56</v>
      </c>
      <c r="M45" s="23">
        <f>1954286820.53</f>
        <v>1954286820.53</v>
      </c>
      <c r="N45" s="23">
        <f>29428877.53</f>
        <v>29428877.53</v>
      </c>
      <c r="O45" s="23">
        <f>0</f>
        <v>0</v>
      </c>
      <c r="P45" s="23">
        <f>0</f>
        <v>0</v>
      </c>
      <c r="Q45" s="23">
        <f>0</f>
        <v>0</v>
      </c>
    </row>
    <row r="46" spans="1:17" ht="32.25" customHeight="1">
      <c r="A46" s="17" t="s">
        <v>30</v>
      </c>
      <c r="B46" s="23">
        <f>1375965037.88</f>
        <v>1375965037.88</v>
      </c>
      <c r="C46" s="23">
        <f>1375953993.18</f>
        <v>1375953993.18</v>
      </c>
      <c r="D46" s="23">
        <f>510818910.93</f>
        <v>510818910.93</v>
      </c>
      <c r="E46" s="23">
        <f>495772.82</f>
        <v>495772.82</v>
      </c>
      <c r="F46" s="23">
        <f>997507.69</f>
        <v>997507.69</v>
      </c>
      <c r="G46" s="23">
        <f>509198652.23</f>
        <v>509198652.23</v>
      </c>
      <c r="H46" s="23">
        <f>126978.19</f>
        <v>126978.19</v>
      </c>
      <c r="I46" s="23">
        <f>0</f>
        <v>0</v>
      </c>
      <c r="J46" s="23">
        <f>245581.1</f>
        <v>245581.1</v>
      </c>
      <c r="K46" s="23">
        <f>1565546.27</f>
        <v>1565546.27</v>
      </c>
      <c r="L46" s="23">
        <f>451579966.89</f>
        <v>451579966.89</v>
      </c>
      <c r="M46" s="23">
        <f>387449801.52</f>
        <v>387449801.52</v>
      </c>
      <c r="N46" s="23">
        <f>24294186.47</f>
        <v>24294186.47</v>
      </c>
      <c r="O46" s="23">
        <f>11044.7</f>
        <v>11044.7</v>
      </c>
      <c r="P46" s="23">
        <f>8621.41</f>
        <v>8621.41</v>
      </c>
      <c r="Q46" s="23">
        <f>2423.29</f>
        <v>2423.29</v>
      </c>
    </row>
    <row r="47" spans="1:17" ht="35.25" customHeight="1">
      <c r="A47" s="27" t="s">
        <v>40</v>
      </c>
      <c r="B47" s="22">
        <f>32570813915.36</f>
        <v>32570813915.36</v>
      </c>
      <c r="C47" s="22">
        <f>32570654241.52</f>
        <v>32570654241.52</v>
      </c>
      <c r="D47" s="22">
        <f>42604171.1</f>
        <v>42604171.1</v>
      </c>
      <c r="E47" s="22">
        <f>12016665.2</f>
        <v>12016665.2</v>
      </c>
      <c r="F47" s="22">
        <f>39860.53</f>
        <v>39860.53</v>
      </c>
      <c r="G47" s="22">
        <f>30547645.37</f>
        <v>30547645.37</v>
      </c>
      <c r="H47" s="22">
        <f>0</f>
        <v>0</v>
      </c>
      <c r="I47" s="22">
        <f>50363267.18</f>
        <v>50363267.18</v>
      </c>
      <c r="J47" s="22">
        <f>32470200622.58</f>
        <v>32470200622.58</v>
      </c>
      <c r="K47" s="22">
        <f>32658.74</f>
        <v>32658.74</v>
      </c>
      <c r="L47" s="22">
        <f>4652771.38</f>
        <v>4652771.38</v>
      </c>
      <c r="M47" s="22">
        <f>2547946.16</f>
        <v>2547946.16</v>
      </c>
      <c r="N47" s="22">
        <f>252804.38</f>
        <v>252804.38</v>
      </c>
      <c r="O47" s="22">
        <f>159673.84</f>
        <v>159673.84</v>
      </c>
      <c r="P47" s="22">
        <f>159673.84</f>
        <v>159673.84</v>
      </c>
      <c r="Q47" s="22">
        <f>0</f>
        <v>0</v>
      </c>
    </row>
    <row r="48" spans="1:17" ht="28.5" customHeight="1">
      <c r="A48" s="17" t="s">
        <v>31</v>
      </c>
      <c r="B48" s="23">
        <f>20029524.6</f>
        <v>20029524.6</v>
      </c>
      <c r="C48" s="23">
        <f>20029524.6</f>
        <v>20029524.6</v>
      </c>
      <c r="D48" s="23">
        <f>20029524.6</f>
        <v>20029524.6</v>
      </c>
      <c r="E48" s="23">
        <f>0</f>
        <v>0</v>
      </c>
      <c r="F48" s="23">
        <f>0</f>
        <v>0</v>
      </c>
      <c r="G48" s="23">
        <f>20029524.6</f>
        <v>20029524.6</v>
      </c>
      <c r="H48" s="23">
        <f>0</f>
        <v>0</v>
      </c>
      <c r="I48" s="23">
        <f>0</f>
        <v>0</v>
      </c>
      <c r="J48" s="23">
        <f>0</f>
        <v>0</v>
      </c>
      <c r="K48" s="23">
        <f>0</f>
        <v>0</v>
      </c>
      <c r="L48" s="23">
        <f>0</f>
        <v>0</v>
      </c>
      <c r="M48" s="23">
        <f>0</f>
        <v>0</v>
      </c>
      <c r="N48" s="23">
        <f>0</f>
        <v>0</v>
      </c>
      <c r="O48" s="23">
        <f>0</f>
        <v>0</v>
      </c>
      <c r="P48" s="23">
        <f>0</f>
        <v>0</v>
      </c>
      <c r="Q48" s="23">
        <f>0</f>
        <v>0</v>
      </c>
    </row>
    <row r="49" spans="1:17" ht="28.5" customHeight="1">
      <c r="A49" s="17" t="s">
        <v>32</v>
      </c>
      <c r="B49" s="23">
        <f>29180510499.33</f>
        <v>29180510499.33</v>
      </c>
      <c r="C49" s="23">
        <f>29180510499.33</f>
        <v>29180510499.33</v>
      </c>
      <c r="D49" s="23">
        <f>22308094.98</f>
        <v>22308094.98</v>
      </c>
      <c r="E49" s="23">
        <f>11918144.86</f>
        <v>11918144.86</v>
      </c>
      <c r="F49" s="23">
        <f>920.03</f>
        <v>920.03</v>
      </c>
      <c r="G49" s="23">
        <f>10389030.09</f>
        <v>10389030.09</v>
      </c>
      <c r="H49" s="23">
        <f>0</f>
        <v>0</v>
      </c>
      <c r="I49" s="23">
        <f>50310851.18</f>
        <v>50310851.18</v>
      </c>
      <c r="J49" s="23">
        <f>29104344877.67</f>
        <v>29104344877.67</v>
      </c>
      <c r="K49" s="23">
        <f>3143.15</f>
        <v>3143.15</v>
      </c>
      <c r="L49" s="23">
        <f>3437790.4</f>
        <v>3437790.4</v>
      </c>
      <c r="M49" s="23">
        <f>11458.83</f>
        <v>11458.83</v>
      </c>
      <c r="N49" s="23">
        <f>94283.12</f>
        <v>94283.12</v>
      </c>
      <c r="O49" s="23">
        <f>0</f>
        <v>0</v>
      </c>
      <c r="P49" s="23">
        <f>0</f>
        <v>0</v>
      </c>
      <c r="Q49" s="23">
        <f>0</f>
        <v>0</v>
      </c>
    </row>
    <row r="50" spans="1:17" ht="28.5" customHeight="1">
      <c r="A50" s="17" t="s">
        <v>33</v>
      </c>
      <c r="B50" s="23">
        <f>3370273891.43</f>
        <v>3370273891.43</v>
      </c>
      <c r="C50" s="23">
        <f>3370114217.59</f>
        <v>3370114217.59</v>
      </c>
      <c r="D50" s="23">
        <f>266551.52</f>
        <v>266551.52</v>
      </c>
      <c r="E50" s="23">
        <f>98520.34</f>
        <v>98520.34</v>
      </c>
      <c r="F50" s="23">
        <f>38940.5</f>
        <v>38940.5</v>
      </c>
      <c r="G50" s="23">
        <f>129090.68</f>
        <v>129090.68</v>
      </c>
      <c r="H50" s="23">
        <f>0</f>
        <v>0</v>
      </c>
      <c r="I50" s="23">
        <f>52416</f>
        <v>52416</v>
      </c>
      <c r="J50" s="23">
        <f>3365855744.91</f>
        <v>3365855744.91</v>
      </c>
      <c r="K50" s="23">
        <f>29515.59</f>
        <v>29515.59</v>
      </c>
      <c r="L50" s="23">
        <f>1214980.98</f>
        <v>1214980.98</v>
      </c>
      <c r="M50" s="23">
        <f>2536487.33</f>
        <v>2536487.33</v>
      </c>
      <c r="N50" s="23">
        <f>158521.26</f>
        <v>158521.26</v>
      </c>
      <c r="O50" s="23">
        <f>159673.84</f>
        <v>159673.84</v>
      </c>
      <c r="P50" s="23">
        <f>159673.84</f>
        <v>159673.84</v>
      </c>
      <c r="Q50" s="23">
        <f>0</f>
        <v>0</v>
      </c>
    </row>
    <row r="51" spans="1:17" ht="35.25" customHeight="1">
      <c r="A51" s="27" t="s">
        <v>41</v>
      </c>
      <c r="B51" s="22">
        <f>24877662668.34</f>
        <v>24877662668.34</v>
      </c>
      <c r="C51" s="22">
        <f>24828031126.41</f>
        <v>24828031126.41</v>
      </c>
      <c r="D51" s="22">
        <f>515484777.7</f>
        <v>515484777.7</v>
      </c>
      <c r="E51" s="22">
        <f>174232206.89</f>
        <v>174232206.89</v>
      </c>
      <c r="F51" s="22">
        <f>21200687.18</f>
        <v>21200687.18</v>
      </c>
      <c r="G51" s="22">
        <f>316520616.71</f>
        <v>316520616.71</v>
      </c>
      <c r="H51" s="22">
        <f>3531266.92</f>
        <v>3531266.92</v>
      </c>
      <c r="I51" s="22">
        <f>17</f>
        <v>17</v>
      </c>
      <c r="J51" s="22">
        <f>15803857.32</f>
        <v>15803857.32</v>
      </c>
      <c r="K51" s="22">
        <f>43455000.13</f>
        <v>43455000.13</v>
      </c>
      <c r="L51" s="22">
        <f>6245911270.08</f>
        <v>6245911270.08</v>
      </c>
      <c r="M51" s="22">
        <f>17859585172.03</f>
        <v>17859585172.03</v>
      </c>
      <c r="N51" s="22">
        <f>147791032.15</f>
        <v>147791032.15</v>
      </c>
      <c r="O51" s="22">
        <f>49631541.93</f>
        <v>49631541.93</v>
      </c>
      <c r="P51" s="22">
        <f>29308488.42</f>
        <v>29308488.42</v>
      </c>
      <c r="Q51" s="22">
        <f>20323053.51</f>
        <v>20323053.51</v>
      </c>
    </row>
    <row r="52" spans="1:17" ht="28.5" customHeight="1">
      <c r="A52" s="17" t="s">
        <v>34</v>
      </c>
      <c r="B52" s="23">
        <f>6696500357.96</f>
        <v>6696500357.96</v>
      </c>
      <c r="C52" s="23">
        <f>6695354146.53</f>
        <v>6695354146.53</v>
      </c>
      <c r="D52" s="23">
        <f>84774478.76</f>
        <v>84774478.76</v>
      </c>
      <c r="E52" s="23">
        <f>3398879</f>
        <v>3398879</v>
      </c>
      <c r="F52" s="23">
        <f>1472746.19</f>
        <v>1472746.19</v>
      </c>
      <c r="G52" s="23">
        <f>79130881.92</f>
        <v>79130881.92</v>
      </c>
      <c r="H52" s="23">
        <f>771971.65</f>
        <v>771971.65</v>
      </c>
      <c r="I52" s="23">
        <f>0</f>
        <v>0</v>
      </c>
      <c r="J52" s="23">
        <f>640663.06</f>
        <v>640663.06</v>
      </c>
      <c r="K52" s="23">
        <f>4906379.48</f>
        <v>4906379.48</v>
      </c>
      <c r="L52" s="23">
        <f>908099175.07</f>
        <v>908099175.07</v>
      </c>
      <c r="M52" s="23">
        <f>5658418565.54</f>
        <v>5658418565.54</v>
      </c>
      <c r="N52" s="23">
        <f>38514884.62</f>
        <v>38514884.62</v>
      </c>
      <c r="O52" s="23">
        <f>1146211.43</f>
        <v>1146211.43</v>
      </c>
      <c r="P52" s="23">
        <f>502549.04</f>
        <v>502549.04</v>
      </c>
      <c r="Q52" s="23">
        <f>643662.39</f>
        <v>643662.39</v>
      </c>
    </row>
    <row r="53" spans="1:17" ht="28.5" customHeight="1">
      <c r="A53" s="17" t="s">
        <v>35</v>
      </c>
      <c r="B53" s="23">
        <f>18181162310.38</f>
        <v>18181162310.38</v>
      </c>
      <c r="C53" s="23">
        <f>18132676979.88</f>
        <v>18132676979.88</v>
      </c>
      <c r="D53" s="23">
        <f>430710298.94</f>
        <v>430710298.94</v>
      </c>
      <c r="E53" s="23">
        <f>170833327.89</f>
        <v>170833327.89</v>
      </c>
      <c r="F53" s="23">
        <f>19727940.99</f>
        <v>19727940.99</v>
      </c>
      <c r="G53" s="23">
        <f>237389734.79</f>
        <v>237389734.79</v>
      </c>
      <c r="H53" s="23">
        <f>2759295.27</f>
        <v>2759295.27</v>
      </c>
      <c r="I53" s="23">
        <f>17</f>
        <v>17</v>
      </c>
      <c r="J53" s="23">
        <f>15163194.26</f>
        <v>15163194.26</v>
      </c>
      <c r="K53" s="23">
        <f>38548620.65</f>
        <v>38548620.65</v>
      </c>
      <c r="L53" s="23">
        <f>5337812095.01</f>
        <v>5337812095.01</v>
      </c>
      <c r="M53" s="23">
        <f>12201166606.49</f>
        <v>12201166606.49</v>
      </c>
      <c r="N53" s="23">
        <f>109276147.53</f>
        <v>109276147.53</v>
      </c>
      <c r="O53" s="23">
        <f>48485330.5</f>
        <v>48485330.5</v>
      </c>
      <c r="P53" s="23">
        <f>28805939.38</f>
        <v>28805939.38</v>
      </c>
      <c r="Q53" s="23">
        <f>19679391.12</f>
        <v>19679391.12</v>
      </c>
    </row>
    <row r="54" spans="1:17" ht="35.25" customHeight="1">
      <c r="A54" s="27" t="s">
        <v>42</v>
      </c>
      <c r="B54" s="22">
        <f>24958406600.87</f>
        <v>24958406600.87</v>
      </c>
      <c r="C54" s="22">
        <f>24913324569.96</f>
        <v>24913324569.96</v>
      </c>
      <c r="D54" s="22">
        <f>3162458143.08</f>
        <v>3162458143.08</v>
      </c>
      <c r="E54" s="22">
        <f>2071236660.48</f>
        <v>2071236660.48</v>
      </c>
      <c r="F54" s="22">
        <f>153462698.87</f>
        <v>153462698.87</v>
      </c>
      <c r="G54" s="22">
        <f>894282636.62</f>
        <v>894282636.62</v>
      </c>
      <c r="H54" s="22">
        <f>43476147.11</f>
        <v>43476147.11</v>
      </c>
      <c r="I54" s="22">
        <f>1102631.15</f>
        <v>1102631.15</v>
      </c>
      <c r="J54" s="22">
        <f>32373420.54</f>
        <v>32373420.54</v>
      </c>
      <c r="K54" s="22">
        <f>79430763.57</f>
        <v>79430763.57</v>
      </c>
      <c r="L54" s="22">
        <f>12982135715.03</f>
        <v>12982135715.03</v>
      </c>
      <c r="M54" s="22">
        <f>8336833049.74</f>
        <v>8336833049.74</v>
      </c>
      <c r="N54" s="22">
        <f>318990846.85</f>
        <v>318990846.85</v>
      </c>
      <c r="O54" s="22">
        <f>45082030.91</f>
        <v>45082030.91</v>
      </c>
      <c r="P54" s="22">
        <f>15349953.77</f>
        <v>15349953.77</v>
      </c>
      <c r="Q54" s="22">
        <f>29732077.14</f>
        <v>29732077.14</v>
      </c>
    </row>
    <row r="55" spans="1:17" ht="28.5" customHeight="1">
      <c r="A55" s="17" t="s">
        <v>36</v>
      </c>
      <c r="B55" s="23">
        <f>1453348602.58</f>
        <v>1453348602.58</v>
      </c>
      <c r="C55" s="23">
        <f>1434474940.74</f>
        <v>1434474940.74</v>
      </c>
      <c r="D55" s="23">
        <f>108680074.27</f>
        <v>108680074.27</v>
      </c>
      <c r="E55" s="23">
        <f>6811460.69</f>
        <v>6811460.69</v>
      </c>
      <c r="F55" s="23">
        <f>1680288.79</f>
        <v>1680288.79</v>
      </c>
      <c r="G55" s="23">
        <f>97371389.43</f>
        <v>97371389.43</v>
      </c>
      <c r="H55" s="23">
        <f>2816935.36</f>
        <v>2816935.36</v>
      </c>
      <c r="I55" s="23">
        <f>24402.12</f>
        <v>24402.12</v>
      </c>
      <c r="J55" s="23">
        <f>2335356.92</f>
        <v>2335356.92</v>
      </c>
      <c r="K55" s="23">
        <f>1661480.1</f>
        <v>1661480.1</v>
      </c>
      <c r="L55" s="23">
        <f>561631787.99</f>
        <v>561631787.99</v>
      </c>
      <c r="M55" s="23">
        <f>745325413.08</f>
        <v>745325413.08</v>
      </c>
      <c r="N55" s="23">
        <f>14816426.26</f>
        <v>14816426.26</v>
      </c>
      <c r="O55" s="23">
        <f>18873661.84</f>
        <v>18873661.84</v>
      </c>
      <c r="P55" s="23">
        <f>311849.9</f>
        <v>311849.9</v>
      </c>
      <c r="Q55" s="23">
        <f>18561811.94</f>
        <v>18561811.94</v>
      </c>
    </row>
    <row r="56" spans="1:17" ht="47.25" customHeight="1">
      <c r="A56" s="17" t="s">
        <v>76</v>
      </c>
      <c r="B56" s="23">
        <f>13663056140.31</f>
        <v>13663056140.31</v>
      </c>
      <c r="C56" s="23">
        <f>13654922445.56</f>
        <v>13654922445.56</v>
      </c>
      <c r="D56" s="23">
        <f>1898480466.13</f>
        <v>1898480466.13</v>
      </c>
      <c r="E56" s="23">
        <f>1546111984.47</f>
        <v>1546111984.47</v>
      </c>
      <c r="F56" s="23">
        <f>65529749.05</f>
        <v>65529749.05</v>
      </c>
      <c r="G56" s="23">
        <f>261007984.95</f>
        <v>261007984.95</v>
      </c>
      <c r="H56" s="23">
        <f>25830747.66</f>
        <v>25830747.66</v>
      </c>
      <c r="I56" s="23">
        <f>978101.28</f>
        <v>978101.28</v>
      </c>
      <c r="J56" s="23">
        <f>21780864.67</f>
        <v>21780864.67</v>
      </c>
      <c r="K56" s="23">
        <f>43211888.34</f>
        <v>43211888.34</v>
      </c>
      <c r="L56" s="23">
        <f>8421146726.22</f>
        <v>8421146726.22</v>
      </c>
      <c r="M56" s="23">
        <f>3195326012.33</f>
        <v>3195326012.33</v>
      </c>
      <c r="N56" s="23">
        <f>73998386.59</f>
        <v>73998386.59</v>
      </c>
      <c r="O56" s="23">
        <f>8133694.75</f>
        <v>8133694.75</v>
      </c>
      <c r="P56" s="23">
        <f>7897578.36</f>
        <v>7897578.36</v>
      </c>
      <c r="Q56" s="23">
        <f>236116.39</f>
        <v>236116.39</v>
      </c>
    </row>
    <row r="57" spans="1:17" ht="35.25" customHeight="1">
      <c r="A57" s="17" t="s">
        <v>37</v>
      </c>
      <c r="B57" s="23">
        <f>9842001857.98</f>
        <v>9842001857.98</v>
      </c>
      <c r="C57" s="23">
        <f>9823927183.66</f>
        <v>9823927183.66</v>
      </c>
      <c r="D57" s="23">
        <f>1155297602.68</f>
        <v>1155297602.68</v>
      </c>
      <c r="E57" s="23">
        <f>518313215.32</f>
        <v>518313215.32</v>
      </c>
      <c r="F57" s="23">
        <f>86252661.03</f>
        <v>86252661.03</v>
      </c>
      <c r="G57" s="23">
        <f>535903262.24</f>
        <v>535903262.24</v>
      </c>
      <c r="H57" s="23">
        <f>14828464.09</f>
        <v>14828464.09</v>
      </c>
      <c r="I57" s="23">
        <f>100127.75</f>
        <v>100127.75</v>
      </c>
      <c r="J57" s="23">
        <f>8257198.95</f>
        <v>8257198.95</v>
      </c>
      <c r="K57" s="23">
        <f>34557395.13</f>
        <v>34557395.13</v>
      </c>
      <c r="L57" s="23">
        <f>3999357200.82</f>
        <v>3999357200.82</v>
      </c>
      <c r="M57" s="23">
        <f>4396181624.33</f>
        <v>4396181624.33</v>
      </c>
      <c r="N57" s="23">
        <f>230176034</f>
        <v>230176034</v>
      </c>
      <c r="O57" s="23">
        <f>18074674.32</f>
        <v>18074674.32</v>
      </c>
      <c r="P57" s="23">
        <f>7140525.51</f>
        <v>7140525.51</v>
      </c>
      <c r="Q57" s="23">
        <f>10934148.81</f>
        <v>10934148.81</v>
      </c>
    </row>
    <row r="68" spans="1:13" ht="75" customHeight="1">
      <c r="A68" s="35" t="s">
        <v>77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3.5" customHeight="1">
      <c r="B70" s="36" t="s">
        <v>2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</row>
    <row r="72" spans="2:12" ht="13.5" customHeight="1">
      <c r="B72" s="65" t="s">
        <v>0</v>
      </c>
      <c r="C72" s="66"/>
      <c r="D72" s="66"/>
      <c r="E72" s="67"/>
      <c r="F72" s="53" t="s">
        <v>66</v>
      </c>
      <c r="G72" s="44" t="s">
        <v>72</v>
      </c>
      <c r="H72" s="45"/>
      <c r="I72" s="45"/>
      <c r="J72" s="45"/>
      <c r="K72" s="45"/>
      <c r="L72" s="46"/>
    </row>
    <row r="73" spans="2:12" ht="13.5" customHeight="1">
      <c r="B73" s="68"/>
      <c r="C73" s="69"/>
      <c r="D73" s="69"/>
      <c r="E73" s="70"/>
      <c r="F73" s="38"/>
      <c r="G73" s="28" t="s">
        <v>67</v>
      </c>
      <c r="H73" s="28" t="s">
        <v>64</v>
      </c>
      <c r="I73" s="28" t="s">
        <v>65</v>
      </c>
      <c r="J73" s="28" t="s">
        <v>68</v>
      </c>
      <c r="K73" s="28" t="s">
        <v>69</v>
      </c>
      <c r="L73" s="34" t="s">
        <v>70</v>
      </c>
    </row>
    <row r="74" spans="2:12" ht="13.5" customHeight="1">
      <c r="B74" s="68"/>
      <c r="C74" s="69"/>
      <c r="D74" s="69"/>
      <c r="E74" s="70"/>
      <c r="F74" s="38"/>
      <c r="G74" s="28"/>
      <c r="H74" s="28"/>
      <c r="I74" s="28"/>
      <c r="J74" s="28"/>
      <c r="K74" s="28"/>
      <c r="L74" s="34"/>
    </row>
    <row r="75" spans="2:12" ht="11.25" customHeight="1">
      <c r="B75" s="68"/>
      <c r="C75" s="69"/>
      <c r="D75" s="69"/>
      <c r="E75" s="70"/>
      <c r="F75" s="38"/>
      <c r="G75" s="28"/>
      <c r="H75" s="28"/>
      <c r="I75" s="28"/>
      <c r="J75" s="28"/>
      <c r="K75" s="28"/>
      <c r="L75" s="34"/>
    </row>
    <row r="76" spans="2:12" ht="20.25" customHeight="1">
      <c r="B76" s="71"/>
      <c r="C76" s="72"/>
      <c r="D76" s="72"/>
      <c r="E76" s="73"/>
      <c r="F76" s="39"/>
      <c r="G76" s="28"/>
      <c r="H76" s="28"/>
      <c r="I76" s="28"/>
      <c r="J76" s="28"/>
      <c r="K76" s="28"/>
      <c r="L76" s="34"/>
    </row>
    <row r="77" spans="2:12" ht="13.5" customHeight="1">
      <c r="B77" s="28">
        <v>1</v>
      </c>
      <c r="C77" s="28"/>
      <c r="D77" s="28"/>
      <c r="E77" s="28"/>
      <c r="F77" s="14">
        <v>2</v>
      </c>
      <c r="G77" s="14">
        <v>3</v>
      </c>
      <c r="H77" s="14">
        <v>4</v>
      </c>
      <c r="I77" s="14">
        <v>5</v>
      </c>
      <c r="J77" s="14">
        <v>6</v>
      </c>
      <c r="K77" s="14">
        <v>7</v>
      </c>
      <c r="L77" s="14">
        <v>8</v>
      </c>
    </row>
    <row r="78" spans="2:12" ht="33.75" customHeight="1">
      <c r="B78" s="50" t="s">
        <v>51</v>
      </c>
      <c r="C78" s="51"/>
      <c r="D78" s="51"/>
      <c r="E78" s="52"/>
      <c r="F78" s="21">
        <f>4511999178.06</f>
        <v>4511999178.06</v>
      </c>
      <c r="G78" s="21">
        <f>1436917142.24</f>
        <v>1436917142.24</v>
      </c>
      <c r="H78" s="21">
        <f>58519957.17</f>
        <v>58519957.17</v>
      </c>
      <c r="I78" s="21">
        <f>569824332.93</f>
        <v>569824332.93</v>
      </c>
      <c r="J78" s="21">
        <f>794830523.37</f>
        <v>794830523.37</v>
      </c>
      <c r="K78" s="21">
        <f>13742328.77</f>
        <v>13742328.77</v>
      </c>
      <c r="L78" s="21">
        <f>3075082035.82</f>
        <v>3075082035.82</v>
      </c>
    </row>
    <row r="79" spans="2:12" ht="33.75" customHeight="1">
      <c r="B79" s="47" t="s">
        <v>52</v>
      </c>
      <c r="C79" s="48"/>
      <c r="D79" s="48"/>
      <c r="E79" s="49"/>
      <c r="F79" s="24">
        <f>4267928.31</f>
        <v>4267928.31</v>
      </c>
      <c r="G79" s="24">
        <f>3339683.31</f>
        <v>3339683.31</v>
      </c>
      <c r="H79" s="24">
        <f>1590916.59</f>
        <v>1590916.59</v>
      </c>
      <c r="I79" s="24">
        <f>0</f>
        <v>0</v>
      </c>
      <c r="J79" s="24">
        <f>1748766.72</f>
        <v>1748766.72</v>
      </c>
      <c r="K79" s="24">
        <f>0</f>
        <v>0</v>
      </c>
      <c r="L79" s="24">
        <f>928245</f>
        <v>928245</v>
      </c>
    </row>
    <row r="80" spans="2:12" ht="33.75" customHeight="1">
      <c r="B80" s="47" t="s">
        <v>53</v>
      </c>
      <c r="C80" s="48"/>
      <c r="D80" s="48"/>
      <c r="E80" s="49"/>
      <c r="F80" s="24">
        <f>252227712.61</f>
        <v>252227712.61</v>
      </c>
      <c r="G80" s="24">
        <f>54199154.06</f>
        <v>54199154.06</v>
      </c>
      <c r="H80" s="24">
        <f>1079888.66</f>
        <v>1079888.66</v>
      </c>
      <c r="I80" s="24">
        <f>7836066.07</f>
        <v>7836066.07</v>
      </c>
      <c r="J80" s="24">
        <f>42843500.33</f>
        <v>42843500.33</v>
      </c>
      <c r="K80" s="24">
        <f>2439699</f>
        <v>2439699</v>
      </c>
      <c r="L80" s="24">
        <f>198028558.55</f>
        <v>198028558.55</v>
      </c>
    </row>
    <row r="81" spans="2:12" ht="22.5" customHeight="1">
      <c r="B81" s="47" t="s">
        <v>54</v>
      </c>
      <c r="C81" s="48"/>
      <c r="D81" s="48"/>
      <c r="E81" s="49"/>
      <c r="F81" s="24">
        <f>88776504.57</f>
        <v>88776504.57</v>
      </c>
      <c r="G81" s="24">
        <f>47137681.97</f>
        <v>47137681.97</v>
      </c>
      <c r="H81" s="24">
        <f>0</f>
        <v>0</v>
      </c>
      <c r="I81" s="24">
        <f>2437189.8</f>
        <v>2437189.8</v>
      </c>
      <c r="J81" s="24">
        <f>44700492.17</f>
        <v>44700492.17</v>
      </c>
      <c r="K81" s="24">
        <f>0</f>
        <v>0</v>
      </c>
      <c r="L81" s="24">
        <f>41638822.6</f>
        <v>41638822.6</v>
      </c>
    </row>
    <row r="82" spans="2:12" ht="33.75" customHeight="1">
      <c r="B82" s="47" t="s">
        <v>55</v>
      </c>
      <c r="C82" s="48"/>
      <c r="D82" s="48"/>
      <c r="E82" s="49"/>
      <c r="F82" s="24">
        <f>10766692.24</f>
        <v>10766692.24</v>
      </c>
      <c r="G82" s="24">
        <f>10481817.16</f>
        <v>10481817.16</v>
      </c>
      <c r="H82" s="24">
        <f>0</f>
        <v>0</v>
      </c>
      <c r="I82" s="24">
        <f>0</f>
        <v>0</v>
      </c>
      <c r="J82" s="24">
        <f>10481817.16</f>
        <v>10481817.16</v>
      </c>
      <c r="K82" s="24">
        <f>0</f>
        <v>0</v>
      </c>
      <c r="L82" s="24">
        <f>284875.08</f>
        <v>284875.08</v>
      </c>
    </row>
    <row r="83" spans="2:12" ht="33.75" customHeight="1">
      <c r="B83" s="47" t="s">
        <v>56</v>
      </c>
      <c r="C83" s="48"/>
      <c r="D83" s="48"/>
      <c r="E83" s="49"/>
      <c r="F83" s="24">
        <f>10998178.13</f>
        <v>10998178.13</v>
      </c>
      <c r="G83" s="24">
        <f>6549407.36</f>
        <v>6549407.36</v>
      </c>
      <c r="H83" s="24">
        <f>0</f>
        <v>0</v>
      </c>
      <c r="I83" s="24">
        <f>0</f>
        <v>0</v>
      </c>
      <c r="J83" s="24">
        <f>6549407.36</f>
        <v>6549407.36</v>
      </c>
      <c r="K83" s="24">
        <f>0</f>
        <v>0</v>
      </c>
      <c r="L83" s="24">
        <f>4448770.77</f>
        <v>4448770.77</v>
      </c>
    </row>
    <row r="84" spans="2:12" ht="33" customHeight="1">
      <c r="B84" s="50" t="s">
        <v>57</v>
      </c>
      <c r="C84" s="51"/>
      <c r="D84" s="51"/>
      <c r="E84" s="52"/>
      <c r="F84" s="21">
        <f>90736.4</f>
        <v>90736.4</v>
      </c>
      <c r="G84" s="21">
        <f>0</f>
        <v>0</v>
      </c>
      <c r="H84" s="21">
        <f>0</f>
        <v>0</v>
      </c>
      <c r="I84" s="21">
        <f>0</f>
        <v>0</v>
      </c>
      <c r="J84" s="21">
        <f>0</f>
        <v>0</v>
      </c>
      <c r="K84" s="21">
        <f>0</f>
        <v>0</v>
      </c>
      <c r="L84" s="21">
        <f>90736.4</f>
        <v>90736.4</v>
      </c>
    </row>
    <row r="87" spans="1:13" ht="75" customHeight="1">
      <c r="A87" s="35" t="s">
        <v>77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ht="13.5" customHeight="1">
      <c r="B88" s="3"/>
    </row>
    <row r="89" spans="2:11" ht="13.5" customHeight="1">
      <c r="B89" s="4"/>
      <c r="C89" s="58"/>
      <c r="D89" s="59"/>
      <c r="E89" s="59"/>
      <c r="F89" s="60"/>
      <c r="G89" s="58" t="s">
        <v>3</v>
      </c>
      <c r="H89" s="60"/>
      <c r="I89" s="58" t="s">
        <v>4</v>
      </c>
      <c r="J89" s="60"/>
      <c r="K89" s="4"/>
    </row>
    <row r="90" spans="2:11" ht="13.5" customHeight="1">
      <c r="B90" s="5"/>
      <c r="C90" s="50" t="s">
        <v>5</v>
      </c>
      <c r="D90" s="51"/>
      <c r="E90" s="51"/>
      <c r="F90" s="52"/>
      <c r="G90" s="54">
        <f>2501</f>
        <v>2501</v>
      </c>
      <c r="H90" s="55"/>
      <c r="I90" s="56">
        <f>12996710318.63</f>
        <v>12996710318.63</v>
      </c>
      <c r="J90" s="57"/>
      <c r="K90" s="6"/>
    </row>
    <row r="91" spans="2:11" ht="13.5" customHeight="1">
      <c r="B91" s="5"/>
      <c r="C91" s="47" t="s">
        <v>6</v>
      </c>
      <c r="D91" s="48"/>
      <c r="E91" s="48"/>
      <c r="F91" s="49"/>
      <c r="G91" s="61">
        <f>305</f>
        <v>305</v>
      </c>
      <c r="H91" s="62"/>
      <c r="I91" s="63">
        <f>-1033785922.22</f>
        <v>-1033785922.22</v>
      </c>
      <c r="J91" s="64"/>
      <c r="K91" s="6"/>
    </row>
    <row r="92" spans="2:11" ht="13.5" customHeight="1">
      <c r="B92" s="5"/>
      <c r="C92" s="50" t="s">
        <v>7</v>
      </c>
      <c r="D92" s="51"/>
      <c r="E92" s="51"/>
      <c r="F92" s="52"/>
      <c r="G92" s="54">
        <f>0</f>
        <v>0</v>
      </c>
      <c r="H92" s="55"/>
      <c r="I92" s="56">
        <f>0</f>
        <v>0</v>
      </c>
      <c r="J92" s="57"/>
      <c r="K92" s="6"/>
    </row>
  </sheetData>
  <sheetProtection/>
  <mergeCells count="75">
    <mergeCell ref="O6:Q6"/>
    <mergeCell ref="O7:O11"/>
    <mergeCell ref="A68:M68"/>
    <mergeCell ref="L35:L38"/>
    <mergeCell ref="P35:P38"/>
    <mergeCell ref="Q35:Q38"/>
    <mergeCell ref="N35:N38"/>
    <mergeCell ref="O35:O38"/>
    <mergeCell ref="D35:D38"/>
    <mergeCell ref="H7:H11"/>
    <mergeCell ref="B83:E83"/>
    <mergeCell ref="I90:J90"/>
    <mergeCell ref="B70:M70"/>
    <mergeCell ref="I89:J89"/>
    <mergeCell ref="B77:E77"/>
    <mergeCell ref="B72:E76"/>
    <mergeCell ref="B84:E84"/>
    <mergeCell ref="A87:M87"/>
    <mergeCell ref="B80:E80"/>
    <mergeCell ref="B81:E81"/>
    <mergeCell ref="G92:H92"/>
    <mergeCell ref="I92:J92"/>
    <mergeCell ref="C89:F89"/>
    <mergeCell ref="C90:F90"/>
    <mergeCell ref="C91:F91"/>
    <mergeCell ref="C92:F92"/>
    <mergeCell ref="G90:H90"/>
    <mergeCell ref="G89:H89"/>
    <mergeCell ref="G91:H91"/>
    <mergeCell ref="I91:J91"/>
    <mergeCell ref="B82:E82"/>
    <mergeCell ref="B79:E79"/>
    <mergeCell ref="M35:M38"/>
    <mergeCell ref="B78:E78"/>
    <mergeCell ref="F72:F76"/>
    <mergeCell ref="G73:G76"/>
    <mergeCell ref="G72:L72"/>
    <mergeCell ref="H73:H76"/>
    <mergeCell ref="I73:I76"/>
    <mergeCell ref="J73:J76"/>
    <mergeCell ref="A1:M1"/>
    <mergeCell ref="C5:M5"/>
    <mergeCell ref="A3:M3"/>
    <mergeCell ref="K7:K11"/>
    <mergeCell ref="C7:C11"/>
    <mergeCell ref="B6:B11"/>
    <mergeCell ref="A6:A11"/>
    <mergeCell ref="C6:N6"/>
    <mergeCell ref="D7:D11"/>
    <mergeCell ref="E7:E11"/>
    <mergeCell ref="L73:L76"/>
    <mergeCell ref="F35:F38"/>
    <mergeCell ref="A30:M30"/>
    <mergeCell ref="O34:Q34"/>
    <mergeCell ref="A32:M32"/>
    <mergeCell ref="B34:B38"/>
    <mergeCell ref="A34:A38"/>
    <mergeCell ref="C35:C38"/>
    <mergeCell ref="G35:G38"/>
    <mergeCell ref="Q7:Q11"/>
    <mergeCell ref="C34:N34"/>
    <mergeCell ref="L7:L11"/>
    <mergeCell ref="M7:M11"/>
    <mergeCell ref="N7:N11"/>
    <mergeCell ref="P7:P11"/>
    <mergeCell ref="G7:G11"/>
    <mergeCell ref="F7:F11"/>
    <mergeCell ref="I7:I11"/>
    <mergeCell ref="J7:J11"/>
    <mergeCell ref="H35:H38"/>
    <mergeCell ref="K35:K38"/>
    <mergeCell ref="I35:I38"/>
    <mergeCell ref="J35:J38"/>
    <mergeCell ref="E35:E38"/>
    <mergeCell ref="K73:K76"/>
  </mergeCells>
  <printOptions/>
  <pageMargins left="0" right="0" top="0.1968503937007874" bottom="0.1968503937007874" header="0" footer="0"/>
  <pageSetup firstPageNumber="1" useFirstPageNumber="1" horizontalDpi="300" verticalDpi="300" orientation="landscape" paperSize="9" scale="67" r:id="rId1"/>
  <headerFooter alignWithMargins="0">
    <oddFooter>&amp;L&amp;D&amp;Rstrona &amp;P z 3</oddFooter>
  </headerFooter>
  <rowBreaks count="2" manualBreakCount="2">
    <brk id="29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2016-08-26T11:29:32Z</cp:lastPrinted>
  <dcterms:created xsi:type="dcterms:W3CDTF">2001-05-17T08:58:03Z</dcterms:created>
  <dcterms:modified xsi:type="dcterms:W3CDTF">2020-08-24T20:35:05Z</dcterms:modified>
  <cp:category/>
  <cp:version/>
  <cp:contentType/>
  <cp:contentStatus/>
</cp:coreProperties>
</file>