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en_skoroszyt"/>
  <mc:AlternateContent xmlns:mc="http://schemas.openxmlformats.org/markup-compatibility/2006">
    <mc:Choice Requires="x15">
      <x15ac:absPath xmlns:x15ac="http://schemas.microsoft.com/office/spreadsheetml/2010/11/ac" url="https://nfosigw-my.sharepoint.com/personal/piotr_rucinski_nfosigw_gov_pl/Documents/_PRACA_OneDrive/"/>
    </mc:Choice>
  </mc:AlternateContent>
  <xr:revisionPtr revIDLastSave="45" documentId="8_{722AC3AF-DC13-4BA3-B88F-A37761A59957}" xr6:coauthVersionLast="47" xr6:coauthVersionMax="47" xr10:uidLastSave="{AE65361D-BF6A-4A59-9816-A2479DC854C2}"/>
  <workbookProtection workbookAlgorithmName="SHA-512" workbookHashValue="42QXFNtHYm7otE8vhxFbyclCuxlxk5x2wg6b3XUXzT8SDfVIQUlxl3WiEZq/wHFbSrbietPj101/g6UDq/Jd0Q==" workbookSaltValue="8uYxwL2+0BactvMqeJLveA==" workbookSpinCount="100000" lockStructure="1"/>
  <bookViews>
    <workbookView xWindow="-120" yWindow="-120" windowWidth="29040" windowHeight="17520" tabRatio="598" activeTab="1" xr2:uid="{00000000-000D-0000-FFFF-FFFF00000000}"/>
  </bookViews>
  <sheets>
    <sheet name="Instrukcja" sheetId="18" r:id="rId1"/>
    <sheet name="Dane finansowe" sheetId="14" r:id="rId2"/>
    <sheet name="Wyniki" sheetId="17" r:id="rId3"/>
    <sheet name="WACC" sheetId="19" r:id="rId4"/>
    <sheet name="inflacja" sheetId="20" r:id="rId5"/>
  </sheets>
  <definedNames>
    <definedName name="_xlnm._FilterDatabase" localSheetId="1" hidden="1">'Dane finansowe'!#REF!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4" i="17" l="1"/>
  <c r="C187" i="17"/>
  <c r="I215" i="17" l="1"/>
  <c r="I201" i="17"/>
  <c r="I187" i="17"/>
  <c r="C258" i="17"/>
  <c r="C229" i="17"/>
  <c r="C215" i="17"/>
  <c r="C201" i="17"/>
  <c r="C176" i="17"/>
  <c r="C161" i="17"/>
  <c r="C147" i="17"/>
  <c r="C132" i="17"/>
  <c r="C118" i="17"/>
  <c r="C103" i="17"/>
  <c r="C89" i="17"/>
  <c r="G284" i="17" l="1"/>
  <c r="F284" i="17" s="1"/>
  <c r="E284" i="17" s="1"/>
  <c r="G6" i="14"/>
  <c r="G21" i="14"/>
  <c r="F21" i="14" s="1"/>
  <c r="E21" i="14" s="1"/>
  <c r="E31" i="14" s="1"/>
  <c r="E55" i="17" l="1"/>
  <c r="E270" i="17" s="1"/>
  <c r="G55" i="17"/>
  <c r="G270" i="17" s="1"/>
  <c r="F55" i="17"/>
  <c r="F270" i="17" s="1"/>
  <c r="G43" i="14"/>
  <c r="E43" i="14"/>
  <c r="F43" i="14"/>
  <c r="F52" i="14"/>
  <c r="F65" i="14"/>
  <c r="G65" i="14"/>
  <c r="E52" i="14"/>
  <c r="G52" i="14"/>
  <c r="E65" i="14"/>
  <c r="F31" i="14"/>
  <c r="J13" i="20" l="1"/>
  <c r="J14" i="20"/>
  <c r="J15" i="20"/>
  <c r="J16" i="20"/>
  <c r="J17" i="20"/>
  <c r="J18" i="20"/>
  <c r="J19" i="20"/>
  <c r="J20" i="20"/>
  <c r="J21" i="20"/>
  <c r="J22" i="20"/>
  <c r="J23" i="20"/>
  <c r="J24" i="20"/>
  <c r="J25" i="20"/>
  <c r="J26" i="20"/>
  <c r="J27" i="20"/>
  <c r="J28" i="20"/>
  <c r="J29" i="20"/>
  <c r="J30" i="20"/>
  <c r="J31" i="20"/>
  <c r="J32" i="20"/>
  <c r="J33" i="20"/>
  <c r="J34" i="20"/>
  <c r="J35" i="20"/>
  <c r="J36" i="20"/>
  <c r="J37" i="20"/>
  <c r="J12" i="20"/>
  <c r="D5" i="20" l="1"/>
  <c r="D17" i="19" s="1"/>
  <c r="C23" i="19" l="1"/>
  <c r="D8" i="19" l="1"/>
  <c r="D7" i="19"/>
  <c r="D14" i="19" l="1"/>
  <c r="D18" i="19" s="1"/>
  <c r="E57" i="14"/>
  <c r="E56" i="17"/>
  <c r="F66" i="14" l="1"/>
  <c r="G66" i="14"/>
  <c r="E66" i="14"/>
  <c r="D39" i="14"/>
  <c r="D40" i="14"/>
  <c r="F62" i="17" l="1"/>
  <c r="F155" i="17" s="1"/>
  <c r="G62" i="17"/>
  <c r="E62" i="17"/>
  <c r="E155" i="17" s="1"/>
  <c r="D182" i="17"/>
  <c r="D181" i="17"/>
  <c r="D180" i="17"/>
  <c r="D179" i="17"/>
  <c r="D178" i="17"/>
  <c r="E70" i="14" l="1"/>
  <c r="D258" i="17" l="1"/>
  <c r="D269" i="17" s="1"/>
  <c r="F56" i="17" l="1"/>
  <c r="G56" i="17"/>
  <c r="E74" i="17" s="1"/>
  <c r="D56" i="17"/>
  <c r="D67" i="14" l="1"/>
  <c r="D68" i="14"/>
  <c r="D69" i="14"/>
  <c r="D70" i="14"/>
  <c r="D71" i="14"/>
  <c r="D72" i="14"/>
  <c r="D73" i="14"/>
  <c r="D74" i="14"/>
  <c r="D75" i="14"/>
  <c r="D66" i="14"/>
  <c r="F272" i="17"/>
  <c r="G272" i="17" s="1"/>
  <c r="F57" i="14"/>
  <c r="G57" i="14"/>
  <c r="E182" i="17"/>
  <c r="G182" i="17" l="1"/>
  <c r="G70" i="14"/>
  <c r="F182" i="17"/>
  <c r="F63" i="17" s="1"/>
  <c r="F70" i="14"/>
  <c r="D63" i="14"/>
  <c r="D62" i="14"/>
  <c r="D61" i="14"/>
  <c r="D60" i="14"/>
  <c r="D59" i="14"/>
  <c r="D58" i="14"/>
  <c r="D57" i="14"/>
  <c r="D56" i="14"/>
  <c r="D55" i="14"/>
  <c r="D54" i="14"/>
  <c r="D53" i="14"/>
  <c r="D50" i="14"/>
  <c r="D49" i="14"/>
  <c r="D48" i="14"/>
  <c r="D47" i="14"/>
  <c r="D46" i="14"/>
  <c r="D45" i="14"/>
  <c r="D44" i="14"/>
  <c r="D41" i="14"/>
  <c r="D38" i="14"/>
  <c r="D37" i="14"/>
  <c r="D36" i="14"/>
  <c r="D35" i="14"/>
  <c r="D34" i="14"/>
  <c r="D33" i="14"/>
  <c r="D32" i="14"/>
  <c r="D23" i="14"/>
  <c r="D24" i="14"/>
  <c r="D25" i="14"/>
  <c r="D26" i="14"/>
  <c r="D27" i="14"/>
  <c r="D28" i="14"/>
  <c r="D29" i="14"/>
  <c r="E68" i="14"/>
  <c r="G271" i="17" l="1"/>
  <c r="G93" i="17" s="1"/>
  <c r="F271" i="17"/>
  <c r="G273" i="17" l="1"/>
  <c r="F273" i="17"/>
  <c r="E271" i="17"/>
  <c r="F93" i="17" l="1"/>
  <c r="E273" i="17"/>
  <c r="G31" i="14"/>
  <c r="E93" i="17" l="1"/>
  <c r="G265" i="17" l="1"/>
  <c r="F265" i="17"/>
  <c r="E265" i="17"/>
  <c r="G264" i="17"/>
  <c r="F264" i="17"/>
  <c r="E264" i="17"/>
  <c r="G262" i="17"/>
  <c r="F262" i="17"/>
  <c r="E262" i="17"/>
  <c r="G261" i="17"/>
  <c r="F261" i="17"/>
  <c r="E261" i="17"/>
  <c r="G260" i="17"/>
  <c r="F260" i="17"/>
  <c r="E260" i="17"/>
  <c r="D176" i="17"/>
  <c r="C257" i="17"/>
  <c r="C243" i="17"/>
  <c r="C228" i="17"/>
  <c r="L218" i="17"/>
  <c r="K218" i="17"/>
  <c r="J218" i="17"/>
  <c r="L217" i="17"/>
  <c r="K217" i="17"/>
  <c r="J217" i="17"/>
  <c r="C214" i="17"/>
  <c r="L204" i="17"/>
  <c r="K204" i="17"/>
  <c r="J204" i="17"/>
  <c r="L203" i="17"/>
  <c r="K203" i="17"/>
  <c r="J203" i="17"/>
  <c r="C200" i="17"/>
  <c r="L190" i="17"/>
  <c r="K190" i="17"/>
  <c r="J190" i="17"/>
  <c r="L189" i="17"/>
  <c r="K189" i="17"/>
  <c r="J189" i="17"/>
  <c r="C186" i="17"/>
  <c r="G181" i="17"/>
  <c r="F181" i="17"/>
  <c r="E181" i="17"/>
  <c r="G180" i="17"/>
  <c r="F180" i="17"/>
  <c r="E180" i="17"/>
  <c r="G179" i="17"/>
  <c r="F179" i="17"/>
  <c r="E179" i="17"/>
  <c r="G178" i="17"/>
  <c r="G263" i="17" s="1"/>
  <c r="F178" i="17"/>
  <c r="F263" i="17" s="1"/>
  <c r="E178" i="17"/>
  <c r="E263" i="17" s="1"/>
  <c r="C175" i="17"/>
  <c r="F165" i="17"/>
  <c r="G165" i="17" s="1"/>
  <c r="F164" i="17"/>
  <c r="G164" i="17" s="1"/>
  <c r="C160" i="17"/>
  <c r="C146" i="17"/>
  <c r="F136" i="17"/>
  <c r="G136" i="17" s="1"/>
  <c r="F135" i="17"/>
  <c r="G135" i="17" s="1"/>
  <c r="C131" i="17"/>
  <c r="F125" i="17"/>
  <c r="G125" i="17" s="1"/>
  <c r="F124" i="17"/>
  <c r="G124" i="17" s="1"/>
  <c r="F122" i="17"/>
  <c r="G122" i="17" s="1"/>
  <c r="F121" i="17"/>
  <c r="G121" i="17" s="1"/>
  <c r="C117" i="17"/>
  <c r="C102" i="17"/>
  <c r="C88" i="17"/>
  <c r="B85" i="17"/>
  <c r="C84" i="17"/>
  <c r="B84" i="17"/>
  <c r="G68" i="17"/>
  <c r="F68" i="17"/>
  <c r="E68" i="17"/>
  <c r="E238" i="17" s="1"/>
  <c r="E239" i="17" s="1"/>
  <c r="B83" i="17"/>
  <c r="G67" i="17"/>
  <c r="F67" i="17"/>
  <c r="E67" i="17"/>
  <c r="G66" i="17"/>
  <c r="F66" i="17"/>
  <c r="E66" i="17"/>
  <c r="G65" i="17"/>
  <c r="F65" i="17"/>
  <c r="E65" i="17"/>
  <c r="C82" i="17"/>
  <c r="B82" i="17"/>
  <c r="C81" i="17"/>
  <c r="B81" i="17"/>
  <c r="C80" i="17"/>
  <c r="B80" i="17"/>
  <c r="G61" i="17"/>
  <c r="F61" i="17"/>
  <c r="E61" i="17"/>
  <c r="E141" i="17" s="1"/>
  <c r="E142" i="17" s="1"/>
  <c r="B79" i="17"/>
  <c r="G60" i="17"/>
  <c r="F60" i="17"/>
  <c r="E60" i="17"/>
  <c r="B78" i="17"/>
  <c r="G59" i="17"/>
  <c r="F59" i="17"/>
  <c r="E59" i="17"/>
  <c r="E112" i="17" s="1"/>
  <c r="E113" i="17" s="1"/>
  <c r="C77" i="17"/>
  <c r="B77" i="17"/>
  <c r="G58" i="17"/>
  <c r="F58" i="17"/>
  <c r="E58" i="17"/>
  <c r="C76" i="17"/>
  <c r="B76" i="17"/>
  <c r="G57" i="17"/>
  <c r="F57" i="17"/>
  <c r="E57" i="17"/>
  <c r="C75" i="17"/>
  <c r="B75" i="17"/>
  <c r="C74" i="17"/>
  <c r="B74" i="17"/>
  <c r="G133" i="17" l="1"/>
  <c r="G245" i="17"/>
  <c r="G266" i="17"/>
  <c r="G70" i="17" s="1"/>
  <c r="E266" i="17"/>
  <c r="E70" i="17" s="1"/>
  <c r="F266" i="17"/>
  <c r="F70" i="17" s="1"/>
  <c r="E75" i="17"/>
  <c r="I8" i="17" s="1"/>
  <c r="I4" i="17"/>
  <c r="E97" i="17"/>
  <c r="E98" i="17" s="1"/>
  <c r="E69" i="17"/>
  <c r="J191" i="17"/>
  <c r="J205" i="17"/>
  <c r="J219" i="17"/>
  <c r="L191" i="17"/>
  <c r="K191" i="17"/>
  <c r="L205" i="17"/>
  <c r="K219" i="17"/>
  <c r="K205" i="17"/>
  <c r="L219" i="17"/>
  <c r="G69" i="17"/>
  <c r="C78" i="17"/>
  <c r="G90" i="17"/>
  <c r="G97" i="17"/>
  <c r="G98" i="17" s="1"/>
  <c r="E126" i="17"/>
  <c r="E127" i="17" s="1"/>
  <c r="F141" i="17"/>
  <c r="F142" i="17" s="1"/>
  <c r="G148" i="17"/>
  <c r="G155" i="17"/>
  <c r="G156" i="17" s="1"/>
  <c r="G188" i="17"/>
  <c r="L188" i="17"/>
  <c r="G195" i="17"/>
  <c r="G196" i="17" s="1"/>
  <c r="G202" i="17"/>
  <c r="L202" i="17"/>
  <c r="G209" i="17"/>
  <c r="G210" i="17" s="1"/>
  <c r="G216" i="17"/>
  <c r="L216" i="17"/>
  <c r="G223" i="17"/>
  <c r="G224" i="17" s="1"/>
  <c r="G259" i="17"/>
  <c r="F69" i="17"/>
  <c r="C79" i="17"/>
  <c r="C83" i="17"/>
  <c r="F97" i="17"/>
  <c r="F98" i="17" s="1"/>
  <c r="G104" i="17"/>
  <c r="G112" i="17"/>
  <c r="G113" i="17" s="1"/>
  <c r="F156" i="17"/>
  <c r="G162" i="17"/>
  <c r="G177" i="17"/>
  <c r="F195" i="17"/>
  <c r="F196" i="17" s="1"/>
  <c r="F209" i="17"/>
  <c r="F210" i="17" s="1"/>
  <c r="F223" i="17"/>
  <c r="F224" i="17" s="1"/>
  <c r="G230" i="17"/>
  <c r="G238" i="17"/>
  <c r="G239" i="17" s="1"/>
  <c r="F112" i="17"/>
  <c r="F113" i="17" s="1"/>
  <c r="G119" i="17"/>
  <c r="G126" i="17"/>
  <c r="G127" i="17" s="1"/>
  <c r="E156" i="17"/>
  <c r="E195" i="17"/>
  <c r="E196" i="17" s="1"/>
  <c r="E209" i="17"/>
  <c r="E210" i="17" s="1"/>
  <c r="E223" i="17"/>
  <c r="E224" i="17" s="1"/>
  <c r="F238" i="17"/>
  <c r="F239" i="17" s="1"/>
  <c r="C85" i="17"/>
  <c r="F126" i="17"/>
  <c r="F127" i="17" s="1"/>
  <c r="G141" i="17"/>
  <c r="G142" i="17" s="1"/>
  <c r="E143" i="17" l="1"/>
  <c r="G252" i="17"/>
  <c r="G253" i="17" s="1"/>
  <c r="E99" i="17"/>
  <c r="E76" i="17" s="1"/>
  <c r="I12" i="17" s="1"/>
  <c r="E114" i="17"/>
  <c r="E128" i="17"/>
  <c r="E157" i="17"/>
  <c r="E80" i="17" s="1"/>
  <c r="E240" i="17"/>
  <c r="E225" i="17"/>
  <c r="E211" i="17"/>
  <c r="E197" i="17"/>
  <c r="E84" i="17"/>
  <c r="I36" i="17" s="1"/>
  <c r="F252" i="17"/>
  <c r="F253" i="17" s="1"/>
  <c r="F245" i="17"/>
  <c r="F119" i="17"/>
  <c r="F230" i="17"/>
  <c r="F177" i="17"/>
  <c r="F162" i="17"/>
  <c r="F104" i="17"/>
  <c r="F259" i="17"/>
  <c r="K216" i="17"/>
  <c r="F216" i="17"/>
  <c r="K202" i="17"/>
  <c r="F202" i="17"/>
  <c r="K188" i="17"/>
  <c r="F188" i="17"/>
  <c r="F148" i="17"/>
  <c r="F90" i="17"/>
  <c r="F133" i="17"/>
  <c r="E252" i="17"/>
  <c r="E253" i="17" s="1"/>
  <c r="E254" i="17" l="1"/>
  <c r="E85" i="17" s="1"/>
  <c r="I38" i="17" s="1"/>
  <c r="E82" i="17"/>
  <c r="I30" i="17" s="1"/>
  <c r="E83" i="17"/>
  <c r="I33" i="17" s="1"/>
  <c r="I25" i="17"/>
  <c r="E77" i="17"/>
  <c r="I16" i="17" s="1"/>
  <c r="E79" i="17"/>
  <c r="I22" i="17" s="1"/>
  <c r="E78" i="17"/>
  <c r="I19" i="17" s="1"/>
  <c r="E230" i="17"/>
  <c r="E177" i="17"/>
  <c r="E162" i="17"/>
  <c r="E104" i="17"/>
  <c r="E259" i="17"/>
  <c r="J216" i="17"/>
  <c r="E216" i="17"/>
  <c r="J202" i="17"/>
  <c r="E202" i="17"/>
  <c r="J188" i="17"/>
  <c r="E188" i="17"/>
  <c r="E148" i="17"/>
  <c r="E90" i="17"/>
  <c r="E133" i="17"/>
  <c r="E245" i="17"/>
  <c r="E119" i="17"/>
  <c r="F183" i="17" l="1"/>
  <c r="E183" i="17"/>
  <c r="G183" i="17"/>
  <c r="G63" i="17" s="1"/>
  <c r="E63" i="17" l="1"/>
  <c r="E170" i="17" s="1"/>
  <c r="E171" i="17" s="1"/>
  <c r="G73" i="14"/>
  <c r="F73" i="14"/>
  <c r="F170" i="17" l="1"/>
  <c r="F171" i="17" s="1"/>
  <c r="G170" i="17"/>
  <c r="G171" i="17" s="1"/>
  <c r="E73" i="14"/>
  <c r="F75" i="14"/>
  <c r="G75" i="14"/>
  <c r="F68" i="14"/>
  <c r="G68" i="14"/>
  <c r="E67" i="14"/>
  <c r="F67" i="14"/>
  <c r="G67" i="14"/>
  <c r="E69" i="14"/>
  <c r="F69" i="14"/>
  <c r="G69" i="14"/>
  <c r="E71" i="14"/>
  <c r="F71" i="14"/>
  <c r="G71" i="14"/>
  <c r="E72" i="14"/>
  <c r="F72" i="14"/>
  <c r="G72" i="14"/>
  <c r="E74" i="14"/>
  <c r="F74" i="14"/>
  <c r="G74" i="14"/>
  <c r="E172" i="17" l="1"/>
  <c r="E81" i="17" s="1"/>
  <c r="I27" i="17" s="1"/>
  <c r="I41" i="17" s="1"/>
  <c r="D9" i="14" l="1"/>
  <c r="E9" i="14"/>
  <c r="H42" i="17"/>
  <c r="F9" i="14" s="1"/>
  <c r="D10" i="19" l="1"/>
  <c r="D11" i="19" s="1"/>
  <c r="D12" i="19" s="1"/>
  <c r="D19" i="19" s="1"/>
  <c r="D20" i="19" s="1"/>
  <c r="B9" i="14"/>
</calcChain>
</file>

<file path=xl/sharedStrings.xml><?xml version="1.0" encoding="utf-8"?>
<sst xmlns="http://schemas.openxmlformats.org/spreadsheetml/2006/main" count="838" uniqueCount="328">
  <si>
    <t>TAK/NIE</t>
  </si>
  <si>
    <t>Jedn./Lata</t>
  </si>
  <si>
    <t>pkt.</t>
  </si>
  <si>
    <t>Przedział wartości wskaźnika</t>
  </si>
  <si>
    <t xml:space="preserve"> - wartość minimalna</t>
  </si>
  <si>
    <t>liczba</t>
  </si>
  <si>
    <t xml:space="preserve"> - wartość maksymalna</t>
  </si>
  <si>
    <t>Przedział punktowy</t>
  </si>
  <si>
    <t>Wartość wskaźnika</t>
  </si>
  <si>
    <t xml:space="preserve"> - pomiędzy 1,0 - 2,0 (liniowo)</t>
  </si>
  <si>
    <t>* W przypadku braku wydatków finansowych wskaźnik WPOD przyjmuje wartość 2,0</t>
  </si>
  <si>
    <t>Ilość punktów</t>
  </si>
  <si>
    <t>Wartość graniczna funkcji wynosi 0.</t>
  </si>
  <si>
    <t>W &lt; 0 – przedsiębiorstwo bardzo słabe, duże zagrożenie upadłością,</t>
  </si>
  <si>
    <t>0 &lt; W &lt; 1 – przedsiębiorstwo słabe, obarczone ryzykiem upadłości,</t>
  </si>
  <si>
    <t>1 &lt; W &lt; 2 – przedsiębiorstwo dobre,</t>
  </si>
  <si>
    <t xml:space="preserve">      W &gt; 2 – przedsiębiorstwo bardzo dobre.</t>
  </si>
  <si>
    <r>
      <t>X</t>
    </r>
    <r>
      <rPr>
        <b/>
        <vertAlign val="subscript"/>
        <sz val="10"/>
        <rFont val="Times New Roman"/>
        <family val="1"/>
        <charset val="238"/>
      </rPr>
      <t>1</t>
    </r>
    <r>
      <rPr>
        <b/>
        <sz val="10"/>
        <rFont val="Times New Roman"/>
        <family val="1"/>
        <charset val="238"/>
      </rPr>
      <t xml:space="preserve"> = </t>
    </r>
    <r>
      <rPr>
        <sz val="10"/>
        <rFont val="Times New Roman"/>
        <family val="1"/>
        <charset val="238"/>
      </rPr>
      <t>(zysk netto+amortyzacja) / zobowiązania ogółem</t>
    </r>
  </si>
  <si>
    <r>
      <t>X</t>
    </r>
    <r>
      <rPr>
        <b/>
        <vertAlign val="subscript"/>
        <sz val="10"/>
        <rFont val="Times New Roman"/>
        <family val="1"/>
        <charset val="238"/>
      </rPr>
      <t>2</t>
    </r>
    <r>
      <rPr>
        <b/>
        <sz val="10"/>
        <rFont val="Times New Roman"/>
        <family val="1"/>
        <charset val="238"/>
      </rPr>
      <t xml:space="preserve"> = </t>
    </r>
    <r>
      <rPr>
        <sz val="10"/>
        <rFont val="Times New Roman"/>
        <family val="1"/>
        <charset val="238"/>
      </rPr>
      <t>aktywa ogółem / zobowiązania ogółem</t>
    </r>
  </si>
  <si>
    <r>
      <t>X</t>
    </r>
    <r>
      <rPr>
        <b/>
        <vertAlign val="subscript"/>
        <sz val="10"/>
        <rFont val="Times New Roman"/>
        <family val="1"/>
        <charset val="238"/>
      </rPr>
      <t xml:space="preserve">3 </t>
    </r>
    <r>
      <rPr>
        <b/>
        <sz val="10"/>
        <rFont val="Times New Roman"/>
        <family val="1"/>
        <charset val="238"/>
      </rPr>
      <t xml:space="preserve">= </t>
    </r>
    <r>
      <rPr>
        <sz val="10"/>
        <rFont val="Times New Roman"/>
        <family val="1"/>
        <charset val="238"/>
      </rPr>
      <t>EBIT / aktywa ogółem</t>
    </r>
  </si>
  <si>
    <r>
      <t>X</t>
    </r>
    <r>
      <rPr>
        <b/>
        <vertAlign val="subscript"/>
        <sz val="10"/>
        <rFont val="Times New Roman"/>
        <family val="1"/>
        <charset val="238"/>
      </rPr>
      <t>4</t>
    </r>
    <r>
      <rPr>
        <b/>
        <sz val="10"/>
        <rFont val="Times New Roman"/>
        <family val="1"/>
        <charset val="238"/>
      </rPr>
      <t xml:space="preserve"> = </t>
    </r>
    <r>
      <rPr>
        <sz val="10"/>
        <rFont val="Times New Roman"/>
        <family val="1"/>
        <charset val="238"/>
      </rPr>
      <t>EBIT / przychody ze sprzedaży ogółem</t>
    </r>
  </si>
  <si>
    <r>
      <t>X</t>
    </r>
    <r>
      <rPr>
        <b/>
        <vertAlign val="subscript"/>
        <sz val="10"/>
        <rFont val="Times New Roman"/>
        <family val="1"/>
        <charset val="238"/>
      </rPr>
      <t>5</t>
    </r>
    <r>
      <rPr>
        <b/>
        <sz val="10"/>
        <rFont val="Times New Roman"/>
        <family val="1"/>
        <charset val="238"/>
      </rPr>
      <t xml:space="preserve"> = </t>
    </r>
    <r>
      <rPr>
        <sz val="10"/>
        <rFont val="Times New Roman"/>
        <family val="1"/>
        <charset val="238"/>
      </rPr>
      <t>zapasy / przychody ze sprzedaży ogółem</t>
    </r>
  </si>
  <si>
    <r>
      <t>X</t>
    </r>
    <r>
      <rPr>
        <b/>
        <vertAlign val="subscript"/>
        <sz val="10"/>
        <rFont val="Times New Roman"/>
        <family val="1"/>
        <charset val="238"/>
      </rPr>
      <t>6</t>
    </r>
    <r>
      <rPr>
        <b/>
        <sz val="10"/>
        <rFont val="Times New Roman"/>
        <family val="1"/>
        <charset val="238"/>
      </rPr>
      <t xml:space="preserve"> = </t>
    </r>
    <r>
      <rPr>
        <sz val="10"/>
        <rFont val="Times New Roman"/>
        <family val="1"/>
        <charset val="238"/>
      </rPr>
      <t>przychody ze sprzedaży ogółem / aktywa ogółem</t>
    </r>
  </si>
  <si>
    <t>Kryterium</t>
  </si>
  <si>
    <t>Klasyfikacja punktowa</t>
  </si>
  <si>
    <t>Punktacja</t>
  </si>
  <si>
    <t>Punkty</t>
  </si>
  <si>
    <t xml:space="preserve"> - pomiędzy 0,8 - 1,1 (liniowo)</t>
  </si>
  <si>
    <t>0-10</t>
  </si>
  <si>
    <t xml:space="preserve"> - poniżej 1,0</t>
  </si>
  <si>
    <t>Suma punktów:</t>
  </si>
  <si>
    <t>Kategoria bieżącej sytuacji finansowej</t>
  </si>
  <si>
    <t>Przepływy pieniężne netto z działalności operacyjnej</t>
  </si>
  <si>
    <t>Wpływy z działalności finansowej</t>
  </si>
  <si>
    <t>Wydatki z działalności finansowej</t>
  </si>
  <si>
    <t>dni</t>
  </si>
  <si>
    <t>12.</t>
  </si>
  <si>
    <t>Średnia z ilości punktów</t>
  </si>
  <si>
    <t>Wartość funkcji dyskryminacyjnej W - model prof. E. Mączyńskiej</t>
  </si>
  <si>
    <t>Przepływy pieniężne netto z dzialałności inwestycyjnej (-)</t>
  </si>
  <si>
    <t>Wartość wskaźnika WPOD</t>
  </si>
  <si>
    <t>Wynik</t>
  </si>
  <si>
    <t xml:space="preserve"> - w ostatnim  roku powyżej roku poprzedniego</t>
  </si>
  <si>
    <t xml:space="preserve"> - brak danych za 3 lata (działalność prowadzona jest krócej)</t>
  </si>
  <si>
    <t xml:space="preserve"> - pozostałe przypadki</t>
  </si>
  <si>
    <t xml:space="preserve"> - pomiędzy 0,0% - 5,0% (liniowo)</t>
  </si>
  <si>
    <t xml:space="preserve"> - poniżej 0,0%</t>
  </si>
  <si>
    <t xml:space="preserve"> - we wszystkich okresach dodatnia i w ostatnim roku wzrosła</t>
  </si>
  <si>
    <t xml:space="preserve"> - we wszystkich okresach dodatnia i w ostatnim roku zmalała</t>
  </si>
  <si>
    <t xml:space="preserve"> - we wszystkich lub ostatnich 2 okresach ujemna</t>
  </si>
  <si>
    <t xml:space="preserve"> - pomiędzy 0,0% - 30,0% (liniowo)</t>
  </si>
  <si>
    <t xml:space="preserve"> - pomiędzy 10,0% - 50,0% (liniowo)</t>
  </si>
  <si>
    <t>0-5</t>
  </si>
  <si>
    <t xml:space="preserve"> - "TAK"</t>
  </si>
  <si>
    <t xml:space="preserve"> - "NIE"</t>
  </si>
  <si>
    <t xml:space="preserve"> - pomiędzy 0,0 - 2,0 (liniowo)</t>
  </si>
  <si>
    <t>Bieżąca sytuacja finansowa - Informacja pomocnicza - Interpretacja wyników</t>
  </si>
  <si>
    <t xml:space="preserve"> - poniżej 0,0</t>
  </si>
  <si>
    <t>Przepływy pieniężne netto razem (A.+/-B.+/-C.)</t>
  </si>
  <si>
    <t>Zysk/strata z działalności operacyjnej EBIT</t>
  </si>
  <si>
    <t>Zysk/strata netto</t>
  </si>
  <si>
    <t>Koszty finansowe</t>
  </si>
  <si>
    <t>Koszty działalności operacyjnej, w tym:</t>
  </si>
  <si>
    <t>Aktywa obrotowe = Zapasy + Należności krótkoterm + Inwestycje krótkoterm + Krótkoterm rozl. Miedzyokres.</t>
  </si>
  <si>
    <t>Suma aktywów = Aktywa trwałe + Aktywa obrotowe</t>
  </si>
  <si>
    <t>CF finansowy = Wpływy finansowe - Wydatki finansowe</t>
  </si>
  <si>
    <t>Suma pasywów = Suma aktywów</t>
  </si>
  <si>
    <t>Środki pieniężne na koniec okrsu n-1 = Środki pieniężne na początek okresu n</t>
  </si>
  <si>
    <t>Suma pasywów = Kapitał własny + Zobowiązania i rezerwy</t>
  </si>
  <si>
    <t>CF ogólny = CF operacyjny + CF inwestycyjny + CF finansowy</t>
  </si>
  <si>
    <t>CF na koniec okresu = CF ogólny + Środki na początek okresu</t>
  </si>
  <si>
    <t>CF na koniec okresu = Aktywa. Inwestycje krótkoterminowe</t>
  </si>
  <si>
    <t>Zobowiązania i rezerwy na zobow = Rezerwy + Zobow. Długoterm. + Zobow. Krótkoterm. + Rozliczenia międzyokres.</t>
  </si>
  <si>
    <t>liczba*</t>
  </si>
  <si>
    <t xml:space="preserve"> - pomiędzy 0,0 - 0,67 (liniowo)</t>
  </si>
  <si>
    <t xml:space="preserve"> - 0,8 i poniżej</t>
  </si>
  <si>
    <t xml:space="preserve"> - 10,0% i poniżej</t>
  </si>
  <si>
    <t xml:space="preserve"> - poniżej 15/30 dni (zapasy/należności, zobowiązania)</t>
  </si>
  <si>
    <t xml:space="preserve"> - powyżej 60/90 dni (zapasy/należności, zobowiązania)</t>
  </si>
  <si>
    <t>Wskaźnik rotacji zapasów</t>
  </si>
  <si>
    <t>Wskaźnik rotacji należności</t>
  </si>
  <si>
    <t>Wskaźnik rotacji zobowiązań krótkoterminowych</t>
  </si>
  <si>
    <t>Środki pieniężne netto z działalności operacyjnej (+/-)</t>
  </si>
  <si>
    <t>Przepływy pieniężne netto z działalności inwestycyjnej (+/-)</t>
  </si>
  <si>
    <t>Przepływy pieniężne netto z działalności finansowej (+/-)</t>
  </si>
  <si>
    <t>Wpływy finansowe (+)</t>
  </si>
  <si>
    <t>Wydatki finansowe  (+) (2.1+2.2+2.3)</t>
  </si>
  <si>
    <t>Spłaty rat kredytów/pożyczek (+)</t>
  </si>
  <si>
    <t>Spłata odsetek od kredytów/pożyczek (+)</t>
  </si>
  <si>
    <t>Inne wydatki finansowe (np. dywidendy) (+)</t>
  </si>
  <si>
    <t xml:space="preserve"> - pomiędzy 15-30 / 30- 90 dni (zapasy/należności, zobowiązania) (liniowo)</t>
  </si>
  <si>
    <t>9.1</t>
  </si>
  <si>
    <t>9.2</t>
  </si>
  <si>
    <t>9.3</t>
  </si>
  <si>
    <t>Jednostka</t>
  </si>
  <si>
    <t>Metoda</t>
  </si>
  <si>
    <t>Kryterium nr 3</t>
  </si>
  <si>
    <t>Kryterium nr 1</t>
  </si>
  <si>
    <t>Kryterium nr 2</t>
  </si>
  <si>
    <t>Kryterium nr 4</t>
  </si>
  <si>
    <t>Kryterium nr 5</t>
  </si>
  <si>
    <t>Kryterium nr 6</t>
  </si>
  <si>
    <t>Kryterium nr 7</t>
  </si>
  <si>
    <t>Kryterium nr 8</t>
  </si>
  <si>
    <t>Kryterium nr 9</t>
  </si>
  <si>
    <t>Kryterium nr 10</t>
  </si>
  <si>
    <t>Kryterium nr 11</t>
  </si>
  <si>
    <t>Kryterium nr 12</t>
  </si>
  <si>
    <t>Kryterium nr 9.1</t>
  </si>
  <si>
    <t>Kryterium nr 9.2</t>
  </si>
  <si>
    <t>Kryterium nr 9.3</t>
  </si>
  <si>
    <t>Nr Kryterium</t>
  </si>
  <si>
    <t>Analiza ilościowa - wskaźniki finansowe</t>
  </si>
  <si>
    <t>Przychody</t>
  </si>
  <si>
    <t>Należności</t>
  </si>
  <si>
    <t>Wskaźnik (krotność)</t>
  </si>
  <si>
    <t>Zobowiązania</t>
  </si>
  <si>
    <t>Zapasy</t>
  </si>
  <si>
    <t>Obliczenia łańcuchowe</t>
  </si>
  <si>
    <t>Średnia z wprowadzonych okresów</t>
  </si>
  <si>
    <t>Wartość z ostatniego roku</t>
  </si>
  <si>
    <t>Średnia ze średniej z trzech wskaźników rotacji</t>
  </si>
  <si>
    <t>2.1</t>
  </si>
  <si>
    <t>2.2</t>
  </si>
  <si>
    <t>Kategoria</t>
  </si>
  <si>
    <t>2.3</t>
  </si>
  <si>
    <t>Kategoria bieżącej sytuacji finansowej:</t>
  </si>
  <si>
    <t>Punktacja bieżącej sytuacji finansowej:</t>
  </si>
  <si>
    <t>Aktywa obrotowe</t>
  </si>
  <si>
    <t>Należności krótkoterminowe</t>
  </si>
  <si>
    <t>Inwestycje krótkoterminowe, w tym:</t>
  </si>
  <si>
    <t xml:space="preserve"> - środki pieniężne</t>
  </si>
  <si>
    <t>Krótkoterminowe rozl. międzyokresowe</t>
  </si>
  <si>
    <t>Rezerwy na zobowiazania</t>
  </si>
  <si>
    <t>Zobowiazania długoterminowe</t>
  </si>
  <si>
    <t>Zobowiązania krótkoterminowe</t>
  </si>
  <si>
    <t>Rozliczenia międzyokresowe</t>
  </si>
  <si>
    <t>Zobowiązania i rezerwy na zobowiązania</t>
  </si>
  <si>
    <t xml:space="preserve"> - amortyzacja</t>
  </si>
  <si>
    <t>Rachunek przepływów środków pieniężnych</t>
  </si>
  <si>
    <t>Weryfikacja danych finansowych</t>
  </si>
  <si>
    <t>Kapitał (fundusz) własny, w tym:</t>
  </si>
  <si>
    <t>Rating</t>
  </si>
  <si>
    <t>Lp.</t>
  </si>
  <si>
    <t>76-100 pkt.</t>
  </si>
  <si>
    <t>60-75 pkt.</t>
  </si>
  <si>
    <t>50-59 pkt.</t>
  </si>
  <si>
    <t>33-49 pkt.</t>
  </si>
  <si>
    <t>0-32 pkt.</t>
  </si>
  <si>
    <t>1.</t>
  </si>
  <si>
    <t>2.</t>
  </si>
  <si>
    <t>3.</t>
  </si>
  <si>
    <t>4.</t>
  </si>
  <si>
    <t>5.</t>
  </si>
  <si>
    <t xml:space="preserve"> - pomiędzy 0,75 - 1,1 (liniowo)</t>
  </si>
  <si>
    <t xml:space="preserve"> - poniżej 0,75</t>
  </si>
  <si>
    <t>6.</t>
  </si>
  <si>
    <t>Wyszczególnienie</t>
  </si>
  <si>
    <t>Bieżąca sytuacja finansowa - Wysoka</t>
  </si>
  <si>
    <t>Bieżąca sytuacja finansowa - Dobra</t>
  </si>
  <si>
    <t>Bieżąca sytuacja finansowa - Zadowalająca</t>
  </si>
  <si>
    <t>Bieżąca sytuacja finansowa - Niska</t>
  </si>
  <si>
    <t>Bieżąca sytuacja finansowa - Zła / trudności finansowe</t>
  </si>
  <si>
    <t>Rachunek zysków i strat</t>
  </si>
  <si>
    <t>A.</t>
  </si>
  <si>
    <t>Przychody netto ze sprzedaży i zrównane z nimi</t>
  </si>
  <si>
    <t>B.</t>
  </si>
  <si>
    <t>7.</t>
  </si>
  <si>
    <t>8.</t>
  </si>
  <si>
    <t>C.</t>
  </si>
  <si>
    <t>Zysk/strata ze sprzedaży (A-B)</t>
  </si>
  <si>
    <t>D.</t>
  </si>
  <si>
    <t xml:space="preserve"> </t>
  </si>
  <si>
    <t>F.</t>
  </si>
  <si>
    <t>G.</t>
  </si>
  <si>
    <t>H.</t>
  </si>
  <si>
    <t>L.</t>
  </si>
  <si>
    <t>Podatek dochodowy</t>
  </si>
  <si>
    <t>N.</t>
  </si>
  <si>
    <t>Bilans - Aktywa</t>
  </si>
  <si>
    <t>Aktywa trwałe</t>
  </si>
  <si>
    <t>Bilans - Pasywa</t>
  </si>
  <si>
    <t>9.</t>
  </si>
  <si>
    <t>Suma Pasywów (A+B)</t>
  </si>
  <si>
    <t>Środki pieniężne na początek okresu</t>
  </si>
  <si>
    <t>Środki pieniężne na koniec okresu (F+/-D)</t>
  </si>
  <si>
    <t>Wskaźniki finansowe</t>
  </si>
  <si>
    <t>%</t>
  </si>
  <si>
    <t>10.</t>
  </si>
  <si>
    <t>11.</t>
  </si>
  <si>
    <t>Premia za ryzyko</t>
  </si>
  <si>
    <t>Dane uzupełniające do oceny punktowej wskaźnika rentowności kapitału</t>
  </si>
  <si>
    <t>Dynamika sprzedaży. Formuła: zmiana przychodów ze sprzedaży rok do roku</t>
  </si>
  <si>
    <t>Rentowność sprzedaży - wskaźnik rentowności sprzedaży. Formuła: wynik na sprzedaży / sprzedaż ogółem</t>
  </si>
  <si>
    <t>Rentowność kapitału - wskaźnik ROE. Formuła: wynik netto / kapitały własne</t>
  </si>
  <si>
    <t>Płynność finansowa - wskaźnik płynności finansowej II stopnia: Formuła: (aktywa bieżące - zapasy) / zobowiązania bieżące</t>
  </si>
  <si>
    <t>Pokrycie zadłużenia - wskaźnik pokrycia obsługi długu z gotówki operacyjnej. Formuła: CF operacyjny / zadłużenie (zobowiązania ogółem)</t>
  </si>
  <si>
    <t>Wypłacalność - wskaźnik pokrycia aktywów kapitałami własnymi. Formuła: kapitał własny / aktywa ogółem</t>
  </si>
  <si>
    <t>Poziom zadłużenia - wskaźnik ogólnego zadłużenia. Formuła: (zobowiązania + rezerwy na zobowiązania) / aktywa ogółem</t>
  </si>
  <si>
    <t>Pokrycie zadłużenia - wskaźnik pokrycia obsługi długu z przepływów pieniężnych WPOD. Formuła: (CF operacyjny + CF inwestycyjny + CF finansowy (wpływy) + saldo środków na początek okresu) / CF finansowy (wydatki)</t>
  </si>
  <si>
    <t>Sprawność działalnia - wskaźniki rotacji (zapasów, należności i zobowiązań). Formuła: (stan zapasów, należności, zobowiązań x liczba dni) / przychody netto ze sprzedaży</t>
  </si>
  <si>
    <t>Pokrycie aktywów stałych: kapitał własny / aktywa trwałe</t>
  </si>
  <si>
    <t>Efekt dźwigni finansowej: ROE &gt; (wynik netto + koszty odsetek + podatek dochodowy) / aktywa ogółem</t>
  </si>
  <si>
    <t>Analiza dyskryminacyjna - model prof. E. Mączyńskiej</t>
  </si>
  <si>
    <t>Wynik oceny</t>
  </si>
  <si>
    <t>CCC</t>
  </si>
  <si>
    <t>BBB</t>
  </si>
  <si>
    <t>BB</t>
  </si>
  <si>
    <t>B</t>
  </si>
  <si>
    <t>AAA-A</t>
  </si>
  <si>
    <t>Jedn. / Lata</t>
  </si>
  <si>
    <t>Marża w punktach bazowych*)</t>
  </si>
  <si>
    <t xml:space="preserve"> - 5,0% i powyżej </t>
  </si>
  <si>
    <t xml:space="preserve"> - 1,1 i powyżej </t>
  </si>
  <si>
    <t xml:space="preserve"> - 30,0% i powyżej </t>
  </si>
  <si>
    <t xml:space="preserve"> - 50,0% i powyżej </t>
  </si>
  <si>
    <t xml:space="preserve"> - 0,67 i powyżej </t>
  </si>
  <si>
    <t xml:space="preserve"> - 2,0 i powyżej </t>
  </si>
  <si>
    <t xml:space="preserve"> - rośnie z roku na rok</t>
  </si>
  <si>
    <t>Dane na dzień</t>
  </si>
  <si>
    <t xml:space="preserve"> - w przypadku, gdy zarówno kapitał własny jak i wynik netto są ujemne</t>
  </si>
  <si>
    <t>WIBOR 1R</t>
  </si>
  <si>
    <t>zł</t>
  </si>
  <si>
    <r>
      <t xml:space="preserve">Przychody ze sprzedaży
</t>
    </r>
    <r>
      <rPr>
        <i/>
        <sz val="10"/>
        <rFont val="Times New Roman"/>
        <family val="1"/>
        <charset val="238"/>
      </rPr>
      <t>Formuła: zmiana przychodów ze sprzedaży</t>
    </r>
  </si>
  <si>
    <r>
      <t xml:space="preserve">Rentowność sprzedaży - wskaźnik rentowności sprzedaży
</t>
    </r>
    <r>
      <rPr>
        <i/>
        <sz val="10"/>
        <rFont val="Times New Roman"/>
        <family val="1"/>
        <charset val="238"/>
      </rPr>
      <t>Formuła: wynik na sprzedaży / sprzedaż ogółem</t>
    </r>
  </si>
  <si>
    <r>
      <t xml:space="preserve">Rentowność kapitału - wskaźnik ROE
</t>
    </r>
    <r>
      <rPr>
        <i/>
        <sz val="10"/>
        <rFont val="Times New Roman"/>
        <family val="1"/>
        <charset val="238"/>
      </rPr>
      <t>Formuła: wynik netto / kapitały własne</t>
    </r>
  </si>
  <si>
    <r>
      <t xml:space="preserve">Płynność finansowa - wskaźnik płynności finansowej II stopnia
</t>
    </r>
    <r>
      <rPr>
        <i/>
        <sz val="10"/>
        <rFont val="Times New Roman"/>
        <family val="1"/>
        <charset val="238"/>
      </rPr>
      <t>Formuła: (aktywa bieżące - zapasy) / zobowiązania bieżące</t>
    </r>
  </si>
  <si>
    <r>
      <t xml:space="preserve">Pokrycie zadłużenia - wskaźnik pokrycia obsługi długu z gotówki operacyjnej
</t>
    </r>
    <r>
      <rPr>
        <i/>
        <sz val="10"/>
        <rFont val="Times New Roman"/>
        <family val="1"/>
        <charset val="238"/>
      </rPr>
      <t>Formuła: CF operacyjny / zadłużenie (zobowiązania ogółem)</t>
    </r>
  </si>
  <si>
    <r>
      <t xml:space="preserve">Wypłacalność - wskaźnik pokrycia aktywów kapitałami własnymi
</t>
    </r>
    <r>
      <rPr>
        <i/>
        <sz val="10"/>
        <rFont val="Times New Roman"/>
        <family val="1"/>
        <charset val="238"/>
      </rPr>
      <t>Formuła: kapitał własny / aktywa ogółem</t>
    </r>
  </si>
  <si>
    <r>
      <t xml:space="preserve">Poziom zadłużenia - wskaźnik ogólnego zadłużenia
</t>
    </r>
    <r>
      <rPr>
        <i/>
        <sz val="10"/>
        <rFont val="Times New Roman"/>
        <family val="1"/>
        <charset val="238"/>
      </rPr>
      <t>Formuła: (zobowiązania + rezerwy na zobowiązania) / aktywa ogółem</t>
    </r>
  </si>
  <si>
    <r>
      <t xml:space="preserve">Pokrycie zadłużenia - wskaźnik pokrycia obsługi długu z przepływów pieniężnych WPOD
</t>
    </r>
    <r>
      <rPr>
        <i/>
        <sz val="10"/>
        <rFont val="Times New Roman"/>
        <family val="1"/>
        <charset val="238"/>
      </rPr>
      <t>Formuła: (CF operacyjny + CF inwestycyjny + CF finansowy (wpływy) + saldo środków na początek okresu) / CF finansowy (wydatki)</t>
    </r>
  </si>
  <si>
    <r>
      <t xml:space="preserve">Sprawność działalnia - wskaźniki rotacji (zapasów, należności i zobowiązań)
</t>
    </r>
    <r>
      <rPr>
        <i/>
        <sz val="10"/>
        <rFont val="Times New Roman"/>
        <family val="1"/>
        <charset val="238"/>
      </rPr>
      <t>Formuła: (stan zapasów, należności, zobowiązań x liczba dni) / przychody netto ze sprzedaży</t>
    </r>
  </si>
  <si>
    <r>
      <t xml:space="preserve">Pokrycie aktywów stałych
</t>
    </r>
    <r>
      <rPr>
        <i/>
        <sz val="10"/>
        <rFont val="Times New Roman"/>
        <family val="1"/>
        <charset val="238"/>
      </rPr>
      <t>Formuła: kapitał własny / aktywa trwałe</t>
    </r>
  </si>
  <si>
    <r>
      <t xml:space="preserve">Efekt dźwigni finansowej
</t>
    </r>
    <r>
      <rPr>
        <i/>
        <sz val="10"/>
        <rFont val="Times New Roman"/>
        <family val="1"/>
        <charset val="238"/>
      </rPr>
      <t>Formuła: ROE &gt; (wynik netto + koszty odsetek + podatek dochodowy) / aktywa ogółem</t>
    </r>
  </si>
  <si>
    <r>
      <t xml:space="preserve">Analiza dyskryminacyjna - model prof. E. Mączyńskiej
</t>
    </r>
    <r>
      <rPr>
        <i/>
        <sz val="10"/>
        <rFont val="Times New Roman"/>
        <family val="1"/>
        <charset val="238"/>
      </rPr>
      <t>Formuła: W= 1,5 x ((zysk netto+amortyzacja) / zobowiązania ogółem) + 0,08 x (aktywa ogółem / zobowiązania ogółem) + 10 x (EBIT / aktywa ogółem) + 5 x (EBIT / przychody ze sprzedaży ogółem) + 0,3 x (zapasy / przychody ze sprzedaży ogółem) + 0,1 x (przychody ze sprzedaży ogółem / aktywa ogółem)</t>
    </r>
  </si>
  <si>
    <t>Razem - Wartość maksymalna ROE</t>
  </si>
  <si>
    <t>Wartość</t>
  </si>
  <si>
    <t>Jedn.</t>
  </si>
  <si>
    <t>Rok 2021</t>
  </si>
  <si>
    <t>Należne wpłaty na kapitał (fundusz) podstawowy</t>
  </si>
  <si>
    <t>Udziały (akcje) własne</t>
  </si>
  <si>
    <t>Suma aktywów (A+B+C+D)</t>
  </si>
  <si>
    <t>1-10</t>
  </si>
  <si>
    <t>1-5</t>
  </si>
  <si>
    <t>Rok 2022</t>
  </si>
  <si>
    <t xml:space="preserve"> - wartość minimalna (robocza)</t>
  </si>
  <si>
    <t>Wyliczenie średniego ważonego kosztu kapitału (WACC)</t>
  </si>
  <si>
    <t xml:space="preserve">Kapitał własny </t>
  </si>
  <si>
    <t>KW</t>
  </si>
  <si>
    <t>Kapitał obcy</t>
  </si>
  <si>
    <t>KO</t>
  </si>
  <si>
    <t>Stopa wolna od ryzyka</t>
  </si>
  <si>
    <r>
      <t>r</t>
    </r>
    <r>
      <rPr>
        <vertAlign val="subscript"/>
        <sz val="10"/>
        <rFont val="Arial"/>
        <family val="2"/>
        <charset val="238"/>
      </rPr>
      <t xml:space="preserve">f </t>
    </r>
  </si>
  <si>
    <t>Premia za ryzyko udostępnienia kapitału obcego</t>
  </si>
  <si>
    <t>M</t>
  </si>
  <si>
    <t>Oznaczenie</t>
  </si>
  <si>
    <t>Koszt kapitału obcego</t>
  </si>
  <si>
    <r>
      <t>r</t>
    </r>
    <r>
      <rPr>
        <vertAlign val="subscript"/>
        <sz val="10"/>
        <rFont val="Arial"/>
        <family val="2"/>
        <charset val="238"/>
      </rPr>
      <t xml:space="preserve">d </t>
    </r>
  </si>
  <si>
    <t>Rating przedsiębiorstwa (sytuacja finansowa)</t>
  </si>
  <si>
    <t>Miara zaangażowania kapitału (equity beta)</t>
  </si>
  <si>
    <r>
      <t>β</t>
    </r>
    <r>
      <rPr>
        <vertAlign val="subscript"/>
        <sz val="10"/>
        <rFont val="Arial"/>
        <family val="2"/>
        <charset val="238"/>
      </rPr>
      <t xml:space="preserve">e </t>
    </r>
  </si>
  <si>
    <t>Współczynnik asset beta</t>
  </si>
  <si>
    <r>
      <t>β</t>
    </r>
    <r>
      <rPr>
        <vertAlign val="subscript"/>
        <sz val="10"/>
        <rFont val="Arial"/>
        <family val="2"/>
        <charset val="238"/>
      </rPr>
      <t xml:space="preserve">a </t>
    </r>
  </si>
  <si>
    <t>Stopa podatku dochodowego</t>
  </si>
  <si>
    <t>t</t>
  </si>
  <si>
    <t>i</t>
  </si>
  <si>
    <t>Wysoka</t>
  </si>
  <si>
    <t>Dobra</t>
  </si>
  <si>
    <t>Niska</t>
  </si>
  <si>
    <t>Zła/trudności finansowe</t>
  </si>
  <si>
    <t>Koszt kapitału własnego</t>
  </si>
  <si>
    <r>
      <t>r</t>
    </r>
    <r>
      <rPr>
        <vertAlign val="subscript"/>
        <sz val="10"/>
        <rFont val="Arial"/>
        <family val="2"/>
        <charset val="238"/>
      </rPr>
      <t>e</t>
    </r>
  </si>
  <si>
    <t>Premia za ryzyko udostępnienia kapitału własnego</t>
  </si>
  <si>
    <t>RP</t>
  </si>
  <si>
    <r>
      <t>WACC</t>
    </r>
    <r>
      <rPr>
        <b/>
        <vertAlign val="subscript"/>
        <sz val="10"/>
        <rFont val="Arial"/>
        <family val="2"/>
        <charset val="238"/>
      </rPr>
      <t>pre-tax nom</t>
    </r>
  </si>
  <si>
    <r>
      <t>WACC</t>
    </r>
    <r>
      <rPr>
        <b/>
        <vertAlign val="subscript"/>
        <sz val="10"/>
        <rFont val="Arial"/>
        <family val="2"/>
        <charset val="238"/>
      </rPr>
      <t>pre-tax real</t>
    </r>
  </si>
  <si>
    <t>Zadawalająca</t>
  </si>
  <si>
    <t>Rok 2023</t>
  </si>
  <si>
    <t>Sposób wyliczania WACC jest opisany szczegółowo w "Metodyce wyliczenia maksymalnej wysokości dofinansowania" wskazanej w Regulaminie wyboru/ogłoszeniu o naborze wniosków</t>
  </si>
  <si>
    <r>
      <t>Stopa nominalna WACC</t>
    </r>
    <r>
      <rPr>
        <vertAlign val="subscript"/>
        <sz val="10"/>
        <rFont val="Times New Roman"/>
        <family val="1"/>
        <charset val="238"/>
      </rPr>
      <t>pre-tax nom</t>
    </r>
    <r>
      <rPr>
        <sz val="10"/>
        <rFont val="Times New Roman"/>
        <family val="1"/>
        <charset val="238"/>
      </rPr>
      <t xml:space="preserve"> obliczana jest wg wzoru:</t>
    </r>
  </si>
  <si>
    <r>
      <t>gdzie:
WACC</t>
    </r>
    <r>
      <rPr>
        <vertAlign val="subscript"/>
        <sz val="10"/>
        <rFont val="Times New Roman"/>
        <family val="1"/>
        <charset val="238"/>
      </rPr>
      <t>pre-tax nom</t>
    </r>
    <r>
      <rPr>
        <sz val="10"/>
        <rFont val="Times New Roman"/>
        <family val="1"/>
        <charset val="238"/>
      </rPr>
      <t xml:space="preserve">  –  średni ważony koszt kapitału przed opodatkowaniem, nominalnie 
r</t>
    </r>
    <r>
      <rPr>
        <vertAlign val="subscript"/>
        <sz val="10"/>
        <rFont val="Times New Roman"/>
        <family val="1"/>
        <charset val="238"/>
      </rPr>
      <t>d</t>
    </r>
    <r>
      <rPr>
        <sz val="10"/>
        <rFont val="Times New Roman"/>
        <family val="1"/>
        <charset val="238"/>
      </rPr>
      <t xml:space="preserve">  –  koszt kapitału obcego, 
r</t>
    </r>
    <r>
      <rPr>
        <vertAlign val="subscript"/>
        <sz val="10"/>
        <rFont val="Times New Roman"/>
        <family val="1"/>
        <charset val="238"/>
      </rPr>
      <t>e</t>
    </r>
    <r>
      <rPr>
        <sz val="10"/>
        <rFont val="Times New Roman"/>
        <family val="1"/>
        <charset val="238"/>
      </rPr>
      <t xml:space="preserve">  –  koszt kapitału własnego, 
KO  –  kapitał obcy, 
KW  –  kapitał własny, 
t  –  stopa podatku dochodowego.</t>
    </r>
  </si>
  <si>
    <r>
      <t>gdzie:
r</t>
    </r>
    <r>
      <rPr>
        <vertAlign val="subscript"/>
        <sz val="10"/>
        <rFont val="Times New Roman"/>
        <family val="1"/>
        <charset val="238"/>
      </rPr>
      <t>f</t>
    </r>
    <r>
      <rPr>
        <sz val="10"/>
        <rFont val="Times New Roman"/>
        <family val="1"/>
        <charset val="238"/>
      </rPr>
      <t xml:space="preserve">   –  stopa wolna od ryzyka, 
β</t>
    </r>
    <r>
      <rPr>
        <vertAlign val="subscript"/>
        <sz val="10"/>
        <rFont val="Times New Roman"/>
        <family val="1"/>
        <charset val="238"/>
      </rPr>
      <t>e</t>
    </r>
    <r>
      <rPr>
        <sz val="10"/>
        <rFont val="Times New Roman"/>
        <family val="1"/>
        <charset val="238"/>
      </rPr>
      <t xml:space="preserve">  –  miara ryzyka zaangażowania kapitału (equity beta),
RP –  premia za ryzyko udostępnienia kapitału własnego; równa 5%. 
</t>
    </r>
  </si>
  <si>
    <r>
      <t>gdzie: 
β</t>
    </r>
    <r>
      <rPr>
        <vertAlign val="subscript"/>
        <sz val="10"/>
        <rFont val="Times New Roman"/>
        <family val="1"/>
        <charset val="238"/>
      </rPr>
      <t>e</t>
    </r>
    <r>
      <rPr>
        <sz val="10"/>
        <rFont val="Times New Roman"/>
        <family val="1"/>
        <charset val="238"/>
      </rPr>
      <t xml:space="preserve">  –  miara ryzyka zaangażowania kapitału (equity beta), 
β</t>
    </r>
    <r>
      <rPr>
        <vertAlign val="subscript"/>
        <sz val="10"/>
        <rFont val="Times New Roman"/>
        <family val="1"/>
        <charset val="238"/>
      </rPr>
      <t>a</t>
    </r>
    <r>
      <rPr>
        <sz val="10"/>
        <rFont val="Times New Roman"/>
        <family val="1"/>
        <charset val="238"/>
      </rPr>
      <t xml:space="preserve">  –  współczynnik asset beta, równy 0,4
KO  –  kapitał obcy, 
KW  –  kapitał własny, 
t  –  stopa podatku dochodowego [w %].
</t>
    </r>
  </si>
  <si>
    <r>
      <t>Stopa realna WACC</t>
    </r>
    <r>
      <rPr>
        <vertAlign val="subscript"/>
        <sz val="10"/>
        <rFont val="Times New Roman"/>
        <family val="1"/>
        <charset val="238"/>
      </rPr>
      <t>pre-tax real</t>
    </r>
    <r>
      <rPr>
        <sz val="10"/>
        <rFont val="Times New Roman"/>
        <family val="1"/>
        <charset val="238"/>
      </rPr>
      <t xml:space="preserve"> obliczana jest wg wzoru:</t>
    </r>
  </si>
  <si>
    <t>Spółka XYZ Sp. z o.o.</t>
  </si>
  <si>
    <t>Rok obrotowy (n)</t>
  </si>
  <si>
    <t>Rok obrotowy (n-1)</t>
  </si>
  <si>
    <t>Rok obrotowy (n-2)</t>
  </si>
  <si>
    <t>nie dotyczy</t>
  </si>
  <si>
    <t>Rok obrotowy (n)*:</t>
  </si>
  <si>
    <t>Data rozpoczęcia (miesiąc, rok)</t>
  </si>
  <si>
    <t>Data zakończenia (miesiąc, rok)</t>
  </si>
  <si>
    <t>styczeń</t>
  </si>
  <si>
    <t>luty</t>
  </si>
  <si>
    <t>marzec</t>
  </si>
  <si>
    <t>kwiecień</t>
  </si>
  <si>
    <t>czerwiec</t>
  </si>
  <si>
    <t>lipiec</t>
  </si>
  <si>
    <t>sierpień</t>
  </si>
  <si>
    <t>wrzesień</t>
  </si>
  <si>
    <t>październik</t>
  </si>
  <si>
    <t>listopad</t>
  </si>
  <si>
    <t>grudzień</t>
  </si>
  <si>
    <t>maj</t>
  </si>
  <si>
    <t>rok 0 tj. 2025</t>
  </si>
  <si>
    <t>inflacja średnia z 15 lat (2025-2039)</t>
  </si>
  <si>
    <t>Nazwa Beneficjenta:</t>
  </si>
  <si>
    <t>Adres Beneficjenta:</t>
  </si>
  <si>
    <t>https://www.gov.pl/web/finanse/wytyczne-sytuacja-makroekonomiczna</t>
  </si>
  <si>
    <t>Rok</t>
  </si>
  <si>
    <t xml:space="preserve">Inflacja </t>
  </si>
  <si>
    <r>
      <t>Prognoza inflacji (wzrost cen towarów i usług konsumpcyjnych) - zgodnie z „</t>
    </r>
    <r>
      <rPr>
        <i/>
        <sz val="10"/>
        <rFont val="Times New Roman"/>
        <family val="1"/>
        <charset val="238"/>
      </rPr>
      <t>Wytycznymi dotyczącymi stosowania jednolitych wskaźników makroekonomicznych będących podstawą oszacowania skutków finansowych projektowanych ustaw</t>
    </r>
    <r>
      <rPr>
        <sz val="10"/>
        <rFont val="Times New Roman"/>
        <family val="1"/>
        <charset val="238"/>
      </rPr>
      <t xml:space="preserve">” publikowanymi na stronie: </t>
    </r>
  </si>
  <si>
    <t>Oczekiwana stopa inflacji 
(dla okresu prognozy)</t>
  </si>
  <si>
    <t>Okres prognozy:</t>
  </si>
  <si>
    <t xml:space="preserve">    - rok początkowy</t>
  </si>
  <si>
    <t xml:space="preserve">    - rok końcowy</t>
  </si>
  <si>
    <t>Oczekiwana stopa inflacji</t>
  </si>
  <si>
    <r>
      <t>gdzie: 
WACC</t>
    </r>
    <r>
      <rPr>
        <vertAlign val="subscript"/>
        <sz val="10"/>
        <rFont val="Times New Roman"/>
        <family val="1"/>
        <charset val="238"/>
      </rPr>
      <t>pre-tax nom</t>
    </r>
    <r>
      <rPr>
        <sz val="10"/>
        <rFont val="Times New Roman"/>
        <family val="1"/>
        <charset val="238"/>
      </rPr>
      <t xml:space="preserve">  –  średni ważony koszt kapitału przed opodatkowaniem, realnie
i  –  oczekiwana stopa inflacji (wyliczana w arkuszu "inflacja"). </t>
    </r>
  </si>
  <si>
    <t>00-001 Warszawa, ul. Warszawska 1/123</t>
  </si>
  <si>
    <t>Stopa nominalna WACC  (do prognoz w cenach bieżących)</t>
  </si>
  <si>
    <t>Stopa realna WACC  (do prognoz w cenach stałych)</t>
  </si>
  <si>
    <t>Rok 2024</t>
  </si>
  <si>
    <t xml:space="preserve">Źródło: https://www.bankier.pl/mieszkaniowe/stopy-procentowe/wibor </t>
  </si>
  <si>
    <t>WIBOR 1R (wartość średnia)</t>
  </si>
  <si>
    <r>
      <rPr>
        <b/>
        <sz val="10"/>
        <rFont val="Arial"/>
        <family val="2"/>
        <charset val="238"/>
      </rPr>
      <t xml:space="preserve">
1. Informacja dotycząca sposobu wypełniania pól liczbowych.</t>
    </r>
    <r>
      <rPr>
        <sz val="10"/>
        <rFont val="Arial"/>
        <family val="2"/>
        <charset val="238"/>
      </rPr>
      <t xml:space="preserve">
    Arkusz rozróżnia wartości zerowe i puste pola. W przypadku braku danych finansowych za dany okres należy poszczególne pozycje pozostawić puste lub
    wprowadzone już dane usunąć (np.: klawiszem ,,DEL” lub wbudowanym przyciskiem ,,Wyczyść dane finansowe”).
    W przypadku, gdy wartość pozycji jest równa zero (,,0”) należy wpisać tę wartość w odpowiednią pozycję. 
</t>
    </r>
    <r>
      <rPr>
        <b/>
        <sz val="10"/>
        <rFont val="Arial"/>
        <family val="2"/>
        <charset val="238"/>
      </rPr>
      <t xml:space="preserve">2. Informacja uzupełniająca dotycząca sposobu prezentacji danych w arkuszu ,,Dane finansowe”, w tabelach:
 -   ,,Rachunek zysków i strat”,
 -   ,,Bilans — Aktywa”,
 -   ,,Bilans — Pasywa”.
 -   "Rachunek przepływów środków pieniężnych"
</t>
    </r>
    <r>
      <rPr>
        <sz val="10"/>
        <rFont val="Arial"/>
        <family val="2"/>
        <charset val="238"/>
      </rPr>
      <t xml:space="preserve">Wartości poszczególnych pozycji w wyżej wymienionych tabelach należy wpisywać zgodnie z danymi zawartymi w sprawozdaniach finansowych. 
</t>
    </r>
    <r>
      <rPr>
        <b/>
        <sz val="10"/>
        <rFont val="Arial"/>
        <family val="2"/>
        <charset val="238"/>
      </rPr>
      <t xml:space="preserve">3. Informacja uzupełniająca dotycząca sposobu prezentacji danych w arkuszu ,,Dane finansowe” w tabeli ,,Rachunek przepływów pieniężnych”. </t>
    </r>
    <r>
      <rPr>
        <sz val="10"/>
        <rFont val="Arial"/>
        <family val="2"/>
        <charset val="238"/>
      </rPr>
      <t xml:space="preserve">
    Dane z "Rachunku przepływów pieniężnych" mają wpływ na rating dlatego też zaleca się, aby tabelę wypełniły również podmioty, które zgodnie z ustawą
    o rachunkowości nie mają obowiązku sporządzania tego sprawozdania.
</t>
    </r>
    <r>
      <rPr>
        <b/>
        <sz val="10"/>
        <rFont val="Arial"/>
        <family val="2"/>
        <charset val="238"/>
      </rPr>
      <t>Pozycja A. Przepływy pieniężne netto z działalności operacyjnej.</t>
    </r>
    <r>
      <rPr>
        <sz val="10"/>
        <rFont val="Arial"/>
        <family val="2"/>
        <charset val="238"/>
      </rPr>
      <t xml:space="preserve">
 -    Dodatnie przepływy (wpływy pieniężne) należy wpisywać ze znakiem ,,+“. 
 -    Ujemne przepływy (wydatki pieniężne) należy wpisywać ze znakiem ,,-“. 
</t>
    </r>
    <r>
      <rPr>
        <b/>
        <sz val="10"/>
        <rFont val="Arial"/>
        <family val="2"/>
        <charset val="238"/>
      </rPr>
      <t>Pozycja B. Przepływy pieniężne netto z działalności inwestycyjnej.</t>
    </r>
    <r>
      <rPr>
        <sz val="10"/>
        <rFont val="Arial"/>
        <family val="2"/>
        <charset val="238"/>
      </rPr>
      <t xml:space="preserve">
 -    Dodatnie przepływy (wpływy pieniężne) należy wpisywać ze znakiem ,,+“.
 -    Ujemne przepływy (wydatki pieniężne) należy wpisywać ze znakiem ,,-“.
</t>
    </r>
    <r>
      <rPr>
        <b/>
        <sz val="10"/>
        <rFont val="Arial"/>
        <family val="2"/>
        <charset val="238"/>
      </rPr>
      <t>Pozycja C. Przepływy pieniężne netto z działalności finansowej.</t>
    </r>
    <r>
      <rPr>
        <sz val="10"/>
        <rFont val="Arial"/>
        <family val="2"/>
        <charset val="238"/>
      </rPr>
      <t xml:space="preserve">
 -    Wpływy z działalności finansowej (pozycja C.1.) należy wpisywać ze znakiem ,,+“.
 -    Wydatki z działalności finansowej (pozycje C.2.1 – C.2.3.) należy wpisywać ze znakiem ,,+“. 
 -    Wartość w pozycji C.2. stanowi wynik sumowania poszczególnych wydatków finansowych wymienionych w pozycjach od C.2. 1. do C.2.3. 
Wartości poszczególnych pozycji w wyżej wymienionych tabelach należy wpisywać zgodnie z danymi zawartymi w sprawozdaniach finansowych. </t>
    </r>
  </si>
  <si>
    <r>
      <rPr>
        <b/>
        <sz val="9"/>
        <rFont val="Times New Roman"/>
        <family val="1"/>
        <charset val="238"/>
      </rPr>
      <t xml:space="preserve">*Rok obrotowy (n) - ostatni zakończony rok obrotowy dla którego Wnioskdoawca posiada zatwierdzone sprawozdanie finansowe. 
</t>
    </r>
    <r>
      <rPr>
        <sz val="9"/>
        <rFont val="Times New Roman"/>
        <family val="1"/>
        <charset val="238"/>
      </rPr>
      <t>Wnioskodawca wybiera z listy rozwijalnej odpowiednio:
 - miesiąc i rok rozpoczęcia roku obrotowego,
 - miesiąc i rok zakończenia roku obrotowego.
Uwaga: w przypadku, gdy rok obrotowy pokrywa się z rokiem kalendarzowym należy wybrać: styczeń 202x - grudzień 202x</t>
    </r>
  </si>
  <si>
    <t>Podane poniżej wartości pochodzą z wersji ww. Wytycznych z maja 2025 r. W przypadku opublikowania nowszej wersji Wytycznych należy zaktualizować poniższe wartości.</t>
  </si>
  <si>
    <r>
      <t>gdzie: 
r</t>
    </r>
    <r>
      <rPr>
        <vertAlign val="subscript"/>
        <sz val="10"/>
        <rFont val="Times New Roman"/>
        <family val="1"/>
        <charset val="238"/>
      </rPr>
      <t>f</t>
    </r>
    <r>
      <rPr>
        <sz val="10"/>
        <rFont val="Times New Roman"/>
        <family val="1"/>
        <charset val="238"/>
      </rPr>
      <t xml:space="preserve">   –  stopa wolna od ryzyka; odpowiada wartości stopy bazowej publikowanej na stronie
         https://uokik.gov.pl/wyjasnienia-wzory-oraz-pomocne-pliki
M –  premia za ryzyko udostępnienia kapitału obcego; od 0,6% do 4% w zależności od ratingu przedsiębiorstwa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</si>
</sst>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-* #,##0.00\ _z_ł_-;\-* #,##0.00\ _z_ł_-;_-* &quot;-&quot;??\ _z_ł_-;_-@_-"/>
    <numFmt numFmtId="165" formatCode="0.0%"/>
    <numFmt numFmtId="166" formatCode="#,##0.0"/>
    <numFmt numFmtId="167" formatCode="_-* #,##0&quot;грн.&quot;_-;_-* #,##0&quot;грн.&quot;\-;_-* &quot;-&quot;&quot;грн.&quot;_-;_-@_-"/>
    <numFmt numFmtId="168" formatCode="_-* #,##0_г_р_н_._-;_-* #,##0_г_р_н_.\-;_-* &quot;-&quot;_г_р_н_._-;_-@_-"/>
    <numFmt numFmtId="169" formatCode="_-* #,##0.00&quot;грн.&quot;_-;_-* #,##0.00&quot;грн.&quot;\-;_-* &quot;-&quot;??&quot;грн.&quot;_-;_-@_-"/>
    <numFmt numFmtId="170" formatCode="_-* #,##0.00_г_р_н_._-;_-* #,##0.00_г_р_н_.\-;_-* &quot;-&quot;??_г_р_н_._-;_-@_-"/>
    <numFmt numFmtId="171" formatCode="#,##0.00;&quot;-&quot;#,##0.00"/>
    <numFmt numFmtId="172" formatCode="0.0000%"/>
    <numFmt numFmtId="173" formatCode="#,##0.0000"/>
    <numFmt numFmtId="174" formatCode="0.00000000%"/>
  </numFmts>
  <fonts count="49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8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0"/>
      <color indexed="22"/>
      <name val="Arial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2"/>
      <color indexed="24"/>
      <name val="Arial"/>
      <family val="2"/>
      <charset val="238"/>
    </font>
    <font>
      <sz val="11"/>
      <color indexed="17"/>
      <name val="Czcionka tekstu podstawowego"/>
      <family val="2"/>
      <charset val="238"/>
    </font>
    <font>
      <b/>
      <sz val="18"/>
      <color indexed="24"/>
      <name val="Arial"/>
      <family val="2"/>
      <charset val="238"/>
    </font>
    <font>
      <b/>
      <sz val="12"/>
      <color indexed="24"/>
      <name val="Arial"/>
      <family val="2"/>
      <charset val="238"/>
    </font>
    <font>
      <sz val="10"/>
      <name val="Arial Cyr"/>
      <charset val="204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sz val="12"/>
      <name val="SwitzerlandCondensed"/>
      <family val="2"/>
      <charset val="238"/>
    </font>
    <font>
      <sz val="10"/>
      <name val="Times New Roman CE"/>
      <charset val="238"/>
    </font>
    <font>
      <sz val="10"/>
      <name val="Arial CE"/>
      <charset val="238"/>
    </font>
    <font>
      <b/>
      <sz val="11"/>
      <color indexed="52"/>
      <name val="Czcionka tekstu podstawowego"/>
      <family val="2"/>
      <charset val="238"/>
    </font>
    <font>
      <b/>
      <sz val="8"/>
      <name val="Helv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sz val="11"/>
      <color indexed="20"/>
      <name val="Czcionka tekstu podstawowego"/>
      <family val="2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vertAlign val="subscript"/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10"/>
      <color theme="0"/>
      <name val="Times New Roman"/>
      <family val="1"/>
      <charset val="238"/>
    </font>
    <font>
      <b/>
      <i/>
      <sz val="10"/>
      <name val="Times New Roman"/>
      <family val="1"/>
      <charset val="238"/>
    </font>
    <font>
      <vertAlign val="subscript"/>
      <sz val="10"/>
      <name val="Arial"/>
      <family val="2"/>
      <charset val="238"/>
    </font>
    <font>
      <b/>
      <vertAlign val="subscript"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vertAlign val="subscript"/>
      <sz val="1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u/>
      <sz val="10"/>
      <color theme="10"/>
      <name val="Arial"/>
      <family val="2"/>
      <charset val="238"/>
    </font>
    <font>
      <u/>
      <sz val="10"/>
      <color theme="10"/>
      <name val="Times New Roman"/>
      <family val="1"/>
      <charset val="238"/>
    </font>
    <font>
      <b/>
      <i/>
      <sz val="10"/>
      <color theme="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gray0625"/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gray0625">
        <bgColor theme="0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rgb="FFFFFFCC"/>
        <bgColor indexed="26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71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3" fontId="6" fillId="0" borderId="0" applyFont="0" applyFill="0" applyBorder="0" applyAlignment="0" applyProtection="0"/>
    <xf numFmtId="0" fontId="7" fillId="7" borderId="1" applyNumberFormat="0" applyAlignment="0" applyProtection="0"/>
    <xf numFmtId="0" fontId="8" fillId="20" borderId="2" applyNumberFormat="0" applyAlignment="0" applyProtection="0"/>
    <xf numFmtId="0" fontId="9" fillId="0" borderId="0" applyFill="0" applyBorder="0" applyAlignment="0" applyProtection="0"/>
    <xf numFmtId="0" fontId="10" fillId="4" borderId="0" applyNumberFormat="0" applyBorder="0" applyAlignment="0" applyProtection="0"/>
    <xf numFmtId="164" fontId="1" fillId="0" borderId="0" applyFont="0" applyFill="0" applyBorder="0" applyAlignment="0" applyProtection="0"/>
    <xf numFmtId="2" fontId="9" fillId="0" borderId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/>
    <xf numFmtId="0" fontId="14" fillId="0" borderId="3" applyNumberFormat="0" applyFill="0" applyAlignment="0" applyProtection="0"/>
    <xf numFmtId="0" fontId="15" fillId="21" borderId="4" applyNumberFormat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171" fontId="20" fillId="0" borderId="0"/>
    <xf numFmtId="171" fontId="20" fillId="0" borderId="0"/>
    <xf numFmtId="171" fontId="20" fillId="0" borderId="0"/>
    <xf numFmtId="171" fontId="20" fillId="0" borderId="0"/>
    <xf numFmtId="171" fontId="20" fillId="0" borderId="0"/>
    <xf numFmtId="171" fontId="20" fillId="0" borderId="0"/>
    <xf numFmtId="171" fontId="20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20" borderId="1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0" borderId="8">
      <alignment horizontal="center"/>
    </xf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9" fillId="0" borderId="10" applyNumberFormat="0" applyFill="0" applyAlignment="0" applyProtection="0"/>
    <xf numFmtId="0" fontId="28" fillId="0" borderId="0" applyNumberFormat="0" applyFill="0" applyBorder="0" applyAlignment="0" applyProtection="0"/>
    <xf numFmtId="0" fontId="29" fillId="23" borderId="11" applyNumberFormat="0" applyFont="0" applyAlignment="0" applyProtection="0"/>
    <xf numFmtId="0" fontId="30" fillId="3" borderId="0" applyNumberFormat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13" fillId="0" borderId="0"/>
    <xf numFmtId="168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44" fillId="0" borderId="0" applyNumberFormat="0" applyFill="0" applyBorder="0" applyAlignment="0" applyProtection="0"/>
  </cellStyleXfs>
  <cellXfs count="331">
    <xf numFmtId="0" fontId="0" fillId="0" borderId="0" xfId="0"/>
    <xf numFmtId="0" fontId="32" fillId="26" borderId="0" xfId="51" applyFont="1" applyFill="1" applyAlignment="1">
      <alignment vertical="center"/>
    </xf>
    <xf numFmtId="0" fontId="32" fillId="26" borderId="0" xfId="51" applyFont="1" applyFill="1" applyAlignment="1">
      <alignment horizontal="center" vertical="center"/>
    </xf>
    <xf numFmtId="0" fontId="32" fillId="25" borderId="12" xfId="51" applyFont="1" applyFill="1" applyBorder="1" applyAlignment="1">
      <alignment horizontal="center" vertical="center"/>
    </xf>
    <xf numFmtId="0" fontId="0" fillId="29" borderId="0" xfId="0" applyFill="1"/>
    <xf numFmtId="0" fontId="0" fillId="28" borderId="16" xfId="0" applyFill="1" applyBorder="1"/>
    <xf numFmtId="0" fontId="0" fillId="28" borderId="22" xfId="0" applyFill="1" applyBorder="1"/>
    <xf numFmtId="0" fontId="0" fillId="28" borderId="17" xfId="0" applyFill="1" applyBorder="1"/>
    <xf numFmtId="10" fontId="32" fillId="26" borderId="0" xfId="55" applyNumberFormat="1" applyFont="1" applyFill="1" applyAlignment="1" applyProtection="1">
      <alignment vertical="center"/>
    </xf>
    <xf numFmtId="0" fontId="32" fillId="26" borderId="0" xfId="51" applyFont="1" applyFill="1" applyAlignment="1">
      <alignment vertical="center" wrapText="1"/>
    </xf>
    <xf numFmtId="0" fontId="2" fillId="25" borderId="12" xfId="51" applyFont="1" applyFill="1" applyBorder="1" applyAlignment="1">
      <alignment horizontal="center" vertical="center"/>
    </xf>
    <xf numFmtId="0" fontId="32" fillId="25" borderId="0" xfId="51" applyFont="1" applyFill="1" applyAlignment="1">
      <alignment horizontal="center" vertical="center" wrapText="1"/>
    </xf>
    <xf numFmtId="0" fontId="32" fillId="25" borderId="24" xfId="51" applyFont="1" applyFill="1" applyBorder="1" applyAlignment="1">
      <alignment horizontal="center" vertical="center" wrapText="1"/>
    </xf>
    <xf numFmtId="16" fontId="32" fillId="25" borderId="0" xfId="51" quotePrefix="1" applyNumberFormat="1" applyFont="1" applyFill="1" applyAlignment="1">
      <alignment horizontal="center" vertical="center" wrapText="1"/>
    </xf>
    <xf numFmtId="0" fontId="32" fillId="25" borderId="20" xfId="51" quotePrefix="1" applyFont="1" applyFill="1" applyBorder="1" applyAlignment="1">
      <alignment horizontal="center" vertical="center" wrapText="1"/>
    </xf>
    <xf numFmtId="0" fontId="32" fillId="25" borderId="0" xfId="51" quotePrefix="1" applyFont="1" applyFill="1" applyAlignment="1">
      <alignment horizontal="center" vertical="center" wrapText="1"/>
    </xf>
    <xf numFmtId="16" fontId="32" fillId="25" borderId="20" xfId="51" quotePrefix="1" applyNumberFormat="1" applyFont="1" applyFill="1" applyBorder="1" applyAlignment="1">
      <alignment horizontal="center" vertical="center"/>
    </xf>
    <xf numFmtId="16" fontId="32" fillId="25" borderId="22" xfId="51" quotePrefix="1" applyNumberFormat="1" applyFont="1" applyFill="1" applyBorder="1" applyAlignment="1">
      <alignment horizontal="center" vertical="center"/>
    </xf>
    <xf numFmtId="0" fontId="32" fillId="25" borderId="17" xfId="51" applyFont="1" applyFill="1" applyBorder="1" applyAlignment="1">
      <alignment horizontal="center" vertical="center"/>
    </xf>
    <xf numFmtId="0" fontId="2" fillId="25" borderId="25" xfId="51" applyFont="1" applyFill="1" applyBorder="1" applyAlignment="1">
      <alignment horizontal="center" vertical="center"/>
    </xf>
    <xf numFmtId="1" fontId="2" fillId="25" borderId="21" xfId="51" applyNumberFormat="1" applyFont="1" applyFill="1" applyBorder="1" applyAlignment="1">
      <alignment horizontal="center" vertical="center"/>
    </xf>
    <xf numFmtId="0" fontId="2" fillId="26" borderId="0" xfId="51" applyFont="1" applyFill="1" applyAlignment="1">
      <alignment vertical="center"/>
    </xf>
    <xf numFmtId="0" fontId="33" fillId="26" borderId="0" xfId="51" applyFont="1" applyFill="1" applyAlignment="1">
      <alignment horizontal="center" vertical="center"/>
    </xf>
    <xf numFmtId="0" fontId="2" fillId="26" borderId="0" xfId="51" applyFont="1" applyFill="1" applyAlignment="1">
      <alignment horizontal="center" vertical="center"/>
    </xf>
    <xf numFmtId="2" fontId="32" fillId="25" borderId="21" xfId="51" applyNumberFormat="1" applyFont="1" applyFill="1" applyBorder="1" applyAlignment="1">
      <alignment horizontal="center" vertical="center"/>
    </xf>
    <xf numFmtId="2" fontId="32" fillId="25" borderId="12" xfId="51" applyNumberFormat="1" applyFont="1" applyFill="1" applyBorder="1" applyAlignment="1">
      <alignment horizontal="center" vertical="center"/>
    </xf>
    <xf numFmtId="1" fontId="32" fillId="25" borderId="12" xfId="51" applyNumberFormat="1" applyFont="1" applyFill="1" applyBorder="1" applyAlignment="1">
      <alignment horizontal="center" vertical="center"/>
    </xf>
    <xf numFmtId="0" fontId="2" fillId="24" borderId="12" xfId="51" applyFont="1" applyFill="1" applyBorder="1" applyAlignment="1">
      <alignment horizontal="left" vertical="center" indent="1"/>
    </xf>
    <xf numFmtId="10" fontId="32" fillId="25" borderId="14" xfId="55" applyNumberFormat="1" applyFont="1" applyFill="1" applyBorder="1" applyAlignment="1" applyProtection="1">
      <alignment horizontal="center" vertical="center"/>
    </xf>
    <xf numFmtId="0" fontId="32" fillId="25" borderId="14" xfId="51" applyFont="1" applyFill="1" applyBorder="1" applyAlignment="1">
      <alignment vertical="center"/>
    </xf>
    <xf numFmtId="0" fontId="32" fillId="25" borderId="15" xfId="51" applyFont="1" applyFill="1" applyBorder="1" applyAlignment="1">
      <alignment vertical="center"/>
    </xf>
    <xf numFmtId="10" fontId="32" fillId="25" borderId="26" xfId="55" applyNumberFormat="1" applyFont="1" applyFill="1" applyBorder="1" applyAlignment="1" applyProtection="1">
      <alignment horizontal="center" vertical="center"/>
    </xf>
    <xf numFmtId="10" fontId="32" fillId="25" borderId="19" xfId="55" applyNumberFormat="1" applyFont="1" applyFill="1" applyBorder="1" applyAlignment="1" applyProtection="1">
      <alignment horizontal="center" vertical="center"/>
    </xf>
    <xf numFmtId="3" fontId="32" fillId="25" borderId="26" xfId="55" applyNumberFormat="1" applyFont="1" applyFill="1" applyBorder="1" applyAlignment="1" applyProtection="1">
      <alignment horizontal="center" vertical="center"/>
    </xf>
    <xf numFmtId="3" fontId="32" fillId="25" borderId="12" xfId="55" applyNumberFormat="1" applyFont="1" applyFill="1" applyBorder="1" applyAlignment="1" applyProtection="1">
      <alignment horizontal="center" vertical="center"/>
    </xf>
    <xf numFmtId="3" fontId="32" fillId="25" borderId="12" xfId="51" applyNumberFormat="1" applyFont="1" applyFill="1" applyBorder="1" applyAlignment="1">
      <alignment horizontal="center" vertical="center"/>
    </xf>
    <xf numFmtId="3" fontId="2" fillId="25" borderId="12" xfId="55" applyNumberFormat="1" applyFont="1" applyFill="1" applyBorder="1" applyAlignment="1" applyProtection="1">
      <alignment horizontal="center" vertical="center"/>
    </xf>
    <xf numFmtId="3" fontId="2" fillId="26" borderId="0" xfId="55" applyNumberFormat="1" applyFont="1" applyFill="1" applyBorder="1" applyAlignment="1" applyProtection="1">
      <alignment horizontal="center" vertical="center"/>
    </xf>
    <xf numFmtId="0" fontId="32" fillId="26" borderId="0" xfId="51" applyFont="1" applyFill="1" applyAlignment="1">
      <alignment horizontal="center" vertical="center" wrapText="1"/>
    </xf>
    <xf numFmtId="4" fontId="32" fillId="26" borderId="0" xfId="51" applyNumberFormat="1" applyFont="1" applyFill="1" applyAlignment="1">
      <alignment vertical="center"/>
    </xf>
    <xf numFmtId="0" fontId="33" fillId="27" borderId="18" xfId="51" applyFont="1" applyFill="1" applyBorder="1" applyAlignment="1">
      <alignment horizontal="left" vertical="center"/>
    </xf>
    <xf numFmtId="0" fontId="33" fillId="27" borderId="18" xfId="51" applyFont="1" applyFill="1" applyBorder="1" applyAlignment="1">
      <alignment vertical="center" wrapText="1"/>
    </xf>
    <xf numFmtId="1" fontId="32" fillId="26" borderId="0" xfId="51" applyNumberFormat="1" applyFont="1" applyFill="1" applyAlignment="1">
      <alignment vertical="center"/>
    </xf>
    <xf numFmtId="2" fontId="2" fillId="25" borderId="12" xfId="51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2" fillId="25" borderId="21" xfId="51" applyFont="1" applyFill="1" applyBorder="1" applyAlignment="1">
      <alignment horizontal="center" vertical="center" wrapText="1"/>
    </xf>
    <xf numFmtId="0" fontId="32" fillId="25" borderId="13" xfId="51" applyFont="1" applyFill="1" applyBorder="1" applyAlignment="1">
      <alignment horizontal="center" vertical="center"/>
    </xf>
    <xf numFmtId="0" fontId="32" fillId="25" borderId="21" xfId="51" applyFont="1" applyFill="1" applyBorder="1" applyAlignment="1">
      <alignment horizontal="center" vertical="center"/>
    </xf>
    <xf numFmtId="0" fontId="32" fillId="25" borderId="13" xfId="51" applyFont="1" applyFill="1" applyBorder="1" applyAlignment="1">
      <alignment horizontal="center" vertical="center" wrapText="1"/>
    </xf>
    <xf numFmtId="0" fontId="32" fillId="25" borderId="23" xfId="51" applyFont="1" applyFill="1" applyBorder="1" applyAlignment="1">
      <alignment horizontal="left" vertical="center" wrapText="1" indent="1"/>
    </xf>
    <xf numFmtId="0" fontId="32" fillId="25" borderId="23" xfId="51" applyFont="1" applyFill="1" applyBorder="1" applyAlignment="1">
      <alignment horizontal="center" vertical="center"/>
    </xf>
    <xf numFmtId="0" fontId="32" fillId="25" borderId="16" xfId="51" applyFont="1" applyFill="1" applyBorder="1" applyAlignment="1">
      <alignment horizontal="center" vertical="center"/>
    </xf>
    <xf numFmtId="0" fontId="32" fillId="25" borderId="12" xfId="51" applyFont="1" applyFill="1" applyBorder="1" applyAlignment="1">
      <alignment horizontal="center" vertical="center" wrapText="1"/>
    </xf>
    <xf numFmtId="0" fontId="32" fillId="26" borderId="0" xfId="0" applyFont="1" applyFill="1" applyAlignment="1">
      <alignment vertical="center"/>
    </xf>
    <xf numFmtId="0" fontId="2" fillId="32" borderId="12" xfId="51" applyFont="1" applyFill="1" applyBorder="1" applyAlignment="1">
      <alignment horizontal="center" vertical="center"/>
    </xf>
    <xf numFmtId="0" fontId="2" fillId="26" borderId="0" xfId="0" applyFont="1" applyFill="1" applyAlignment="1">
      <alignment vertical="center"/>
    </xf>
    <xf numFmtId="0" fontId="33" fillId="26" borderId="0" xfId="0" applyFont="1" applyFill="1" applyAlignment="1">
      <alignment horizontal="center" vertical="center" wrapText="1"/>
    </xf>
    <xf numFmtId="0" fontId="32" fillId="0" borderId="0" xfId="51" applyFont="1" applyAlignment="1">
      <alignment vertical="center"/>
    </xf>
    <xf numFmtId="0" fontId="2" fillId="32" borderId="12" xfId="52" applyFont="1" applyFill="1" applyBorder="1" applyAlignment="1">
      <alignment horizontal="center" vertical="center"/>
    </xf>
    <xf numFmtId="0" fontId="32" fillId="25" borderId="12" xfId="51" applyFont="1" applyFill="1" applyBorder="1" applyAlignment="1">
      <alignment horizontal="left" vertical="center" wrapText="1" indent="1"/>
    </xf>
    <xf numFmtId="0" fontId="32" fillId="25" borderId="12" xfId="51" applyFont="1" applyFill="1" applyBorder="1" applyAlignment="1">
      <alignment horizontal="left" vertical="center" indent="1"/>
    </xf>
    <xf numFmtId="0" fontId="2" fillId="25" borderId="12" xfId="51" applyFont="1" applyFill="1" applyBorder="1" applyAlignment="1">
      <alignment horizontal="left" vertical="center" indent="1"/>
    </xf>
    <xf numFmtId="0" fontId="32" fillId="26" borderId="0" xfId="51" applyFont="1" applyFill="1" applyAlignment="1">
      <alignment horizontal="left" vertical="center" indent="1"/>
    </xf>
    <xf numFmtId="0" fontId="2" fillId="25" borderId="12" xfId="51" applyFont="1" applyFill="1" applyBorder="1" applyAlignment="1">
      <alignment horizontal="left" vertical="center" wrapText="1" indent="1"/>
    </xf>
    <xf numFmtId="0" fontId="2" fillId="32" borderId="13" xfId="53" applyFont="1" applyFill="1" applyBorder="1" applyAlignment="1">
      <alignment horizontal="center" vertical="center" wrapText="1"/>
    </xf>
    <xf numFmtId="0" fontId="32" fillId="26" borderId="0" xfId="53" applyFont="1" applyFill="1" applyAlignment="1">
      <alignment horizontal="center" vertical="center"/>
    </xf>
    <xf numFmtId="0" fontId="32" fillId="26" borderId="0" xfId="53" applyFont="1" applyFill="1" applyAlignment="1">
      <alignment vertical="center" wrapText="1"/>
    </xf>
    <xf numFmtId="0" fontId="32" fillId="26" borderId="0" xfId="53" applyFont="1" applyFill="1" applyAlignment="1">
      <alignment vertical="center"/>
    </xf>
    <xf numFmtId="0" fontId="2" fillId="32" borderId="12" xfId="0" applyFont="1" applyFill="1" applyBorder="1" applyAlignment="1">
      <alignment horizontal="center" vertical="center" wrapText="1"/>
    </xf>
    <xf numFmtId="0" fontId="2" fillId="32" borderId="12" xfId="0" applyFont="1" applyFill="1" applyBorder="1" applyAlignment="1">
      <alignment horizontal="center" vertical="center"/>
    </xf>
    <xf numFmtId="1" fontId="2" fillId="28" borderId="12" xfId="0" applyNumberFormat="1" applyFont="1" applyFill="1" applyBorder="1" applyAlignment="1">
      <alignment horizontal="center" vertical="center" wrapText="1"/>
    </xf>
    <xf numFmtId="0" fontId="2" fillId="28" borderId="12" xfId="0" applyFont="1" applyFill="1" applyBorder="1" applyAlignment="1">
      <alignment horizontal="center" vertical="center" wrapText="1"/>
    </xf>
    <xf numFmtId="0" fontId="33" fillId="26" borderId="0" xfId="0" applyFont="1" applyFill="1" applyAlignment="1">
      <alignment vertical="center"/>
    </xf>
    <xf numFmtId="0" fontId="32" fillId="26" borderId="0" xfId="0" applyFont="1" applyFill="1" applyAlignment="1">
      <alignment horizontal="center" vertical="center"/>
    </xf>
    <xf numFmtId="0" fontId="2" fillId="28" borderId="12" xfId="51" applyFont="1" applyFill="1" applyBorder="1" applyAlignment="1">
      <alignment horizontal="center" vertical="center" wrapText="1"/>
    </xf>
    <xf numFmtId="0" fontId="37" fillId="26" borderId="0" xfId="53" applyFont="1" applyFill="1" applyAlignment="1">
      <alignment vertical="center"/>
    </xf>
    <xf numFmtId="0" fontId="2" fillId="32" borderId="12" xfId="53" applyFont="1" applyFill="1" applyBorder="1" applyAlignment="1">
      <alignment horizontal="center" vertical="center" wrapText="1"/>
    </xf>
    <xf numFmtId="0" fontId="2" fillId="32" borderId="23" xfId="53" applyFont="1" applyFill="1" applyBorder="1" applyAlignment="1">
      <alignment horizontal="center" vertical="center" wrapText="1"/>
    </xf>
    <xf numFmtId="0" fontId="2" fillId="32" borderId="12" xfId="53" applyFont="1" applyFill="1" applyBorder="1" applyAlignment="1">
      <alignment horizontal="center" vertical="center"/>
    </xf>
    <xf numFmtId="0" fontId="2" fillId="26" borderId="0" xfId="53" applyFont="1" applyFill="1" applyAlignment="1">
      <alignment vertical="center"/>
    </xf>
    <xf numFmtId="166" fontId="2" fillId="28" borderId="21" xfId="53" applyNumberFormat="1" applyFont="1" applyFill="1" applyBorder="1" applyAlignment="1">
      <alignment horizontal="center" vertical="center"/>
    </xf>
    <xf numFmtId="166" fontId="2" fillId="28" borderId="23" xfId="53" applyNumberFormat="1" applyFont="1" applyFill="1" applyBorder="1" applyAlignment="1">
      <alignment horizontal="left" vertical="center" wrapText="1" indent="1"/>
    </xf>
    <xf numFmtId="166" fontId="2" fillId="26" borderId="0" xfId="53" applyNumberFormat="1" applyFont="1" applyFill="1" applyAlignment="1">
      <alignment vertical="center"/>
    </xf>
    <xf numFmtId="166" fontId="2" fillId="28" borderId="12" xfId="53" applyNumberFormat="1" applyFont="1" applyFill="1" applyBorder="1" applyAlignment="1">
      <alignment horizontal="center" vertical="center"/>
    </xf>
    <xf numFmtId="166" fontId="32" fillId="28" borderId="12" xfId="53" applyNumberFormat="1" applyFont="1" applyFill="1" applyBorder="1" applyAlignment="1">
      <alignment horizontal="center" vertical="center"/>
    </xf>
    <xf numFmtId="166" fontId="32" fillId="28" borderId="23" xfId="53" applyNumberFormat="1" applyFont="1" applyFill="1" applyBorder="1" applyAlignment="1">
      <alignment horizontal="left" vertical="center" wrapText="1" indent="1"/>
    </xf>
    <xf numFmtId="166" fontId="32" fillId="28" borderId="21" xfId="53" applyNumberFormat="1" applyFont="1" applyFill="1" applyBorder="1" applyAlignment="1">
      <alignment horizontal="center" vertical="center"/>
    </xf>
    <xf numFmtId="166" fontId="32" fillId="26" borderId="0" xfId="53" applyNumberFormat="1" applyFont="1" applyFill="1" applyAlignment="1">
      <alignment vertical="center"/>
    </xf>
    <xf numFmtId="0" fontId="2" fillId="32" borderId="16" xfId="53" applyFont="1" applyFill="1" applyBorder="1" applyAlignment="1">
      <alignment horizontal="center" vertical="center" wrapText="1"/>
    </xf>
    <xf numFmtId="0" fontId="2" fillId="28" borderId="12" xfId="53" applyFont="1" applyFill="1" applyBorder="1" applyAlignment="1">
      <alignment horizontal="center" vertical="center"/>
    </xf>
    <xf numFmtId="0" fontId="2" fillId="28" borderId="12" xfId="53" applyFont="1" applyFill="1" applyBorder="1" applyAlignment="1">
      <alignment horizontal="left" vertical="center" wrapText="1" indent="1"/>
    </xf>
    <xf numFmtId="0" fontId="32" fillId="28" borderId="12" xfId="53" applyFont="1" applyFill="1" applyBorder="1" applyAlignment="1">
      <alignment horizontal="center" vertical="center"/>
    </xf>
    <xf numFmtId="0" fontId="32" fillId="28" borderId="12" xfId="53" applyFont="1" applyFill="1" applyBorder="1" applyAlignment="1">
      <alignment horizontal="left" vertical="center" wrapText="1" indent="1"/>
    </xf>
    <xf numFmtId="166" fontId="2" fillId="28" borderId="12" xfId="53" applyNumberFormat="1" applyFont="1" applyFill="1" applyBorder="1" applyAlignment="1">
      <alignment horizontal="left" vertical="center" wrapText="1" indent="1"/>
    </xf>
    <xf numFmtId="166" fontId="32" fillId="28" borderId="12" xfId="53" applyNumberFormat="1" applyFont="1" applyFill="1" applyBorder="1" applyAlignment="1">
      <alignment horizontal="left" vertical="center" wrapText="1" indent="1"/>
    </xf>
    <xf numFmtId="166" fontId="2" fillId="25" borderId="21" xfId="53" applyNumberFormat="1" applyFont="1" applyFill="1" applyBorder="1" applyAlignment="1">
      <alignment horizontal="center" vertical="center" wrapText="1"/>
    </xf>
    <xf numFmtId="166" fontId="2" fillId="25" borderId="17" xfId="53" applyNumberFormat="1" applyFont="1" applyFill="1" applyBorder="1" applyAlignment="1">
      <alignment horizontal="left" vertical="center" wrapText="1" indent="1"/>
    </xf>
    <xf numFmtId="166" fontId="2" fillId="25" borderId="21" xfId="53" applyNumberFormat="1" applyFont="1" applyFill="1" applyBorder="1" applyAlignment="1">
      <alignment horizontal="center" vertical="center"/>
    </xf>
    <xf numFmtId="166" fontId="2" fillId="25" borderId="12" xfId="53" applyNumberFormat="1" applyFont="1" applyFill="1" applyBorder="1" applyAlignment="1">
      <alignment horizontal="center" vertical="center" wrapText="1"/>
    </xf>
    <xf numFmtId="166" fontId="2" fillId="25" borderId="23" xfId="53" applyNumberFormat="1" applyFont="1" applyFill="1" applyBorder="1" applyAlignment="1">
      <alignment horizontal="left" vertical="center" wrapText="1" indent="1"/>
    </xf>
    <xf numFmtId="166" fontId="32" fillId="25" borderId="12" xfId="53" applyNumberFormat="1" applyFont="1" applyFill="1" applyBorder="1" applyAlignment="1">
      <alignment horizontal="center" vertical="center" wrapText="1"/>
    </xf>
    <xf numFmtId="166" fontId="32" fillId="25" borderId="23" xfId="53" applyNumberFormat="1" applyFont="1" applyFill="1" applyBorder="1" applyAlignment="1">
      <alignment horizontal="left" vertical="center" wrapText="1" indent="1"/>
    </xf>
    <xf numFmtId="166" fontId="32" fillId="25" borderId="21" xfId="53" applyNumberFormat="1" applyFont="1" applyFill="1" applyBorder="1" applyAlignment="1">
      <alignment horizontal="center" vertical="center"/>
    </xf>
    <xf numFmtId="0" fontId="2" fillId="26" borderId="0" xfId="53" applyFont="1" applyFill="1" applyAlignment="1">
      <alignment horizontal="center" vertical="center"/>
    </xf>
    <xf numFmtId="166" fontId="32" fillId="25" borderId="12" xfId="53" applyNumberFormat="1" applyFont="1" applyFill="1" applyBorder="1" applyAlignment="1">
      <alignment horizontal="center" vertical="center"/>
    </xf>
    <xf numFmtId="166" fontId="32" fillId="25" borderId="12" xfId="53" applyNumberFormat="1" applyFont="1" applyFill="1" applyBorder="1" applyAlignment="1">
      <alignment vertical="center"/>
    </xf>
    <xf numFmtId="166" fontId="32" fillId="25" borderId="31" xfId="53" applyNumberFormat="1" applyFont="1" applyFill="1" applyBorder="1" applyAlignment="1">
      <alignment vertical="center"/>
    </xf>
    <xf numFmtId="4" fontId="32" fillId="25" borderId="21" xfId="55" applyNumberFormat="1" applyFont="1" applyFill="1" applyBorder="1" applyAlignment="1" applyProtection="1">
      <alignment horizontal="right" vertical="center" indent="1"/>
    </xf>
    <xf numFmtId="4" fontId="32" fillId="25" borderId="13" xfId="55" applyNumberFormat="1" applyFont="1" applyFill="1" applyBorder="1" applyAlignment="1" applyProtection="1">
      <alignment horizontal="right" vertical="center" indent="1"/>
    </xf>
    <xf numFmtId="10" fontId="32" fillId="25" borderId="14" xfId="55" applyNumberFormat="1" applyFont="1" applyFill="1" applyBorder="1" applyAlignment="1" applyProtection="1">
      <alignment horizontal="right" vertical="center" indent="1"/>
    </xf>
    <xf numFmtId="10" fontId="32" fillId="25" borderId="15" xfId="55" applyNumberFormat="1" applyFont="1" applyFill="1" applyBorder="1" applyAlignment="1" applyProtection="1">
      <alignment horizontal="right" vertical="center" indent="1"/>
    </xf>
    <xf numFmtId="3" fontId="32" fillId="25" borderId="21" xfId="55" applyNumberFormat="1" applyFont="1" applyFill="1" applyBorder="1" applyAlignment="1" applyProtection="1">
      <alignment horizontal="right" vertical="center" indent="1"/>
    </xf>
    <xf numFmtId="3" fontId="32" fillId="25" borderId="12" xfId="51" applyNumberFormat="1" applyFont="1" applyFill="1" applyBorder="1" applyAlignment="1">
      <alignment horizontal="right" vertical="center" indent="1"/>
    </xf>
    <xf numFmtId="4" fontId="32" fillId="25" borderId="12" xfId="55" applyNumberFormat="1" applyFont="1" applyFill="1" applyBorder="1" applyAlignment="1" applyProtection="1">
      <alignment horizontal="right" vertical="center" indent="1"/>
    </xf>
    <xf numFmtId="0" fontId="32" fillId="25" borderId="12" xfId="51" quotePrefix="1" applyFont="1" applyFill="1" applyBorder="1" applyAlignment="1">
      <alignment horizontal="right" vertical="center" indent="1"/>
    </xf>
    <xf numFmtId="1" fontId="2" fillId="25" borderId="12" xfId="51" applyNumberFormat="1" applyFont="1" applyFill="1" applyBorder="1" applyAlignment="1">
      <alignment horizontal="right" vertical="center" indent="1"/>
    </xf>
    <xf numFmtId="10" fontId="32" fillId="25" borderId="21" xfId="55" applyNumberFormat="1" applyFont="1" applyFill="1" applyBorder="1" applyAlignment="1" applyProtection="1">
      <alignment horizontal="right" vertical="center" indent="1"/>
    </xf>
    <xf numFmtId="10" fontId="32" fillId="25" borderId="13" xfId="55" applyNumberFormat="1" applyFont="1" applyFill="1" applyBorder="1" applyAlignment="1" applyProtection="1">
      <alignment horizontal="right" vertical="center" indent="1"/>
    </xf>
    <xf numFmtId="165" fontId="32" fillId="25" borderId="12" xfId="55" applyNumberFormat="1" applyFont="1" applyFill="1" applyBorder="1" applyAlignment="1" applyProtection="1">
      <alignment horizontal="right" vertical="center" indent="1"/>
    </xf>
    <xf numFmtId="4" fontId="32" fillId="25" borderId="12" xfId="51" applyNumberFormat="1" applyFont="1" applyFill="1" applyBorder="1" applyAlignment="1">
      <alignment horizontal="right" vertical="center" indent="1"/>
    </xf>
    <xf numFmtId="3" fontId="32" fillId="25" borderId="12" xfId="51" applyNumberFormat="1" applyFont="1" applyFill="1" applyBorder="1" applyAlignment="1">
      <alignment horizontal="right" indent="1"/>
    </xf>
    <xf numFmtId="4" fontId="2" fillId="25" borderId="12" xfId="51" applyNumberFormat="1" applyFont="1" applyFill="1" applyBorder="1" applyAlignment="1">
      <alignment horizontal="right" vertical="center" indent="1"/>
    </xf>
    <xf numFmtId="0" fontId="2" fillId="26" borderId="0" xfId="51" applyFont="1" applyFill="1" applyAlignment="1">
      <alignment horizontal="right" vertical="center" indent="1"/>
    </xf>
    <xf numFmtId="2" fontId="32" fillId="25" borderId="12" xfId="51" applyNumberFormat="1" applyFont="1" applyFill="1" applyBorder="1" applyAlignment="1">
      <alignment horizontal="right" vertical="center" indent="1"/>
    </xf>
    <xf numFmtId="2" fontId="2" fillId="25" borderId="12" xfId="51" applyNumberFormat="1" applyFont="1" applyFill="1" applyBorder="1" applyAlignment="1">
      <alignment horizontal="right" vertical="center" indent="1"/>
    </xf>
    <xf numFmtId="10" fontId="32" fillId="25" borderId="12" xfId="55" applyNumberFormat="1" applyFont="1" applyFill="1" applyBorder="1" applyAlignment="1" applyProtection="1">
      <alignment horizontal="right" vertical="center" indent="1"/>
    </xf>
    <xf numFmtId="172" fontId="32" fillId="28" borderId="12" xfId="55" applyNumberFormat="1" applyFont="1" applyFill="1" applyBorder="1" applyAlignment="1" applyProtection="1">
      <alignment horizontal="right" vertical="center" indent="1"/>
    </xf>
    <xf numFmtId="14" fontId="32" fillId="28" borderId="12" xfId="51" applyNumberFormat="1" applyFont="1" applyFill="1" applyBorder="1" applyAlignment="1">
      <alignment horizontal="right" vertical="center" indent="1"/>
    </xf>
    <xf numFmtId="4" fontId="32" fillId="25" borderId="13" xfId="51" applyNumberFormat="1" applyFont="1" applyFill="1" applyBorder="1" applyAlignment="1">
      <alignment horizontal="right" vertical="center" indent="1"/>
    </xf>
    <xf numFmtId="1" fontId="32" fillId="25" borderId="21" xfId="51" applyNumberFormat="1" applyFont="1" applyFill="1" applyBorder="1" applyAlignment="1">
      <alignment horizontal="right" vertical="center" indent="1"/>
    </xf>
    <xf numFmtId="1" fontId="32" fillId="25" borderId="12" xfId="51" applyNumberFormat="1" applyFont="1" applyFill="1" applyBorder="1" applyAlignment="1">
      <alignment horizontal="right" vertical="center" indent="1"/>
    </xf>
    <xf numFmtId="166" fontId="32" fillId="25" borderId="12" xfId="51" applyNumberFormat="1" applyFont="1" applyFill="1" applyBorder="1" applyAlignment="1">
      <alignment horizontal="right" vertical="center" indent="1"/>
    </xf>
    <xf numFmtId="3" fontId="32" fillId="25" borderId="26" xfId="55" applyNumberFormat="1" applyFont="1" applyFill="1" applyBorder="1" applyAlignment="1">
      <alignment horizontal="center" vertical="center"/>
    </xf>
    <xf numFmtId="3" fontId="32" fillId="25" borderId="21" xfId="55" applyNumberFormat="1" applyFont="1" applyFill="1" applyBorder="1" applyAlignment="1">
      <alignment horizontal="right" vertical="center" indent="1"/>
    </xf>
    <xf numFmtId="10" fontId="32" fillId="25" borderId="26" xfId="55" applyNumberFormat="1" applyFont="1" applyFill="1" applyBorder="1" applyAlignment="1">
      <alignment horizontal="center" vertical="center"/>
    </xf>
    <xf numFmtId="4" fontId="32" fillId="25" borderId="21" xfId="55" applyNumberFormat="1" applyFont="1" applyFill="1" applyBorder="1" applyAlignment="1">
      <alignment horizontal="right" vertical="center" indent="1"/>
    </xf>
    <xf numFmtId="3" fontId="32" fillId="25" borderId="12" xfId="55" applyNumberFormat="1" applyFont="1" applyFill="1" applyBorder="1" applyAlignment="1">
      <alignment horizontal="center" vertical="center"/>
    </xf>
    <xf numFmtId="4" fontId="32" fillId="25" borderId="13" xfId="55" applyNumberFormat="1" applyFont="1" applyFill="1" applyBorder="1" applyAlignment="1">
      <alignment horizontal="right" vertical="center" indent="1"/>
    </xf>
    <xf numFmtId="4" fontId="2" fillId="31" borderId="12" xfId="51" applyNumberFormat="1" applyFont="1" applyFill="1" applyBorder="1" applyAlignment="1" applyProtection="1">
      <alignment vertical="center"/>
      <protection locked="0"/>
    </xf>
    <xf numFmtId="4" fontId="32" fillId="31" borderId="12" xfId="51" applyNumberFormat="1" applyFont="1" applyFill="1" applyBorder="1" applyAlignment="1" applyProtection="1">
      <alignment vertical="center"/>
      <protection locked="0"/>
    </xf>
    <xf numFmtId="4" fontId="32" fillId="31" borderId="12" xfId="53" applyNumberFormat="1" applyFont="1" applyFill="1" applyBorder="1" applyAlignment="1" applyProtection="1">
      <alignment vertical="center"/>
      <protection locked="0"/>
    </xf>
    <xf numFmtId="4" fontId="2" fillId="31" borderId="12" xfId="53" applyNumberFormat="1" applyFont="1" applyFill="1" applyBorder="1" applyAlignment="1" applyProtection="1">
      <alignment vertical="center"/>
      <protection locked="0"/>
    </xf>
    <xf numFmtId="4" fontId="32" fillId="28" borderId="12" xfId="51" applyNumberFormat="1" applyFont="1" applyFill="1" applyBorder="1" applyAlignment="1">
      <alignment vertical="center"/>
    </xf>
    <xf numFmtId="0" fontId="2" fillId="28" borderId="21" xfId="53" applyFont="1" applyFill="1" applyBorder="1" applyAlignment="1">
      <alignment horizontal="center" vertical="center"/>
    </xf>
    <xf numFmtId="0" fontId="36" fillId="26" borderId="0" xfId="0" applyFont="1" applyFill="1" applyAlignment="1">
      <alignment vertical="center"/>
    </xf>
    <xf numFmtId="0" fontId="2" fillId="26" borderId="0" xfId="0" applyFont="1" applyFill="1" applyAlignment="1">
      <alignment horizontal="center" vertical="center" wrapText="1"/>
    </xf>
    <xf numFmtId="0" fontId="2" fillId="26" borderId="0" xfId="0" applyFont="1" applyFill="1" applyAlignment="1">
      <alignment horizontal="center" vertical="center"/>
    </xf>
    <xf numFmtId="10" fontId="32" fillId="28" borderId="12" xfId="55" applyNumberFormat="1" applyFont="1" applyFill="1" applyBorder="1" applyAlignment="1" applyProtection="1">
      <alignment horizontal="right" vertical="center" indent="1"/>
    </xf>
    <xf numFmtId="0" fontId="36" fillId="26" borderId="0" xfId="53" applyFont="1" applyFill="1" applyAlignment="1">
      <alignment vertical="center"/>
    </xf>
    <xf numFmtId="0" fontId="36" fillId="26" borderId="0" xfId="0" applyFont="1" applyFill="1" applyAlignment="1">
      <alignment vertical="center" wrapText="1"/>
    </xf>
    <xf numFmtId="166" fontId="43" fillId="26" borderId="0" xfId="53" applyNumberFormat="1" applyFont="1" applyFill="1" applyAlignment="1">
      <alignment vertical="center"/>
    </xf>
    <xf numFmtId="0" fontId="43" fillId="26" borderId="0" xfId="53" applyFont="1" applyFill="1" applyAlignment="1">
      <alignment vertical="center"/>
    </xf>
    <xf numFmtId="166" fontId="36" fillId="26" borderId="0" xfId="53" applyNumberFormat="1" applyFont="1" applyFill="1" applyAlignment="1">
      <alignment vertical="center"/>
    </xf>
    <xf numFmtId="0" fontId="2" fillId="31" borderId="12" xfId="53" applyFont="1" applyFill="1" applyBorder="1" applyAlignment="1" applyProtection="1">
      <alignment horizontal="center" vertical="center" wrapText="1"/>
      <protection locked="0"/>
    </xf>
    <xf numFmtId="0" fontId="2" fillId="31" borderId="12" xfId="53" applyFont="1" applyFill="1" applyBorder="1" applyAlignment="1" applyProtection="1">
      <alignment horizontal="center" vertical="center"/>
      <protection locked="0"/>
    </xf>
    <xf numFmtId="0" fontId="32" fillId="26" borderId="0" xfId="0" applyFont="1" applyFill="1"/>
    <xf numFmtId="0" fontId="32" fillId="0" borderId="0" xfId="0" applyFont="1"/>
    <xf numFmtId="0" fontId="45" fillId="26" borderId="0" xfId="70" applyFont="1" applyFill="1" applyAlignment="1">
      <alignment horizontal="left"/>
    </xf>
    <xf numFmtId="0" fontId="32" fillId="26" borderId="0" xfId="0" applyFont="1" applyFill="1" applyAlignment="1">
      <alignment horizontal="left"/>
    </xf>
    <xf numFmtId="0" fontId="2" fillId="28" borderId="12" xfId="0" applyFont="1" applyFill="1" applyBorder="1" applyAlignment="1">
      <alignment horizontal="center" vertical="center"/>
    </xf>
    <xf numFmtId="0" fontId="32" fillId="26" borderId="0" xfId="0" applyFont="1" applyFill="1" applyAlignment="1">
      <alignment wrapText="1"/>
    </xf>
    <xf numFmtId="0" fontId="32" fillId="28" borderId="12" xfId="0" applyFont="1" applyFill="1" applyBorder="1" applyAlignment="1">
      <alignment horizontal="center"/>
    </xf>
    <xf numFmtId="10" fontId="32" fillId="28" borderId="12" xfId="0" applyNumberFormat="1" applyFont="1" applyFill="1" applyBorder="1" applyAlignment="1">
      <alignment horizontal="center" vertical="center"/>
    </xf>
    <xf numFmtId="0" fontId="32" fillId="28" borderId="15" xfId="0" applyFont="1" applyFill="1" applyBorder="1" applyAlignment="1">
      <alignment horizontal="left" vertical="center"/>
    </xf>
    <xf numFmtId="0" fontId="32" fillId="28" borderId="23" xfId="0" quotePrefix="1" applyFont="1" applyFill="1" applyBorder="1" applyAlignment="1">
      <alignment horizontal="left" vertical="center"/>
    </xf>
    <xf numFmtId="10" fontId="32" fillId="26" borderId="0" xfId="0" applyNumberFormat="1" applyFont="1" applyFill="1"/>
    <xf numFmtId="10" fontId="32" fillId="0" borderId="0" xfId="55" applyNumberFormat="1" applyFont="1"/>
    <xf numFmtId="0" fontId="32" fillId="31" borderId="12" xfId="0" applyFont="1" applyFill="1" applyBorder="1" applyAlignment="1" applyProtection="1">
      <alignment horizontal="center" vertical="center"/>
      <protection locked="0"/>
    </xf>
    <xf numFmtId="10" fontId="32" fillId="31" borderId="12" xfId="55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vertical="center"/>
    </xf>
    <xf numFmtId="0" fontId="2" fillId="33" borderId="12" xfId="53" applyFont="1" applyFill="1" applyBorder="1" applyAlignment="1">
      <alignment horizontal="center" vertical="center"/>
    </xf>
    <xf numFmtId="0" fontId="32" fillId="28" borderId="12" xfId="53" applyFont="1" applyFill="1" applyBorder="1" applyAlignment="1">
      <alignment horizontal="left" vertical="center" indent="1"/>
    </xf>
    <xf numFmtId="4" fontId="32" fillId="28" borderId="12" xfId="53" applyNumberFormat="1" applyFont="1" applyFill="1" applyBorder="1" applyAlignment="1">
      <alignment horizontal="right" vertical="center" indent="1"/>
    </xf>
    <xf numFmtId="166" fontId="32" fillId="28" borderId="12" xfId="53" applyNumberFormat="1" applyFont="1" applyFill="1" applyBorder="1" applyAlignment="1">
      <alignment horizontal="right" vertical="center" indent="1"/>
    </xf>
    <xf numFmtId="173" fontId="32" fillId="28" borderId="12" xfId="53" applyNumberFormat="1" applyFont="1" applyFill="1" applyBorder="1" applyAlignment="1">
      <alignment horizontal="right" vertical="center" indent="1"/>
    </xf>
    <xf numFmtId="174" fontId="41" fillId="26" borderId="0" xfId="55" applyNumberFormat="1" applyFont="1" applyFill="1" applyAlignment="1" applyProtection="1">
      <alignment vertical="center"/>
    </xf>
    <xf numFmtId="0" fontId="41" fillId="26" borderId="0" xfId="53" applyFont="1" applyFill="1" applyAlignment="1">
      <alignment vertical="center"/>
    </xf>
    <xf numFmtId="165" fontId="32" fillId="26" borderId="0" xfId="53" applyNumberFormat="1" applyFont="1" applyFill="1" applyAlignment="1">
      <alignment vertical="center"/>
    </xf>
    <xf numFmtId="165" fontId="32" fillId="26" borderId="0" xfId="55" applyNumberFormat="1" applyFont="1" applyFill="1" applyAlignment="1" applyProtection="1">
      <alignment vertical="center"/>
    </xf>
    <xf numFmtId="0" fontId="32" fillId="0" borderId="0" xfId="53" applyFont="1" applyAlignment="1">
      <alignment vertical="center"/>
    </xf>
    <xf numFmtId="0" fontId="32" fillId="26" borderId="0" xfId="53" applyFont="1" applyFill="1"/>
    <xf numFmtId="0" fontId="32" fillId="0" borderId="0" xfId="53" applyFont="1"/>
    <xf numFmtId="0" fontId="32" fillId="0" borderId="0" xfId="53" applyFont="1" applyAlignment="1">
      <alignment horizontal="left" vertical="top" wrapText="1"/>
    </xf>
    <xf numFmtId="0" fontId="32" fillId="0" borderId="0" xfId="53" applyFont="1" applyAlignment="1">
      <alignment horizontal="left" vertical="top"/>
    </xf>
    <xf numFmtId="10" fontId="32" fillId="31" borderId="12" xfId="55" applyNumberFormat="1" applyFont="1" applyFill="1" applyBorder="1" applyAlignment="1" applyProtection="1">
      <alignment horizontal="right" vertical="center" indent="1"/>
      <protection locked="0"/>
    </xf>
    <xf numFmtId="0" fontId="32" fillId="26" borderId="0" xfId="0" applyFont="1" applyFill="1" applyAlignment="1">
      <alignment vertical="center" wrapText="1"/>
    </xf>
    <xf numFmtId="0" fontId="36" fillId="26" borderId="0" xfId="53" applyFont="1" applyFill="1" applyAlignment="1">
      <alignment horizontal="center" vertical="center"/>
    </xf>
    <xf numFmtId="0" fontId="43" fillId="26" borderId="0" xfId="0" applyFont="1" applyFill="1" applyAlignment="1">
      <alignment vertical="center"/>
    </xf>
    <xf numFmtId="0" fontId="46" fillId="26" borderId="0" xfId="53" applyFont="1" applyFill="1" applyAlignment="1">
      <alignment vertical="center"/>
    </xf>
    <xf numFmtId="0" fontId="43" fillId="26" borderId="0" xfId="53" applyFont="1" applyFill="1" applyAlignment="1">
      <alignment horizontal="center" vertical="center"/>
    </xf>
    <xf numFmtId="166" fontId="36" fillId="26" borderId="0" xfId="53" applyNumberFormat="1" applyFont="1" applyFill="1" applyAlignment="1">
      <alignment horizontal="center" vertical="center"/>
    </xf>
    <xf numFmtId="0" fontId="32" fillId="26" borderId="18" xfId="53" applyFont="1" applyFill="1" applyBorder="1" applyAlignment="1">
      <alignment horizontal="center" vertical="center" wrapText="1"/>
    </xf>
    <xf numFmtId="0" fontId="2" fillId="32" borderId="23" xfId="51" applyFont="1" applyFill="1" applyBorder="1" applyAlignment="1">
      <alignment horizontal="center" vertical="center"/>
    </xf>
    <xf numFmtId="0" fontId="2" fillId="32" borderId="12" xfId="52" applyFont="1" applyFill="1" applyBorder="1" applyAlignment="1">
      <alignment horizontal="center" vertical="center" wrapText="1"/>
    </xf>
    <xf numFmtId="0" fontId="2" fillId="32" borderId="12" xfId="51" applyFont="1" applyFill="1" applyBorder="1" applyAlignment="1">
      <alignment horizontal="center" vertical="center" wrapText="1"/>
    </xf>
    <xf numFmtId="10" fontId="32" fillId="28" borderId="12" xfId="55" quotePrefix="1" applyNumberFormat="1" applyFont="1" applyFill="1" applyBorder="1" applyAlignment="1" applyProtection="1">
      <alignment horizontal="right" vertical="center" indent="1"/>
    </xf>
    <xf numFmtId="0" fontId="36" fillId="26" borderId="0" xfId="51" applyFont="1" applyFill="1" applyAlignment="1">
      <alignment vertical="center"/>
    </xf>
    <xf numFmtId="0" fontId="2" fillId="24" borderId="13" xfId="51" applyFont="1" applyFill="1" applyBorder="1" applyAlignment="1">
      <alignment horizontal="left" vertical="center" indent="1"/>
    </xf>
    <xf numFmtId="0" fontId="1" fillId="28" borderId="18" xfId="0" applyFont="1" applyFill="1" applyBorder="1" applyAlignment="1">
      <alignment horizontal="left" vertical="center" wrapText="1"/>
    </xf>
    <xf numFmtId="0" fontId="1" fillId="28" borderId="19" xfId="0" applyFont="1" applyFill="1" applyBorder="1" applyAlignment="1">
      <alignment horizontal="left" vertical="center" wrapText="1"/>
    </xf>
    <xf numFmtId="0" fontId="1" fillId="28" borderId="0" xfId="0" applyFont="1" applyFill="1" applyAlignment="1">
      <alignment horizontal="left" vertical="center" wrapText="1"/>
    </xf>
    <xf numFmtId="0" fontId="1" fillId="28" borderId="27" xfId="0" applyFont="1" applyFill="1" applyBorder="1" applyAlignment="1">
      <alignment horizontal="left" vertical="center" wrapText="1"/>
    </xf>
    <xf numFmtId="0" fontId="1" fillId="28" borderId="24" xfId="0" applyFont="1" applyFill="1" applyBorder="1" applyAlignment="1">
      <alignment horizontal="left" vertical="center" wrapText="1"/>
    </xf>
    <xf numFmtId="0" fontId="1" fillId="28" borderId="26" xfId="0" applyFont="1" applyFill="1" applyBorder="1" applyAlignment="1">
      <alignment horizontal="left" vertical="center" wrapText="1"/>
    </xf>
    <xf numFmtId="0" fontId="2" fillId="32" borderId="12" xfId="0" applyFont="1" applyFill="1" applyBorder="1" applyAlignment="1">
      <alignment horizontal="left" vertical="center" wrapText="1" indent="1"/>
    </xf>
    <xf numFmtId="0" fontId="2" fillId="30" borderId="12" xfId="0" applyFont="1" applyFill="1" applyBorder="1" applyAlignment="1" applyProtection="1">
      <alignment horizontal="left" vertical="center" wrapText="1" indent="1"/>
      <protection locked="0"/>
    </xf>
    <xf numFmtId="0" fontId="2" fillId="35" borderId="23" xfId="0" applyFont="1" applyFill="1" applyBorder="1" applyAlignment="1">
      <alignment horizontal="center" vertical="center" wrapText="1"/>
    </xf>
    <xf numFmtId="0" fontId="2" fillId="35" borderId="15" xfId="0" applyFont="1" applyFill="1" applyBorder="1" applyAlignment="1">
      <alignment horizontal="center" vertical="center" wrapText="1"/>
    </xf>
    <xf numFmtId="0" fontId="2" fillId="32" borderId="16" xfId="51" applyFont="1" applyFill="1" applyBorder="1" applyAlignment="1">
      <alignment horizontal="left" vertical="center" wrapText="1" indent="1"/>
    </xf>
    <xf numFmtId="0" fontId="2" fillId="32" borderId="19" xfId="51" applyFont="1" applyFill="1" applyBorder="1" applyAlignment="1">
      <alignment horizontal="left" vertical="center" wrapText="1" indent="1"/>
    </xf>
    <xf numFmtId="0" fontId="2" fillId="32" borderId="17" xfId="51" applyFont="1" applyFill="1" applyBorder="1" applyAlignment="1">
      <alignment horizontal="left" vertical="center" wrapText="1" indent="1"/>
    </xf>
    <xf numFmtId="0" fontId="2" fillId="32" borderId="26" xfId="51" applyFont="1" applyFill="1" applyBorder="1" applyAlignment="1">
      <alignment horizontal="left" vertical="center" wrapText="1" indent="1"/>
    </xf>
    <xf numFmtId="0" fontId="2" fillId="30" borderId="23" xfId="0" applyFont="1" applyFill="1" applyBorder="1" applyAlignment="1" applyProtection="1">
      <alignment horizontal="left" vertical="center" wrapText="1" indent="1"/>
      <protection locked="0"/>
    </xf>
    <xf numFmtId="0" fontId="2" fillId="30" borderId="14" xfId="0" applyFont="1" applyFill="1" applyBorder="1" applyAlignment="1" applyProtection="1">
      <alignment horizontal="left" vertical="center" wrapText="1" indent="1"/>
      <protection locked="0"/>
    </xf>
    <xf numFmtId="0" fontId="2" fillId="30" borderId="15" xfId="0" applyFont="1" applyFill="1" applyBorder="1" applyAlignment="1" applyProtection="1">
      <alignment horizontal="left" vertical="center" wrapText="1" indent="1"/>
      <protection locked="0"/>
    </xf>
    <xf numFmtId="0" fontId="2" fillId="32" borderId="23" xfId="0" applyFont="1" applyFill="1" applyBorder="1" applyAlignment="1">
      <alignment horizontal="left" vertical="center" wrapText="1" indent="1"/>
    </xf>
    <xf numFmtId="0" fontId="2" fillId="32" borderId="15" xfId="0" applyFont="1" applyFill="1" applyBorder="1" applyAlignment="1">
      <alignment horizontal="left" vertical="center" wrapText="1" indent="1"/>
    </xf>
    <xf numFmtId="0" fontId="2" fillId="32" borderId="12" xfId="53" applyFont="1" applyFill="1" applyBorder="1" applyAlignment="1">
      <alignment horizontal="center" vertical="center" wrapText="1"/>
    </xf>
    <xf numFmtId="0" fontId="47" fillId="36" borderId="23" xfId="53" applyFont="1" applyFill="1" applyBorder="1" applyAlignment="1">
      <alignment horizontal="left" vertical="center" wrapText="1" indent="1"/>
    </xf>
    <xf numFmtId="0" fontId="47" fillId="36" borderId="14" xfId="53" applyFont="1" applyFill="1" applyBorder="1" applyAlignment="1">
      <alignment horizontal="left" vertical="center" wrapText="1" indent="1"/>
    </xf>
    <xf numFmtId="0" fontId="47" fillId="36" borderId="15" xfId="53" applyFont="1" applyFill="1" applyBorder="1" applyAlignment="1">
      <alignment horizontal="left" vertical="center" wrapText="1" indent="1"/>
    </xf>
    <xf numFmtId="0" fontId="2" fillId="32" borderId="23" xfId="51" applyFont="1" applyFill="1" applyBorder="1" applyAlignment="1">
      <alignment horizontal="center" vertical="center"/>
    </xf>
    <xf numFmtId="0" fontId="2" fillId="32" borderId="14" xfId="51" applyFont="1" applyFill="1" applyBorder="1" applyAlignment="1">
      <alignment horizontal="center" vertical="center"/>
    </xf>
    <xf numFmtId="0" fontId="2" fillId="28" borderId="23" xfId="51" applyFont="1" applyFill="1" applyBorder="1" applyAlignment="1">
      <alignment horizontal="left" vertical="center" wrapText="1" indent="1"/>
    </xf>
    <xf numFmtId="0" fontId="2" fillId="28" borderId="14" xfId="51" applyFont="1" applyFill="1" applyBorder="1" applyAlignment="1">
      <alignment horizontal="left" vertical="center" wrapText="1" indent="1"/>
    </xf>
    <xf numFmtId="0" fontId="2" fillId="32" borderId="12" xfId="52" applyFont="1" applyFill="1" applyBorder="1" applyAlignment="1">
      <alignment horizontal="center" vertical="center" wrapText="1"/>
    </xf>
    <xf numFmtId="0" fontId="2" fillId="28" borderId="15" xfId="51" applyFont="1" applyFill="1" applyBorder="1" applyAlignment="1">
      <alignment horizontal="left" vertical="center" wrapText="1" indent="1"/>
    </xf>
    <xf numFmtId="0" fontId="2" fillId="28" borderId="12" xfId="51" applyFont="1" applyFill="1" applyBorder="1" applyAlignment="1">
      <alignment horizontal="left" vertical="center" wrapText="1" indent="1"/>
    </xf>
    <xf numFmtId="0" fontId="2" fillId="32" borderId="12" xfId="51" applyFont="1" applyFill="1" applyBorder="1" applyAlignment="1">
      <alignment horizontal="center" vertical="center"/>
    </xf>
    <xf numFmtId="0" fontId="2" fillId="32" borderId="12" xfId="51" applyFont="1" applyFill="1" applyBorder="1" applyAlignment="1">
      <alignment horizontal="center" vertical="center" wrapText="1"/>
    </xf>
    <xf numFmtId="0" fontId="32" fillId="25" borderId="12" xfId="51" applyFont="1" applyFill="1" applyBorder="1" applyAlignment="1">
      <alignment horizontal="center" vertical="center" wrapText="1"/>
    </xf>
    <xf numFmtId="2" fontId="2" fillId="32" borderId="12" xfId="51" applyNumberFormat="1" applyFont="1" applyFill="1" applyBorder="1" applyAlignment="1">
      <alignment horizontal="center" vertical="center" wrapText="1"/>
    </xf>
    <xf numFmtId="0" fontId="2" fillId="32" borderId="13" xfId="51" applyFont="1" applyFill="1" applyBorder="1" applyAlignment="1">
      <alignment horizontal="center" vertical="center" wrapText="1"/>
    </xf>
    <xf numFmtId="0" fontId="2" fillId="32" borderId="21" xfId="51" applyFont="1" applyFill="1" applyBorder="1" applyAlignment="1">
      <alignment horizontal="center" vertical="center" wrapText="1"/>
    </xf>
    <xf numFmtId="2" fontId="2" fillId="32" borderId="12" xfId="51" applyNumberFormat="1" applyFont="1" applyFill="1" applyBorder="1" applyAlignment="1">
      <alignment horizontal="center" vertical="center"/>
    </xf>
    <xf numFmtId="0" fontId="2" fillId="32" borderId="13" xfId="51" applyFont="1" applyFill="1" applyBorder="1" applyAlignment="1">
      <alignment horizontal="center" vertical="center"/>
    </xf>
    <xf numFmtId="0" fontId="2" fillId="32" borderId="20" xfId="51" applyFont="1" applyFill="1" applyBorder="1" applyAlignment="1">
      <alignment horizontal="center" vertical="center"/>
    </xf>
    <xf numFmtId="0" fontId="2" fillId="32" borderId="21" xfId="51" applyFont="1" applyFill="1" applyBorder="1" applyAlignment="1">
      <alignment horizontal="center" vertical="center"/>
    </xf>
    <xf numFmtId="0" fontId="2" fillId="32" borderId="13" xfId="53" applyFont="1" applyFill="1" applyBorder="1" applyAlignment="1">
      <alignment horizontal="center" vertical="center" wrapText="1"/>
    </xf>
    <xf numFmtId="0" fontId="2" fillId="32" borderId="20" xfId="53" applyFont="1" applyFill="1" applyBorder="1" applyAlignment="1">
      <alignment horizontal="center" vertical="center" wrapText="1"/>
    </xf>
    <xf numFmtId="0" fontId="2" fillId="32" borderId="21" xfId="53" applyFont="1" applyFill="1" applyBorder="1" applyAlignment="1">
      <alignment horizontal="center" vertical="center" wrapText="1"/>
    </xf>
    <xf numFmtId="0" fontId="2" fillId="32" borderId="20" xfId="51" applyFont="1" applyFill="1" applyBorder="1" applyAlignment="1">
      <alignment horizontal="center" vertical="center" wrapText="1"/>
    </xf>
    <xf numFmtId="0" fontId="32" fillId="25" borderId="28" xfId="51" applyFont="1" applyFill="1" applyBorder="1" applyAlignment="1">
      <alignment horizontal="center" vertical="center"/>
    </xf>
    <xf numFmtId="0" fontId="32" fillId="25" borderId="29" xfId="51" applyFont="1" applyFill="1" applyBorder="1" applyAlignment="1">
      <alignment horizontal="center" vertical="center"/>
    </xf>
    <xf numFmtId="0" fontId="32" fillId="25" borderId="30" xfId="51" applyFont="1" applyFill="1" applyBorder="1" applyAlignment="1">
      <alignment horizontal="center" vertical="center"/>
    </xf>
    <xf numFmtId="0" fontId="32" fillId="25" borderId="23" xfId="51" applyFont="1" applyFill="1" applyBorder="1" applyAlignment="1">
      <alignment horizontal="center" vertical="center"/>
    </xf>
    <xf numFmtId="0" fontId="32" fillId="25" borderId="15" xfId="51" applyFont="1" applyFill="1" applyBorder="1" applyAlignment="1">
      <alignment horizontal="center" vertical="center"/>
    </xf>
    <xf numFmtId="0" fontId="33" fillId="0" borderId="18" xfId="51" applyFont="1" applyBorder="1" applyAlignment="1">
      <alignment horizontal="left" vertical="center" wrapText="1" indent="1"/>
    </xf>
    <xf numFmtId="0" fontId="32" fillId="0" borderId="22" xfId="51" applyFont="1" applyBorder="1" applyAlignment="1">
      <alignment horizontal="left" indent="1"/>
    </xf>
    <xf numFmtId="0" fontId="32" fillId="0" borderId="0" xfId="51" applyFont="1" applyAlignment="1">
      <alignment horizontal="left" indent="1"/>
    </xf>
    <xf numFmtId="0" fontId="32" fillId="0" borderId="27" xfId="51" applyFont="1" applyBorder="1" applyAlignment="1">
      <alignment horizontal="left" indent="1"/>
    </xf>
    <xf numFmtId="0" fontId="32" fillId="0" borderId="17" xfId="51" applyFont="1" applyBorder="1" applyAlignment="1">
      <alignment horizontal="left" vertical="center" indent="1"/>
    </xf>
    <xf numFmtId="0" fontId="32" fillId="0" borderId="24" xfId="51" applyFont="1" applyBorder="1" applyAlignment="1">
      <alignment horizontal="left" vertical="center" indent="1"/>
    </xf>
    <xf numFmtId="0" fontId="32" fillId="0" borderId="26" xfId="51" applyFont="1" applyBorder="1" applyAlignment="1">
      <alignment horizontal="left" vertical="center" indent="1"/>
    </xf>
    <xf numFmtId="0" fontId="40" fillId="32" borderId="23" xfId="51" applyFont="1" applyFill="1" applyBorder="1" applyAlignment="1">
      <alignment horizontal="center" vertical="center"/>
    </xf>
    <xf numFmtId="0" fontId="40" fillId="32" borderId="14" xfId="51" applyFont="1" applyFill="1" applyBorder="1" applyAlignment="1">
      <alignment horizontal="center" vertical="center"/>
    </xf>
    <xf numFmtId="0" fontId="40" fillId="32" borderId="15" xfId="51" applyFont="1" applyFill="1" applyBorder="1" applyAlignment="1">
      <alignment horizontal="center" vertical="center"/>
    </xf>
    <xf numFmtId="0" fontId="2" fillId="32" borderId="15" xfId="51" applyFont="1" applyFill="1" applyBorder="1" applyAlignment="1">
      <alignment horizontal="center" vertical="center"/>
    </xf>
    <xf numFmtId="0" fontId="32" fillId="25" borderId="20" xfId="51" applyFont="1" applyFill="1" applyBorder="1" applyAlignment="1">
      <alignment horizontal="center" vertical="center" wrapText="1"/>
    </xf>
    <xf numFmtId="0" fontId="32" fillId="25" borderId="21" xfId="51" applyFont="1" applyFill="1" applyBorder="1" applyAlignment="1">
      <alignment horizontal="center" vertical="center" wrapText="1"/>
    </xf>
    <xf numFmtId="0" fontId="32" fillId="25" borderId="20" xfId="51" applyFont="1" applyFill="1" applyBorder="1" applyAlignment="1">
      <alignment horizontal="left" vertical="center" wrapText="1" indent="1"/>
    </xf>
    <xf numFmtId="0" fontId="32" fillId="25" borderId="21" xfId="51" applyFont="1" applyFill="1" applyBorder="1" applyAlignment="1">
      <alignment horizontal="left" vertical="center" wrapText="1" indent="1"/>
    </xf>
    <xf numFmtId="0" fontId="32" fillId="25" borderId="16" xfId="51" applyFont="1" applyFill="1" applyBorder="1" applyAlignment="1">
      <alignment vertical="center" wrapText="1"/>
    </xf>
    <xf numFmtId="0" fontId="32" fillId="25" borderId="18" xfId="51" applyFont="1" applyFill="1" applyBorder="1" applyAlignment="1">
      <alignment vertical="center" wrapText="1"/>
    </xf>
    <xf numFmtId="0" fontId="32" fillId="25" borderId="19" xfId="51" applyFont="1" applyFill="1" applyBorder="1" applyAlignment="1">
      <alignment vertical="center" wrapText="1"/>
    </xf>
    <xf numFmtId="0" fontId="32" fillId="25" borderId="13" xfId="51" applyFont="1" applyFill="1" applyBorder="1" applyAlignment="1">
      <alignment horizontal="center" vertical="center"/>
    </xf>
    <xf numFmtId="0" fontId="32" fillId="25" borderId="20" xfId="51" applyFont="1" applyFill="1" applyBorder="1" applyAlignment="1">
      <alignment horizontal="center" vertical="center"/>
    </xf>
    <xf numFmtId="0" fontId="32" fillId="25" borderId="21" xfId="51" applyFont="1" applyFill="1" applyBorder="1" applyAlignment="1">
      <alignment horizontal="center" vertical="center"/>
    </xf>
    <xf numFmtId="0" fontId="32" fillId="25" borderId="22" xfId="51" applyFont="1" applyFill="1" applyBorder="1" applyAlignment="1">
      <alignment vertical="center" wrapText="1"/>
    </xf>
    <xf numFmtId="0" fontId="32" fillId="25" borderId="0" xfId="51" applyFont="1" applyFill="1" applyAlignment="1">
      <alignment vertical="center" wrapText="1"/>
    </xf>
    <xf numFmtId="0" fontId="32" fillId="25" borderId="27" xfId="51" applyFont="1" applyFill="1" applyBorder="1" applyAlignment="1">
      <alignment vertical="center" wrapText="1"/>
    </xf>
    <xf numFmtId="0" fontId="32" fillId="25" borderId="17" xfId="51" applyFont="1" applyFill="1" applyBorder="1" applyAlignment="1">
      <alignment vertical="center" wrapText="1"/>
    </xf>
    <xf numFmtId="0" fontId="32" fillId="25" borderId="24" xfId="51" applyFont="1" applyFill="1" applyBorder="1" applyAlignment="1">
      <alignment vertical="center" wrapText="1"/>
    </xf>
    <xf numFmtId="0" fontId="32" fillId="25" borderId="26" xfId="51" applyFont="1" applyFill="1" applyBorder="1" applyAlignment="1">
      <alignment vertical="center" wrapText="1"/>
    </xf>
    <xf numFmtId="0" fontId="32" fillId="25" borderId="13" xfId="51" applyFont="1" applyFill="1" applyBorder="1" applyAlignment="1">
      <alignment horizontal="center" vertical="center" wrapText="1"/>
    </xf>
    <xf numFmtId="0" fontId="32" fillId="25" borderId="13" xfId="51" applyFont="1" applyFill="1" applyBorder="1" applyAlignment="1">
      <alignment horizontal="left" vertical="center" wrapText="1" indent="1"/>
    </xf>
    <xf numFmtId="1" fontId="32" fillId="25" borderId="13" xfId="51" applyNumberFormat="1" applyFont="1" applyFill="1" applyBorder="1" applyAlignment="1">
      <alignment horizontal="center" vertical="center"/>
    </xf>
    <xf numFmtId="0" fontId="32" fillId="25" borderId="22" xfId="51" applyFont="1" applyFill="1" applyBorder="1" applyAlignment="1">
      <alignment horizontal="left" vertical="center" wrapText="1"/>
    </xf>
    <xf numFmtId="0" fontId="32" fillId="25" borderId="0" xfId="51" applyFont="1" applyFill="1" applyAlignment="1">
      <alignment horizontal="left" vertical="center" wrapText="1"/>
    </xf>
    <xf numFmtId="0" fontId="32" fillId="25" borderId="27" xfId="51" applyFont="1" applyFill="1" applyBorder="1" applyAlignment="1">
      <alignment horizontal="left" vertical="center" wrapText="1"/>
    </xf>
    <xf numFmtId="0" fontId="32" fillId="25" borderId="23" xfId="51" applyFont="1" applyFill="1" applyBorder="1" applyAlignment="1">
      <alignment horizontal="left" vertical="center" wrapText="1" indent="1"/>
    </xf>
    <xf numFmtId="0" fontId="32" fillId="25" borderId="16" xfId="51" applyFont="1" applyFill="1" applyBorder="1" applyAlignment="1">
      <alignment horizontal="left" vertical="center" wrapText="1" indent="1"/>
    </xf>
    <xf numFmtId="0" fontId="32" fillId="25" borderId="16" xfId="51" applyFont="1" applyFill="1" applyBorder="1" applyAlignment="1">
      <alignment vertical="center"/>
    </xf>
    <xf numFmtId="0" fontId="32" fillId="25" borderId="18" xfId="51" applyFont="1" applyFill="1" applyBorder="1" applyAlignment="1">
      <alignment vertical="center"/>
    </xf>
    <xf numFmtId="0" fontId="32" fillId="25" borderId="19" xfId="51" applyFont="1" applyFill="1" applyBorder="1" applyAlignment="1">
      <alignment vertical="center"/>
    </xf>
    <xf numFmtId="0" fontId="32" fillId="25" borderId="22" xfId="51" applyFont="1" applyFill="1" applyBorder="1" applyAlignment="1">
      <alignment vertical="center"/>
    </xf>
    <xf numFmtId="0" fontId="32" fillId="25" borderId="0" xfId="51" applyFont="1" applyFill="1" applyAlignment="1">
      <alignment vertical="center"/>
    </xf>
    <xf numFmtId="0" fontId="32" fillId="25" borderId="27" xfId="51" applyFont="1" applyFill="1" applyBorder="1" applyAlignment="1">
      <alignment vertical="center"/>
    </xf>
    <xf numFmtId="0" fontId="32" fillId="25" borderId="17" xfId="51" applyFont="1" applyFill="1" applyBorder="1" applyAlignment="1">
      <alignment vertical="center"/>
    </xf>
    <xf numFmtId="0" fontId="32" fillId="25" borderId="24" xfId="51" applyFont="1" applyFill="1" applyBorder="1" applyAlignment="1">
      <alignment vertical="center"/>
    </xf>
    <xf numFmtId="0" fontId="32" fillId="25" borderId="26" xfId="51" applyFont="1" applyFill="1" applyBorder="1" applyAlignment="1">
      <alignment vertical="center"/>
    </xf>
    <xf numFmtId="0" fontId="32" fillId="25" borderId="13" xfId="52" applyFont="1" applyFill="1" applyBorder="1" applyAlignment="1">
      <alignment horizontal="left" vertical="center" wrapText="1" indent="1"/>
    </xf>
    <xf numFmtId="0" fontId="32" fillId="25" borderId="20" xfId="52" applyFont="1" applyFill="1" applyBorder="1" applyAlignment="1">
      <alignment horizontal="left" vertical="center" wrapText="1" indent="1"/>
    </xf>
    <xf numFmtId="0" fontId="32" fillId="25" borderId="16" xfId="52" applyFont="1" applyFill="1" applyBorder="1" applyAlignment="1">
      <alignment vertical="center" wrapText="1"/>
    </xf>
    <xf numFmtId="0" fontId="32" fillId="25" borderId="18" xfId="52" applyFont="1" applyFill="1" applyBorder="1" applyAlignment="1">
      <alignment vertical="center" wrapText="1"/>
    </xf>
    <xf numFmtId="0" fontId="32" fillId="25" borderId="19" xfId="52" applyFont="1" applyFill="1" applyBorder="1" applyAlignment="1">
      <alignment vertical="center" wrapText="1"/>
    </xf>
    <xf numFmtId="0" fontId="32" fillId="25" borderId="16" xfId="51" applyFont="1" applyFill="1" applyBorder="1" applyAlignment="1">
      <alignment horizontal="center" vertical="center"/>
    </xf>
    <xf numFmtId="0" fontId="32" fillId="25" borderId="17" xfId="52" applyFont="1" applyFill="1" applyBorder="1" applyAlignment="1">
      <alignment vertical="center" wrapText="1"/>
    </xf>
    <xf numFmtId="0" fontId="32" fillId="25" borderId="24" xfId="52" applyFont="1" applyFill="1" applyBorder="1" applyAlignment="1">
      <alignment vertical="center" wrapText="1"/>
    </xf>
    <xf numFmtId="0" fontId="32" fillId="25" borderId="26" xfId="52" applyFont="1" applyFill="1" applyBorder="1" applyAlignment="1">
      <alignment vertical="center" wrapText="1"/>
    </xf>
    <xf numFmtId="0" fontId="32" fillId="25" borderId="20" xfId="51" applyFont="1" applyFill="1" applyBorder="1" applyAlignment="1">
      <alignment horizontal="left" vertical="center" indent="1"/>
    </xf>
    <xf numFmtId="0" fontId="32" fillId="25" borderId="21" xfId="51" applyFont="1" applyFill="1" applyBorder="1" applyAlignment="1">
      <alignment horizontal="left" vertical="center" indent="1"/>
    </xf>
    <xf numFmtId="0" fontId="2" fillId="25" borderId="23" xfId="51" applyFont="1" applyFill="1" applyBorder="1" applyAlignment="1">
      <alignment horizontal="left" vertical="center" wrapText="1" indent="1"/>
    </xf>
    <xf numFmtId="0" fontId="32" fillId="0" borderId="14" xfId="0" applyFont="1" applyBorder="1"/>
    <xf numFmtId="0" fontId="32" fillId="0" borderId="15" xfId="0" applyFont="1" applyBorder="1"/>
    <xf numFmtId="0" fontId="2" fillId="25" borderId="23" xfId="51" applyFont="1" applyFill="1" applyBorder="1" applyAlignment="1">
      <alignment horizontal="left" vertical="center" indent="1"/>
    </xf>
    <xf numFmtId="0" fontId="2" fillId="25" borderId="14" xfId="51" applyFont="1" applyFill="1" applyBorder="1" applyAlignment="1">
      <alignment horizontal="left" vertical="center" indent="1"/>
    </xf>
    <xf numFmtId="0" fontId="2" fillId="25" borderId="15" xfId="51" applyFont="1" applyFill="1" applyBorder="1" applyAlignment="1">
      <alignment horizontal="left" vertical="center" indent="1"/>
    </xf>
    <xf numFmtId="0" fontId="2" fillId="25" borderId="23" xfId="51" applyFont="1" applyFill="1" applyBorder="1" applyAlignment="1">
      <alignment horizontal="center" vertical="center"/>
    </xf>
    <xf numFmtId="0" fontId="2" fillId="25" borderId="15" xfId="51" applyFont="1" applyFill="1" applyBorder="1" applyAlignment="1">
      <alignment horizontal="center" vertical="center"/>
    </xf>
    <xf numFmtId="0" fontId="2" fillId="32" borderId="16" xfId="51" applyFont="1" applyFill="1" applyBorder="1" applyAlignment="1">
      <alignment horizontal="center" vertical="center"/>
    </xf>
    <xf numFmtId="0" fontId="2" fillId="32" borderId="19" xfId="51" applyFont="1" applyFill="1" applyBorder="1" applyAlignment="1">
      <alignment horizontal="center" vertical="center"/>
    </xf>
    <xf numFmtId="0" fontId="2" fillId="32" borderId="17" xfId="51" applyFont="1" applyFill="1" applyBorder="1" applyAlignment="1">
      <alignment horizontal="center" vertical="center"/>
    </xf>
    <xf numFmtId="0" fontId="2" fillId="32" borderId="26" xfId="51" applyFont="1" applyFill="1" applyBorder="1" applyAlignment="1">
      <alignment horizontal="center" vertical="center"/>
    </xf>
    <xf numFmtId="0" fontId="40" fillId="32" borderId="12" xfId="52" applyFont="1" applyFill="1" applyBorder="1" applyAlignment="1">
      <alignment horizontal="center" vertical="center"/>
    </xf>
    <xf numFmtId="0" fontId="32" fillId="0" borderId="16" xfId="51" applyFont="1" applyBorder="1" applyAlignment="1">
      <alignment horizontal="left" vertical="center" indent="1"/>
    </xf>
    <xf numFmtId="0" fontId="32" fillId="0" borderId="18" xfId="51" applyFont="1" applyBorder="1" applyAlignment="1">
      <alignment horizontal="left" vertical="center" indent="1"/>
    </xf>
    <xf numFmtId="0" fontId="32" fillId="0" borderId="19" xfId="51" applyFont="1" applyBorder="1" applyAlignment="1">
      <alignment horizontal="left" vertical="center" indent="1"/>
    </xf>
    <xf numFmtId="0" fontId="40" fillId="32" borderId="12" xfId="53" applyFont="1" applyFill="1" applyBorder="1" applyAlignment="1">
      <alignment horizontal="center" vertical="center"/>
    </xf>
    <xf numFmtId="0" fontId="32" fillId="0" borderId="0" xfId="53" applyFont="1" applyAlignment="1">
      <alignment horizontal="left" vertical="top" wrapText="1"/>
    </xf>
    <xf numFmtId="0" fontId="32" fillId="0" borderId="0" xfId="53" applyFont="1" applyAlignment="1">
      <alignment horizontal="left" vertical="top"/>
    </xf>
    <xf numFmtId="0" fontId="32" fillId="0" borderId="0" xfId="53" applyFont="1" applyAlignment="1">
      <alignment horizontal="left" vertical="center"/>
    </xf>
    <xf numFmtId="0" fontId="32" fillId="0" borderId="0" xfId="53" applyFont="1" applyAlignment="1">
      <alignment horizontal="left" vertical="center" wrapText="1"/>
    </xf>
    <xf numFmtId="0" fontId="32" fillId="34" borderId="12" xfId="53" applyFont="1" applyFill="1" applyBorder="1" applyAlignment="1">
      <alignment horizontal="center" vertical="center" wrapText="1"/>
    </xf>
    <xf numFmtId="0" fontId="32" fillId="28" borderId="0" xfId="0" applyFont="1" applyFill="1" applyAlignment="1">
      <alignment horizontal="left" wrapText="1"/>
    </xf>
    <xf numFmtId="0" fontId="45" fillId="28" borderId="0" xfId="70" applyFont="1" applyFill="1" applyAlignment="1">
      <alignment horizontal="left"/>
    </xf>
    <xf numFmtId="0" fontId="32" fillId="28" borderId="0" xfId="0" applyFont="1" applyFill="1" applyAlignment="1">
      <alignment horizontal="left"/>
    </xf>
    <xf numFmtId="0" fontId="32" fillId="28" borderId="0" xfId="0" applyFont="1" applyFill="1" applyAlignment="1">
      <alignment horizontal="left" vertical="center" wrapText="1"/>
    </xf>
    <xf numFmtId="0" fontId="32" fillId="28" borderId="23" xfId="0" applyFont="1" applyFill="1" applyBorder="1" applyAlignment="1">
      <alignment horizontal="left" vertical="center"/>
    </xf>
    <xf numFmtId="0" fontId="32" fillId="28" borderId="15" xfId="0" applyFont="1" applyFill="1" applyBorder="1" applyAlignment="1">
      <alignment horizontal="left" vertical="center"/>
    </xf>
    <xf numFmtId="0" fontId="32" fillId="28" borderId="23" xfId="0" applyFont="1" applyFill="1" applyBorder="1" applyAlignment="1">
      <alignment horizontal="left" vertical="center" wrapText="1"/>
    </xf>
  </cellXfs>
  <cellStyles count="71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Comma0" xfId="25" xr:uid="{00000000-0005-0000-0000-000018000000}"/>
    <cellStyle name="Dane wejściowe" xfId="26" builtinId="20" customBuiltin="1"/>
    <cellStyle name="Dane wyjściowe" xfId="27" builtinId="21" customBuiltin="1"/>
    <cellStyle name="Date" xfId="28" xr:uid="{00000000-0005-0000-0000-00001B000000}"/>
    <cellStyle name="Dobry" xfId="29" builtinId="26" customBuiltin="1"/>
    <cellStyle name="Dziesiętny 2" xfId="30" xr:uid="{00000000-0005-0000-0000-00001D000000}"/>
    <cellStyle name="Fixed" xfId="31" xr:uid="{00000000-0005-0000-0000-00001E000000}"/>
    <cellStyle name="HEADING1" xfId="32" xr:uid="{00000000-0005-0000-0000-00001F000000}"/>
    <cellStyle name="HEADING2" xfId="33" xr:uid="{00000000-0005-0000-0000-000020000000}"/>
    <cellStyle name="Hiperłącze" xfId="70" builtinId="8"/>
    <cellStyle name="Iau?iue_Ecnn1 (2)" xfId="34" xr:uid="{00000000-0005-0000-0000-000021000000}"/>
    <cellStyle name="Komórka połączona" xfId="35" builtinId="24" customBuiltin="1"/>
    <cellStyle name="Komórka zaznaczona" xfId="36" builtinId="23" customBuiltin="1"/>
    <cellStyle name="Nagłówek 1" xfId="37" builtinId="16" customBuiltin="1"/>
    <cellStyle name="Nagłówek 2" xfId="38" builtinId="17" customBuiltin="1"/>
    <cellStyle name="Nagłówek 3" xfId="39" builtinId="18" customBuiltin="1"/>
    <cellStyle name="Nagłówek 4" xfId="40" builtinId="19" customBuiltin="1"/>
    <cellStyle name="Neutralny" xfId="41" builtinId="28" customBuiltin="1"/>
    <cellStyle name="Normal - Styl1" xfId="42" xr:uid="{00000000-0005-0000-0000-000029000000}"/>
    <cellStyle name="Normal - Styl2" xfId="43" xr:uid="{00000000-0005-0000-0000-00002A000000}"/>
    <cellStyle name="Normal - Styl3" xfId="44" xr:uid="{00000000-0005-0000-0000-00002B000000}"/>
    <cellStyle name="Normal - Styl4" xfId="45" xr:uid="{00000000-0005-0000-0000-00002C000000}"/>
    <cellStyle name="Normal - Styl5" xfId="46" xr:uid="{00000000-0005-0000-0000-00002D000000}"/>
    <cellStyle name="Normal - Styl6" xfId="47" xr:uid="{00000000-0005-0000-0000-00002E000000}"/>
    <cellStyle name="Normal - Styl7" xfId="48" xr:uid="{00000000-0005-0000-0000-00002F000000}"/>
    <cellStyle name="Normal_~1065031" xfId="49" xr:uid="{00000000-0005-0000-0000-000030000000}"/>
    <cellStyle name="Normalny" xfId="0" builtinId="0"/>
    <cellStyle name="Normalny 2" xfId="50" xr:uid="{00000000-0005-0000-0000-000032000000}"/>
    <cellStyle name="Normalny_Analiza ex_post" xfId="51" xr:uid="{00000000-0005-0000-0000-000033000000}"/>
    <cellStyle name="Normalny_Karta oceny 06" xfId="52" xr:uid="{00000000-0005-0000-0000-000034000000}"/>
    <cellStyle name="Normalny_Kredyty dopłatowe_Tabele do wniosku" xfId="53" xr:uid="{00000000-0005-0000-0000-000035000000}"/>
    <cellStyle name="Obliczenia" xfId="54" builtinId="22" customBuiltin="1"/>
    <cellStyle name="Procentowy" xfId="55" builtinId="5"/>
    <cellStyle name="Procentowy 2" xfId="56" xr:uid="{00000000-0005-0000-0000-000038000000}"/>
    <cellStyle name="STATE" xfId="57" xr:uid="{00000000-0005-0000-0000-000039000000}"/>
    <cellStyle name="Suma" xfId="58" builtinId="25" customBuiltin="1"/>
    <cellStyle name="Tekst objaśnienia" xfId="59" builtinId="53" customBuiltin="1"/>
    <cellStyle name="Tekst ostrzeżenia" xfId="60" builtinId="11" customBuiltin="1"/>
    <cellStyle name="Total" xfId="61" xr:uid="{00000000-0005-0000-0000-00003D000000}"/>
    <cellStyle name="Tytuł" xfId="62" builtinId="15" customBuiltin="1"/>
    <cellStyle name="Uwaga" xfId="63" builtinId="10" customBuiltin="1"/>
    <cellStyle name="Zły" xfId="64" builtinId="27" customBuiltin="1"/>
    <cellStyle name="Денежный [0]_11" xfId="65" xr:uid="{00000000-0005-0000-0000-000041000000}"/>
    <cellStyle name="Денежный_11" xfId="66" xr:uid="{00000000-0005-0000-0000-000042000000}"/>
    <cellStyle name="Обычный_04.OSS" xfId="67" xr:uid="{00000000-0005-0000-0000-000043000000}"/>
    <cellStyle name="Финансовый [0]_11" xfId="68" xr:uid="{00000000-0005-0000-0000-000044000000}"/>
    <cellStyle name="Финансовый_11" xfId="69" xr:uid="{00000000-0005-0000-0000-000045000000}"/>
  </cellStyles>
  <dxfs count="6">
    <dxf>
      <fill>
        <patternFill>
          <bgColor indexed="1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52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mruColors>
      <color rgb="FFFFFFCC"/>
      <color rgb="FFCCFFCC"/>
      <color rgb="FFFFFF99"/>
      <color rgb="FFC0C0C0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hyperlink" Target="https://uokik.gov.pl/wyjasnienia-wzory-oraz-pomocne-pliki" TargetMode="External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51</xdr:row>
      <xdr:rowOff>123826</xdr:rowOff>
    </xdr:from>
    <xdr:to>
      <xdr:col>1</xdr:col>
      <xdr:colOff>3371850</xdr:colOff>
      <xdr:row>51</xdr:row>
      <xdr:rowOff>454796</xdr:rowOff>
    </xdr:to>
    <xdr:pic>
      <xdr:nvPicPr>
        <xdr:cNvPr id="12" name="Obraz 11" descr="Jest to wzór do obliczenia stopy WACC">
          <a:extLst>
            <a:ext uri="{FF2B5EF4-FFF2-40B4-BE49-F238E27FC236}">
              <a16:creationId xmlns:a16="http://schemas.microsoft.com/office/drawing/2014/main" id="{8519AACF-B8A4-46BC-8B4F-E138C14E6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4191001"/>
          <a:ext cx="3228975" cy="330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276225</xdr:colOff>
      <xdr:row>53</xdr:row>
      <xdr:rowOff>66675</xdr:rowOff>
    </xdr:from>
    <xdr:to>
      <xdr:col>1</xdr:col>
      <xdr:colOff>1047750</xdr:colOff>
      <xdr:row>53</xdr:row>
      <xdr:rowOff>266364</xdr:rowOff>
    </xdr:to>
    <xdr:pic>
      <xdr:nvPicPr>
        <xdr:cNvPr id="13" name="Obraz 12" descr="Wzór do obliczania kosztu kapitału obcego">
          <a:extLst>
            <a:ext uri="{FF2B5EF4-FFF2-40B4-BE49-F238E27FC236}">
              <a16:creationId xmlns:a16="http://schemas.microsoft.com/office/drawing/2014/main" id="{9AD88EDE-262E-404F-926E-9CF4BCB7A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6048375"/>
          <a:ext cx="771525" cy="1996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238125</xdr:colOff>
      <xdr:row>55</xdr:row>
      <xdr:rowOff>95250</xdr:rowOff>
    </xdr:from>
    <xdr:to>
      <xdr:col>1</xdr:col>
      <xdr:colOff>1362075</xdr:colOff>
      <xdr:row>55</xdr:row>
      <xdr:rowOff>278904</xdr:rowOff>
    </xdr:to>
    <xdr:pic>
      <xdr:nvPicPr>
        <xdr:cNvPr id="14" name="Obraz 13" descr="Wzór do obliczania kosztu kapitału własnego">
          <a:extLst>
            <a:ext uri="{FF2B5EF4-FFF2-40B4-BE49-F238E27FC236}">
              <a16:creationId xmlns:a16="http://schemas.microsoft.com/office/drawing/2014/main" id="{7CA1C18A-473E-4BFD-BA62-14B7474FC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7105650"/>
          <a:ext cx="1123950" cy="183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257176</xdr:colOff>
      <xdr:row>57</xdr:row>
      <xdr:rowOff>114300</xdr:rowOff>
    </xdr:from>
    <xdr:to>
      <xdr:col>1</xdr:col>
      <xdr:colOff>2238375</xdr:colOff>
      <xdr:row>58</xdr:row>
      <xdr:rowOff>8592</xdr:rowOff>
    </xdr:to>
    <xdr:pic>
      <xdr:nvPicPr>
        <xdr:cNvPr id="15" name="Obraz 14" descr="Wzór do obliczania miary ryzyka zaangażowania kapitału (equity beta)">
          <a:extLst>
            <a:ext uri="{FF2B5EF4-FFF2-40B4-BE49-F238E27FC236}">
              <a16:creationId xmlns:a16="http://schemas.microsoft.com/office/drawing/2014/main" id="{A242DBC8-5A0C-4070-90D0-8F25B7DE2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6" y="8172450"/>
          <a:ext cx="1981199" cy="3610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257175</xdr:colOff>
      <xdr:row>59</xdr:row>
      <xdr:rowOff>238125</xdr:rowOff>
    </xdr:from>
    <xdr:to>
      <xdr:col>1</xdr:col>
      <xdr:colOff>3122839</xdr:colOff>
      <xdr:row>60</xdr:row>
      <xdr:rowOff>352425</xdr:rowOff>
    </xdr:to>
    <xdr:pic>
      <xdr:nvPicPr>
        <xdr:cNvPr id="16" name="Obraz 15" descr="Wzór do obliczania realnej stopy WACC">
          <a:extLst>
            <a:ext uri="{FF2B5EF4-FFF2-40B4-BE49-F238E27FC236}">
              <a16:creationId xmlns:a16="http://schemas.microsoft.com/office/drawing/2014/main" id="{BE5C6BDB-6A75-4E90-B472-8363D7AF1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9925050"/>
          <a:ext cx="2865664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114300</xdr:colOff>
      <xdr:row>4</xdr:row>
      <xdr:rowOff>152400</xdr:rowOff>
    </xdr:from>
    <xdr:to>
      <xdr:col>6</xdr:col>
      <xdr:colOff>1704975</xdr:colOff>
      <xdr:row>6</xdr:row>
      <xdr:rowOff>76200</xdr:rowOff>
    </xdr:to>
    <xdr:sp macro="" textlink="">
      <xdr:nvSpPr>
        <xdr:cNvPr id="2" name="pole tekstowe 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DB76E7D-C1BF-B037-B29A-7A18B49D3267}"/>
            </a:ext>
          </a:extLst>
        </xdr:cNvPr>
        <xdr:cNvSpPr txBox="1"/>
      </xdr:nvSpPr>
      <xdr:spPr>
        <a:xfrm>
          <a:off x="6638925" y="590550"/>
          <a:ext cx="3305175" cy="4286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000" kern="1200">
              <a:latin typeface="Times New Roman" panose="02020603050405020304" pitchFamily="18" charset="0"/>
              <a:cs typeface="Times New Roman" panose="02020603050405020304" pitchFamily="18" charset="0"/>
            </a:rPr>
            <a:t>Odpowiada wartości stopy bazowej publikowanej na stronie</a:t>
          </a:r>
        </a:p>
        <a:p>
          <a:r>
            <a:rPr lang="pl-PL" sz="1000" u="sng" kern="1200">
              <a:solidFill>
                <a:schemeClr val="tx2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https://uokik.gov.pl/wyjasnienia-wzory-oraz-pomocne-pliki</a:t>
          </a:r>
        </a:p>
      </xdr:txBody>
    </xdr:sp>
    <xdr:clientData/>
  </xdr:twoCellAnchor>
  <xdr:twoCellAnchor>
    <xdr:from>
      <xdr:col>4</xdr:col>
      <xdr:colOff>152400</xdr:colOff>
      <xdr:row>13</xdr:row>
      <xdr:rowOff>66675</xdr:rowOff>
    </xdr:from>
    <xdr:to>
      <xdr:col>6</xdr:col>
      <xdr:colOff>809625</xdr:colOff>
      <xdr:row>14</xdr:row>
      <xdr:rowOff>142875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4568FDEB-F6F2-777F-B100-7ACA480F33F4}"/>
            </a:ext>
          </a:extLst>
        </xdr:cNvPr>
        <xdr:cNvSpPr txBox="1"/>
      </xdr:nvSpPr>
      <xdr:spPr>
        <a:xfrm>
          <a:off x="6677025" y="2343150"/>
          <a:ext cx="2371725" cy="2667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000" kern="1200">
              <a:latin typeface="Times New Roman" panose="02020603050405020304" pitchFamily="18" charset="0"/>
              <a:cs typeface="Times New Roman" panose="02020603050405020304" pitchFamily="18" charset="0"/>
            </a:rPr>
            <a:t>Wartość wyliczana w arkuszu "inflacja"</a:t>
          </a:r>
        </a:p>
      </xdr:txBody>
    </xdr:sp>
    <xdr:clientData/>
  </xdr:twoCellAnchor>
  <xdr:twoCellAnchor>
    <xdr:from>
      <xdr:col>4</xdr:col>
      <xdr:colOff>19050</xdr:colOff>
      <xdr:row>6</xdr:row>
      <xdr:rowOff>76200</xdr:rowOff>
    </xdr:from>
    <xdr:to>
      <xdr:col>4</xdr:col>
      <xdr:colOff>581025</xdr:colOff>
      <xdr:row>8</xdr:row>
      <xdr:rowOff>57150</xdr:rowOff>
    </xdr:to>
    <xdr:cxnSp macro="">
      <xdr:nvCxnSpPr>
        <xdr:cNvPr id="5" name="Łącznik prosty ze strzałką 4">
          <a:extLst>
            <a:ext uri="{FF2B5EF4-FFF2-40B4-BE49-F238E27FC236}">
              <a16:creationId xmlns:a16="http://schemas.microsoft.com/office/drawing/2014/main" id="{9F24FB00-1ADA-09F9-EA61-ED9D444989A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 bwMode="auto">
        <a:xfrm flipH="1">
          <a:off x="6543675" y="1019175"/>
          <a:ext cx="561975" cy="361950"/>
        </a:xfrm>
        <a:prstGeom prst="straightConnector1">
          <a:avLst/>
        </a:prstGeom>
        <a:ln w="6350">
          <a:headEnd type="none" w="med" len="med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14</xdr:row>
      <xdr:rowOff>152400</xdr:rowOff>
    </xdr:from>
    <xdr:to>
      <xdr:col>4</xdr:col>
      <xdr:colOff>514350</xdr:colOff>
      <xdr:row>16</xdr:row>
      <xdr:rowOff>66675</xdr:rowOff>
    </xdr:to>
    <xdr:cxnSp macro="">
      <xdr:nvCxnSpPr>
        <xdr:cNvPr id="7" name="Łącznik prosty ze strzałką 6">
          <a:extLst>
            <a:ext uri="{FF2B5EF4-FFF2-40B4-BE49-F238E27FC236}">
              <a16:creationId xmlns:a16="http://schemas.microsoft.com/office/drawing/2014/main" id="{26A3711D-E64E-1E3A-3956-7386740C1F6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 bwMode="auto">
        <a:xfrm flipH="1">
          <a:off x="6534150" y="2619375"/>
          <a:ext cx="504825" cy="295275"/>
        </a:xfrm>
        <a:prstGeom prst="straightConnector1">
          <a:avLst/>
        </a:prstGeom>
        <a:ln w="6350">
          <a:headEnd type="none" w="med" len="med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v.pl/web/finanse/wytyczne-sytuacja-makroekonomiczn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Q27"/>
  <sheetViews>
    <sheetView zoomScaleNormal="100" workbookViewId="0">
      <selection activeCell="Q2" sqref="Q2"/>
    </sheetView>
  </sheetViews>
  <sheetFormatPr defaultColWidth="0" defaultRowHeight="12.75" zeroHeight="1"/>
  <cols>
    <col min="1" max="1" width="2.42578125" style="4" customWidth="1"/>
    <col min="2" max="17" width="9.140625" style="4" customWidth="1"/>
    <col min="18" max="16384" width="9.140625" style="4" hidden="1"/>
  </cols>
  <sheetData>
    <row r="1" spans="1:16" ht="12.75" customHeight="1">
      <c r="A1" s="5"/>
      <c r="B1" s="198" t="s">
        <v>324</v>
      </c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9"/>
    </row>
    <row r="2" spans="1:16">
      <c r="A2" s="6"/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1"/>
    </row>
    <row r="3" spans="1:16">
      <c r="A3" s="6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1"/>
    </row>
    <row r="4" spans="1:16">
      <c r="A4" s="6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1"/>
    </row>
    <row r="5" spans="1:16">
      <c r="A5" s="6"/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1"/>
    </row>
    <row r="6" spans="1:16">
      <c r="A6" s="6"/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1"/>
    </row>
    <row r="7" spans="1:16">
      <c r="A7" s="6"/>
      <c r="B7" s="200"/>
      <c r="C7" s="200"/>
      <c r="D7" s="200"/>
      <c r="E7" s="200"/>
      <c r="F7" s="200"/>
      <c r="G7" s="200"/>
      <c r="H7" s="200"/>
      <c r="I7" s="200"/>
      <c r="J7" s="200"/>
      <c r="K7" s="200"/>
      <c r="L7" s="200"/>
      <c r="M7" s="200"/>
      <c r="N7" s="200"/>
      <c r="O7" s="200"/>
      <c r="P7" s="201"/>
    </row>
    <row r="8" spans="1:16">
      <c r="A8" s="6"/>
      <c r="B8" s="200"/>
      <c r="C8" s="200"/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1"/>
    </row>
    <row r="9" spans="1:16">
      <c r="A9" s="6"/>
      <c r="B9" s="200"/>
      <c r="C9" s="200"/>
      <c r="D9" s="200"/>
      <c r="E9" s="200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1"/>
    </row>
    <row r="10" spans="1:16">
      <c r="A10" s="6"/>
      <c r="B10" s="200"/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 s="201"/>
    </row>
    <row r="11" spans="1:16">
      <c r="A11" s="6"/>
      <c r="B11" s="200"/>
      <c r="C11" s="200"/>
      <c r="D11" s="200"/>
      <c r="E11" s="200"/>
      <c r="F11" s="200"/>
      <c r="G11" s="200"/>
      <c r="H11" s="200"/>
      <c r="I11" s="200"/>
      <c r="J11" s="200"/>
      <c r="K11" s="200"/>
      <c r="L11" s="200"/>
      <c r="M11" s="200"/>
      <c r="N11" s="200"/>
      <c r="O11" s="200"/>
      <c r="P11" s="201"/>
    </row>
    <row r="12" spans="1:16">
      <c r="A12" s="6"/>
      <c r="B12" s="200"/>
      <c r="C12" s="200"/>
      <c r="D12" s="200"/>
      <c r="E12" s="200"/>
      <c r="F12" s="200"/>
      <c r="G12" s="200"/>
      <c r="H12" s="200"/>
      <c r="I12" s="200"/>
      <c r="J12" s="200"/>
      <c r="K12" s="200"/>
      <c r="L12" s="200"/>
      <c r="M12" s="200"/>
      <c r="N12" s="200"/>
      <c r="O12" s="200"/>
      <c r="P12" s="201"/>
    </row>
    <row r="13" spans="1:16">
      <c r="A13" s="6"/>
      <c r="B13" s="200"/>
      <c r="C13" s="200"/>
      <c r="D13" s="200"/>
      <c r="E13" s="200"/>
      <c r="F13" s="200"/>
      <c r="G13" s="200"/>
      <c r="H13" s="200"/>
      <c r="I13" s="200"/>
      <c r="J13" s="200"/>
      <c r="K13" s="200"/>
      <c r="L13" s="200"/>
      <c r="M13" s="200"/>
      <c r="N13" s="200"/>
      <c r="O13" s="200"/>
      <c r="P13" s="201"/>
    </row>
    <row r="14" spans="1:16">
      <c r="A14" s="6"/>
      <c r="B14" s="200"/>
      <c r="C14" s="200"/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201"/>
    </row>
    <row r="15" spans="1:16">
      <c r="A15" s="6"/>
      <c r="B15" s="200"/>
      <c r="C15" s="200"/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0"/>
      <c r="P15" s="201"/>
    </row>
    <row r="16" spans="1:16">
      <c r="A16" s="6"/>
      <c r="B16" s="200"/>
      <c r="C16" s="200"/>
      <c r="D16" s="200"/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1"/>
    </row>
    <row r="17" spans="1:16">
      <c r="A17" s="6"/>
      <c r="B17" s="200"/>
      <c r="C17" s="200"/>
      <c r="D17" s="200"/>
      <c r="E17" s="200"/>
      <c r="F17" s="200"/>
      <c r="G17" s="200"/>
      <c r="H17" s="200"/>
      <c r="I17" s="200"/>
      <c r="J17" s="200"/>
      <c r="K17" s="200"/>
      <c r="L17" s="200"/>
      <c r="M17" s="200"/>
      <c r="N17" s="200"/>
      <c r="O17" s="200"/>
      <c r="P17" s="201"/>
    </row>
    <row r="18" spans="1:16">
      <c r="A18" s="6"/>
      <c r="B18" s="200"/>
      <c r="C18" s="200"/>
      <c r="D18" s="200"/>
      <c r="E18" s="200"/>
      <c r="F18" s="200"/>
      <c r="G18" s="200"/>
      <c r="H18" s="200"/>
      <c r="I18" s="200"/>
      <c r="J18" s="200"/>
      <c r="K18" s="200"/>
      <c r="L18" s="200"/>
      <c r="M18" s="200"/>
      <c r="N18" s="200"/>
      <c r="O18" s="200"/>
      <c r="P18" s="201"/>
    </row>
    <row r="19" spans="1:16">
      <c r="A19" s="6"/>
      <c r="B19" s="200"/>
      <c r="C19" s="200"/>
      <c r="D19" s="200"/>
      <c r="E19" s="200"/>
      <c r="F19" s="200"/>
      <c r="G19" s="200"/>
      <c r="H19" s="200"/>
      <c r="I19" s="200"/>
      <c r="J19" s="200"/>
      <c r="K19" s="200"/>
      <c r="L19" s="200"/>
      <c r="M19" s="200"/>
      <c r="N19" s="200"/>
      <c r="O19" s="200"/>
      <c r="P19" s="201"/>
    </row>
    <row r="20" spans="1:16">
      <c r="A20" s="6"/>
      <c r="B20" s="200"/>
      <c r="C20" s="200"/>
      <c r="D20" s="200"/>
      <c r="E20" s="200"/>
      <c r="F20" s="200"/>
      <c r="G20" s="200"/>
      <c r="H20" s="200"/>
      <c r="I20" s="200"/>
      <c r="J20" s="200"/>
      <c r="K20" s="200"/>
      <c r="L20" s="200"/>
      <c r="M20" s="200"/>
      <c r="N20" s="200"/>
      <c r="O20" s="200"/>
      <c r="P20" s="201"/>
    </row>
    <row r="21" spans="1:16">
      <c r="A21" s="6"/>
      <c r="B21" s="200"/>
      <c r="C21" s="200"/>
      <c r="D21" s="200"/>
      <c r="E21" s="200"/>
      <c r="F21" s="200"/>
      <c r="G21" s="200"/>
      <c r="H21" s="200"/>
      <c r="I21" s="200"/>
      <c r="J21" s="200"/>
      <c r="K21" s="200"/>
      <c r="L21" s="200"/>
      <c r="M21" s="200"/>
      <c r="N21" s="200"/>
      <c r="O21" s="200"/>
      <c r="P21" s="201"/>
    </row>
    <row r="22" spans="1:16">
      <c r="A22" s="6"/>
      <c r="B22" s="200"/>
      <c r="C22" s="200"/>
      <c r="D22" s="200"/>
      <c r="E22" s="200"/>
      <c r="F22" s="200"/>
      <c r="G22" s="200"/>
      <c r="H22" s="200"/>
      <c r="I22" s="200"/>
      <c r="J22" s="200"/>
      <c r="K22" s="200"/>
      <c r="L22" s="200"/>
      <c r="M22" s="200"/>
      <c r="N22" s="200"/>
      <c r="O22" s="200"/>
      <c r="P22" s="201"/>
    </row>
    <row r="23" spans="1:16">
      <c r="A23" s="6"/>
      <c r="B23" s="200"/>
      <c r="C23" s="200"/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0"/>
      <c r="O23" s="200"/>
      <c r="P23" s="201"/>
    </row>
    <row r="24" spans="1:16">
      <c r="A24" s="6"/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1"/>
    </row>
    <row r="25" spans="1:16">
      <c r="A25" s="6"/>
      <c r="B25" s="200"/>
      <c r="C25" s="200"/>
      <c r="D25" s="200"/>
      <c r="E25" s="200"/>
      <c r="F25" s="200"/>
      <c r="G25" s="200"/>
      <c r="H25" s="200"/>
      <c r="I25" s="200"/>
      <c r="J25" s="200"/>
      <c r="K25" s="200"/>
      <c r="L25" s="200"/>
      <c r="M25" s="200"/>
      <c r="N25" s="200"/>
      <c r="O25" s="200"/>
      <c r="P25" s="201"/>
    </row>
    <row r="26" spans="1:16" ht="70.5" customHeight="1">
      <c r="A26" s="7"/>
      <c r="B26" s="202"/>
      <c r="C26" s="202"/>
      <c r="D26" s="202"/>
      <c r="E26" s="202"/>
      <c r="F26" s="202"/>
      <c r="G26" s="202"/>
      <c r="H26" s="202"/>
      <c r="I26" s="202"/>
      <c r="J26" s="202"/>
      <c r="K26" s="202"/>
      <c r="L26" s="202"/>
      <c r="M26" s="202"/>
      <c r="N26" s="202"/>
      <c r="O26" s="202"/>
      <c r="P26" s="203"/>
    </row>
    <row r="27" spans="1:16"/>
  </sheetData>
  <sheetProtection algorithmName="SHA-512" hashValue="TEv3pyoXJ1kVvCkBWFIyN5QRZHlVaMZD/ZDu+QZcEeIy6soKHY5DTNshJInDfWhjYfyMmXi40s5tXTL6QY+DFQ==" saltValue="sIuGW4J+fZ1/X308PRE1PQ==" spinCount="100000" sheet="1" objects="1" scenarios="1" selectLockedCells="1" selectUnlockedCells="1"/>
  <mergeCells count="1">
    <mergeCell ref="B1:P26"/>
  </mergeCells>
  <pageMargins left="0.70866141732283472" right="0.70866141732283472" top="0.74803149606299213" bottom="0.74803149606299213" header="0.31496062992125984" footer="0.31496062992125984"/>
  <pageSetup paperSize="9" scale="63" fitToHeight="0" orientation="portrait" r:id="rId1"/>
  <headerFooter>
    <oddHeader>&amp;L&amp;G&amp;RWniosek o dofinansowanie 
dla Programu Fundusze Europejskie na Infrastrukturę, Klimat, Środowisko 2021-2027 
Załącznik 19 - Kalkulator WACC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 codeName="Arkusz10">
    <pageSetUpPr fitToPage="1"/>
  </sheetPr>
  <dimension ref="A1:V79"/>
  <sheetViews>
    <sheetView showGridLines="0" tabSelected="1" zoomScale="85" zoomScaleNormal="85" zoomScaleSheetLayoutView="100" workbookViewId="0">
      <selection activeCell="G5" sqref="G5"/>
    </sheetView>
  </sheetViews>
  <sheetFormatPr defaultColWidth="0" defaultRowHeight="12.75" zeroHeight="1"/>
  <cols>
    <col min="1" max="1" width="5.7109375" style="148" customWidth="1"/>
    <col min="2" max="2" width="4.7109375" style="65" customWidth="1"/>
    <col min="3" max="3" width="70.7109375" style="66" customWidth="1"/>
    <col min="4" max="4" width="18.7109375" style="66" customWidth="1"/>
    <col min="5" max="5" width="20.85546875" style="67" customWidth="1"/>
    <col min="6" max="7" width="18.7109375" style="67" customWidth="1"/>
    <col min="8" max="8" width="5.7109375" style="148" customWidth="1"/>
    <col min="9" max="9" width="9.140625" style="67" hidden="1" customWidth="1"/>
    <col min="10" max="10" width="9.5703125" style="67" hidden="1" customWidth="1"/>
    <col min="11" max="11" width="9.140625" style="67" hidden="1" customWidth="1"/>
    <col min="12" max="22" width="0" style="67" hidden="1" customWidth="1"/>
    <col min="23" max="16384" width="9.140625" style="67" hidden="1"/>
  </cols>
  <sheetData>
    <row r="1" spans="1:21" ht="20.100000000000001" customHeight="1"/>
    <row r="2" spans="1:21" s="53" customFormat="1" ht="24.95" customHeight="1">
      <c r="A2" s="144"/>
      <c r="B2" s="204" t="s">
        <v>306</v>
      </c>
      <c r="C2" s="204"/>
      <c r="D2" s="205" t="s">
        <v>284</v>
      </c>
      <c r="E2" s="205"/>
      <c r="F2" s="205"/>
      <c r="G2" s="205"/>
      <c r="H2" s="185"/>
    </row>
    <row r="3" spans="1:21" s="53" customFormat="1" ht="24.95" customHeight="1">
      <c r="A3" s="144"/>
      <c r="B3" s="215" t="s">
        <v>307</v>
      </c>
      <c r="C3" s="216"/>
      <c r="D3" s="212" t="s">
        <v>318</v>
      </c>
      <c r="E3" s="213"/>
      <c r="F3" s="213"/>
      <c r="G3" s="214"/>
      <c r="H3" s="185"/>
    </row>
    <row r="4" spans="1:21" s="53" customFormat="1" ht="20.100000000000001" customHeight="1">
      <c r="A4" s="144"/>
      <c r="B4" s="208" t="s">
        <v>289</v>
      </c>
      <c r="C4" s="209"/>
      <c r="D4" s="206" t="s">
        <v>290</v>
      </c>
      <c r="E4" s="207"/>
      <c r="F4" s="206" t="s">
        <v>291</v>
      </c>
      <c r="G4" s="207"/>
      <c r="H4" s="185"/>
    </row>
    <row r="5" spans="1:21" ht="20.100000000000001" customHeight="1">
      <c r="B5" s="210"/>
      <c r="C5" s="211"/>
      <c r="D5" s="153" t="s">
        <v>292</v>
      </c>
      <c r="E5" s="154">
        <v>2024</v>
      </c>
      <c r="F5" s="153" t="s">
        <v>302</v>
      </c>
      <c r="G5" s="154">
        <v>2024</v>
      </c>
      <c r="H5" s="185"/>
    </row>
    <row r="6" spans="1:21" ht="78" customHeight="1">
      <c r="B6" s="218" t="s">
        <v>325</v>
      </c>
      <c r="C6" s="219"/>
      <c r="D6" s="220"/>
      <c r="G6" s="191" t="str">
        <f>IF(E5&gt;G5,"Błąd zakończenia roku obrotowego","")</f>
        <v/>
      </c>
      <c r="H6" s="185"/>
    </row>
    <row r="7" spans="1:21" ht="20.100000000000001" customHeight="1">
      <c r="H7" s="185"/>
    </row>
    <row r="8" spans="1:21" s="53" customFormat="1" ht="30" customHeight="1">
      <c r="A8" s="144"/>
      <c r="B8" s="221" t="s">
        <v>204</v>
      </c>
      <c r="C8" s="222"/>
      <c r="D8" s="68" t="s">
        <v>25</v>
      </c>
      <c r="E8" s="54" t="s">
        <v>142</v>
      </c>
      <c r="F8" s="69" t="s">
        <v>124</v>
      </c>
      <c r="H8" s="185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</row>
    <row r="9" spans="1:21" s="53" customFormat="1" ht="30" customHeight="1">
      <c r="A9" s="144"/>
      <c r="B9" s="223" t="str">
        <f>IF(F9="","","Rating bieżącej sytuacji finansowej (podsumowanie wyników oceny)")</f>
        <v>Rating bieżącej sytuacji finansowej (podsumowanie wyników oceny)</v>
      </c>
      <c r="C9" s="224"/>
      <c r="D9" s="70">
        <f>Wyniki!I41</f>
        <v>10</v>
      </c>
      <c r="E9" s="71" t="str">
        <f>IF(Wyniki!I41&gt;75,"AAA-A",IF(Wyniki!I41&gt;59,"BBB",IF(Wyniki!I41&gt;49,"BB",IF(Wyniki!I41&gt;32,"B",IF(Wyniki!I41=0,"","CCC")))))</f>
        <v>CCC</v>
      </c>
      <c r="F9" s="71" t="str">
        <f>IF(Wyniki!I41=0,"",Wyniki!H42)</f>
        <v>Zła/trudności finansowe</v>
      </c>
      <c r="G9" s="144"/>
      <c r="H9" s="149" t="s">
        <v>302</v>
      </c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</row>
    <row r="10" spans="1:21" s="53" customFormat="1" ht="20.100000000000001" customHeight="1">
      <c r="A10" s="144"/>
      <c r="B10" s="72"/>
      <c r="C10" s="73"/>
      <c r="D10" s="73"/>
      <c r="E10" s="73"/>
      <c r="F10" s="73"/>
      <c r="G10" s="73"/>
      <c r="H10" s="149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</row>
    <row r="11" spans="1:21" s="53" customFormat="1" ht="20.100000000000001" customHeight="1">
      <c r="A11" s="144"/>
      <c r="H11" s="148"/>
    </row>
    <row r="12" spans="1:21" s="55" customFormat="1" ht="30" customHeight="1">
      <c r="A12" s="187"/>
      <c r="B12" s="225" t="s">
        <v>31</v>
      </c>
      <c r="C12" s="225"/>
      <c r="D12" s="68" t="s">
        <v>25</v>
      </c>
      <c r="E12" s="68" t="s">
        <v>142</v>
      </c>
      <c r="F12" s="68" t="s">
        <v>211</v>
      </c>
      <c r="H12" s="149"/>
    </row>
    <row r="13" spans="1:21" s="53" customFormat="1" ht="20.100000000000001" customHeight="1">
      <c r="A13" s="144"/>
      <c r="B13" s="227" t="s">
        <v>158</v>
      </c>
      <c r="C13" s="227"/>
      <c r="D13" s="74" t="s">
        <v>144</v>
      </c>
      <c r="E13" s="74" t="s">
        <v>209</v>
      </c>
      <c r="F13" s="71">
        <v>60</v>
      </c>
      <c r="H13" s="149"/>
    </row>
    <row r="14" spans="1:21" s="53" customFormat="1" ht="20.100000000000001" customHeight="1">
      <c r="A14" s="144"/>
      <c r="B14" s="223" t="s">
        <v>159</v>
      </c>
      <c r="C14" s="226"/>
      <c r="D14" s="74" t="s">
        <v>145</v>
      </c>
      <c r="E14" s="74" t="s">
        <v>206</v>
      </c>
      <c r="F14" s="71">
        <v>75</v>
      </c>
      <c r="H14" s="149"/>
    </row>
    <row r="15" spans="1:21" s="53" customFormat="1" ht="20.100000000000001" customHeight="1">
      <c r="A15" s="144"/>
      <c r="B15" s="223" t="s">
        <v>160</v>
      </c>
      <c r="C15" s="226"/>
      <c r="D15" s="74" t="s">
        <v>146</v>
      </c>
      <c r="E15" s="74" t="s">
        <v>207</v>
      </c>
      <c r="F15" s="71">
        <v>100</v>
      </c>
      <c r="H15" s="149"/>
    </row>
    <row r="16" spans="1:21" s="53" customFormat="1" ht="20.100000000000001" customHeight="1">
      <c r="A16" s="144"/>
      <c r="B16" s="223" t="s">
        <v>161</v>
      </c>
      <c r="C16" s="226"/>
      <c r="D16" s="74" t="s">
        <v>147</v>
      </c>
      <c r="E16" s="74" t="s">
        <v>208</v>
      </c>
      <c r="F16" s="71">
        <v>220</v>
      </c>
      <c r="H16" s="149"/>
    </row>
    <row r="17" spans="1:8" s="53" customFormat="1" ht="20.100000000000001" customHeight="1">
      <c r="A17" s="144"/>
      <c r="B17" s="223" t="s">
        <v>162</v>
      </c>
      <c r="C17" s="226"/>
      <c r="D17" s="74" t="s">
        <v>148</v>
      </c>
      <c r="E17" s="74" t="s">
        <v>205</v>
      </c>
      <c r="F17" s="71">
        <v>400</v>
      </c>
      <c r="H17" s="149"/>
    </row>
    <row r="18" spans="1:8" s="53" customFormat="1" ht="20.100000000000001" customHeight="1">
      <c r="A18" s="144"/>
      <c r="H18" s="149"/>
    </row>
    <row r="19" spans="1:8" s="53" customFormat="1" ht="20.100000000000001" customHeight="1">
      <c r="A19" s="144"/>
      <c r="B19" s="75"/>
      <c r="C19" s="75"/>
      <c r="D19" s="75"/>
      <c r="H19" s="149"/>
    </row>
    <row r="20" spans="1:8" s="75" customFormat="1" ht="20.100000000000001" customHeight="1">
      <c r="A20" s="188"/>
      <c r="B20" s="217" t="s">
        <v>143</v>
      </c>
      <c r="C20" s="217" t="s">
        <v>163</v>
      </c>
      <c r="D20" s="217" t="s">
        <v>210</v>
      </c>
      <c r="E20" s="78" t="s">
        <v>287</v>
      </c>
      <c r="F20" s="78" t="s">
        <v>286</v>
      </c>
      <c r="G20" s="78" t="s">
        <v>285</v>
      </c>
      <c r="H20" s="149"/>
    </row>
    <row r="21" spans="1:8" s="79" customFormat="1" ht="20.100000000000001" customHeight="1">
      <c r="A21" s="151"/>
      <c r="B21" s="217"/>
      <c r="C21" s="217"/>
      <c r="D21" s="217"/>
      <c r="E21" s="78">
        <f>IF(F21=2023,2022,IF(F21=2022,2021,"2021/2022"))</f>
        <v>2022</v>
      </c>
      <c r="F21" s="78">
        <f>IF(G21=2024,2023,IF(G21=2023,2022,"2022/2023"))</f>
        <v>2023</v>
      </c>
      <c r="G21" s="78">
        <f>IF(AND(G5=2024,E5=2024),2024,IF(AND(G5=2023,E5=2023),2023,("2023/2024")))</f>
        <v>2024</v>
      </c>
      <c r="H21" s="149"/>
    </row>
    <row r="22" spans="1:8" s="82" customFormat="1" ht="20.100000000000001" customHeight="1">
      <c r="A22" s="150"/>
      <c r="B22" s="80" t="s">
        <v>164</v>
      </c>
      <c r="C22" s="81" t="s">
        <v>165</v>
      </c>
      <c r="D22" s="143" t="s">
        <v>222</v>
      </c>
      <c r="E22" s="138"/>
      <c r="F22" s="138"/>
      <c r="G22" s="138"/>
      <c r="H22" s="149"/>
    </row>
    <row r="23" spans="1:8" s="82" customFormat="1" ht="20.100000000000001" customHeight="1">
      <c r="A23" s="150"/>
      <c r="B23" s="83" t="s">
        <v>166</v>
      </c>
      <c r="C23" s="81" t="s">
        <v>62</v>
      </c>
      <c r="D23" s="80" t="str">
        <f t="shared" ref="D23:D29" si="0">IF($D$22="","",$D$22)</f>
        <v>zł</v>
      </c>
      <c r="E23" s="138"/>
      <c r="F23" s="138"/>
      <c r="G23" s="138"/>
      <c r="H23" s="149"/>
    </row>
    <row r="24" spans="1:8" s="87" customFormat="1" ht="20.100000000000001" customHeight="1">
      <c r="A24" s="152"/>
      <c r="B24" s="84"/>
      <c r="C24" s="85" t="s">
        <v>138</v>
      </c>
      <c r="D24" s="86" t="str">
        <f t="shared" si="0"/>
        <v>zł</v>
      </c>
      <c r="E24" s="139"/>
      <c r="F24" s="139"/>
      <c r="G24" s="139"/>
      <c r="H24" s="152"/>
    </row>
    <row r="25" spans="1:8" s="82" customFormat="1" ht="20.100000000000001" customHeight="1">
      <c r="A25" s="150"/>
      <c r="B25" s="83" t="s">
        <v>169</v>
      </c>
      <c r="C25" s="81" t="s">
        <v>170</v>
      </c>
      <c r="D25" s="80" t="str">
        <f t="shared" si="0"/>
        <v>zł</v>
      </c>
      <c r="E25" s="138"/>
      <c r="F25" s="138"/>
      <c r="G25" s="138"/>
      <c r="H25" s="150"/>
    </row>
    <row r="26" spans="1:8" s="82" customFormat="1" ht="20.100000000000001" customHeight="1">
      <c r="A26" s="150"/>
      <c r="B26" s="83" t="s">
        <v>173</v>
      </c>
      <c r="C26" s="81" t="s">
        <v>59</v>
      </c>
      <c r="D26" s="80" t="str">
        <f t="shared" si="0"/>
        <v>zł</v>
      </c>
      <c r="E26" s="138"/>
      <c r="F26" s="138"/>
      <c r="G26" s="138"/>
      <c r="H26" s="150"/>
    </row>
    <row r="27" spans="1:8" s="82" customFormat="1" ht="20.100000000000001" customHeight="1">
      <c r="A27" s="150"/>
      <c r="B27" s="83" t="s">
        <v>175</v>
      </c>
      <c r="C27" s="81" t="s">
        <v>61</v>
      </c>
      <c r="D27" s="80" t="str">
        <f t="shared" si="0"/>
        <v>zł</v>
      </c>
      <c r="E27" s="138"/>
      <c r="F27" s="138"/>
      <c r="G27" s="138"/>
      <c r="H27" s="150"/>
    </row>
    <row r="28" spans="1:8" s="82" customFormat="1" ht="20.100000000000001" customHeight="1">
      <c r="A28" s="150"/>
      <c r="B28" s="83" t="s">
        <v>176</v>
      </c>
      <c r="C28" s="81" t="s">
        <v>177</v>
      </c>
      <c r="D28" s="80" t="str">
        <f t="shared" si="0"/>
        <v>zł</v>
      </c>
      <c r="E28" s="138"/>
      <c r="F28" s="138"/>
      <c r="G28" s="138"/>
      <c r="H28" s="150"/>
    </row>
    <row r="29" spans="1:8" s="82" customFormat="1" ht="20.100000000000001" customHeight="1">
      <c r="A29" s="150"/>
      <c r="B29" s="83" t="s">
        <v>178</v>
      </c>
      <c r="C29" s="81" t="s">
        <v>60</v>
      </c>
      <c r="D29" s="80" t="str">
        <f t="shared" si="0"/>
        <v>zł</v>
      </c>
      <c r="E29" s="138"/>
      <c r="F29" s="138"/>
      <c r="G29" s="138"/>
      <c r="H29" s="150"/>
    </row>
    <row r="30" spans="1:8" ht="20.100000000000001" customHeight="1">
      <c r="B30" s="67"/>
      <c r="C30" s="67"/>
      <c r="D30" s="67"/>
    </row>
    <row r="31" spans="1:8" s="79" customFormat="1" ht="45" customHeight="1">
      <c r="A31" s="151"/>
      <c r="B31" s="64" t="s">
        <v>143</v>
      </c>
      <c r="C31" s="88" t="s">
        <v>179</v>
      </c>
      <c r="D31" s="64" t="s">
        <v>210</v>
      </c>
      <c r="E31" s="78">
        <f>IF($E$21="","",$E$21)</f>
        <v>2022</v>
      </c>
      <c r="F31" s="78">
        <f>IF($F$21="","",$F$21)</f>
        <v>2023</v>
      </c>
      <c r="G31" s="78">
        <f>IF($G$21="","",$G$21)</f>
        <v>2024</v>
      </c>
      <c r="H31" s="151"/>
    </row>
    <row r="32" spans="1:8" s="79" customFormat="1" ht="20.100000000000001" customHeight="1">
      <c r="A32" s="151"/>
      <c r="B32" s="89" t="s">
        <v>164</v>
      </c>
      <c r="C32" s="90" t="s">
        <v>180</v>
      </c>
      <c r="D32" s="83" t="str">
        <f t="shared" ref="D32:D41" si="1">IF($D$22="","",$D$22)</f>
        <v>zł</v>
      </c>
      <c r="E32" s="138"/>
      <c r="F32" s="138"/>
      <c r="G32" s="138"/>
      <c r="H32" s="151"/>
    </row>
    <row r="33" spans="1:8" s="79" customFormat="1" ht="20.100000000000001" customHeight="1">
      <c r="A33" s="151"/>
      <c r="B33" s="89" t="s">
        <v>166</v>
      </c>
      <c r="C33" s="90" t="s">
        <v>128</v>
      </c>
      <c r="D33" s="83" t="str">
        <f t="shared" si="1"/>
        <v>zł</v>
      </c>
      <c r="E33" s="138"/>
      <c r="F33" s="138"/>
      <c r="G33" s="138"/>
      <c r="H33" s="151"/>
    </row>
    <row r="34" spans="1:8" ht="20.100000000000001" customHeight="1">
      <c r="B34" s="91" t="s">
        <v>149</v>
      </c>
      <c r="C34" s="92" t="s">
        <v>117</v>
      </c>
      <c r="D34" s="84" t="str">
        <f t="shared" si="1"/>
        <v>zł</v>
      </c>
      <c r="E34" s="139"/>
      <c r="F34" s="138"/>
      <c r="G34" s="138"/>
    </row>
    <row r="35" spans="1:8" ht="20.100000000000001" customHeight="1">
      <c r="B35" s="91" t="s">
        <v>150</v>
      </c>
      <c r="C35" s="92" t="s">
        <v>129</v>
      </c>
      <c r="D35" s="84" t="str">
        <f t="shared" si="1"/>
        <v>zł</v>
      </c>
      <c r="E35" s="139"/>
      <c r="F35" s="138"/>
      <c r="G35" s="138"/>
    </row>
    <row r="36" spans="1:8" ht="20.100000000000001" customHeight="1">
      <c r="B36" s="91" t="s">
        <v>151</v>
      </c>
      <c r="C36" s="92" t="s">
        <v>130</v>
      </c>
      <c r="D36" s="84" t="str">
        <f t="shared" si="1"/>
        <v>zł</v>
      </c>
      <c r="E36" s="140"/>
      <c r="F36" s="138"/>
      <c r="G36" s="138"/>
    </row>
    <row r="37" spans="1:8" ht="20.100000000000001" customHeight="1">
      <c r="B37" s="91"/>
      <c r="C37" s="92" t="s">
        <v>131</v>
      </c>
      <c r="D37" s="84" t="str">
        <f t="shared" si="1"/>
        <v>zł</v>
      </c>
      <c r="E37" s="140"/>
      <c r="F37" s="138"/>
      <c r="G37" s="138"/>
    </row>
    <row r="38" spans="1:8" ht="20.100000000000001" customHeight="1">
      <c r="B38" s="91" t="s">
        <v>152</v>
      </c>
      <c r="C38" s="92" t="s">
        <v>132</v>
      </c>
      <c r="D38" s="84" t="str">
        <f t="shared" si="1"/>
        <v>zł</v>
      </c>
      <c r="E38" s="140"/>
      <c r="F38" s="140"/>
      <c r="G38" s="140"/>
    </row>
    <row r="39" spans="1:8" ht="20.100000000000001" customHeight="1">
      <c r="B39" s="91" t="s">
        <v>169</v>
      </c>
      <c r="C39" s="92" t="s">
        <v>239</v>
      </c>
      <c r="D39" s="84" t="str">
        <f t="shared" si="1"/>
        <v>zł</v>
      </c>
      <c r="E39" s="140"/>
      <c r="F39" s="140"/>
      <c r="G39" s="140"/>
    </row>
    <row r="40" spans="1:8" ht="20.100000000000001" customHeight="1">
      <c r="B40" s="91" t="s">
        <v>171</v>
      </c>
      <c r="C40" s="92" t="s">
        <v>240</v>
      </c>
      <c r="D40" s="84" t="str">
        <f t="shared" si="1"/>
        <v>zł</v>
      </c>
      <c r="E40" s="140"/>
      <c r="F40" s="140"/>
      <c r="G40" s="140"/>
    </row>
    <row r="41" spans="1:8" s="79" customFormat="1" ht="20.100000000000001" customHeight="1">
      <c r="A41" s="151"/>
      <c r="B41" s="89"/>
      <c r="C41" s="90" t="s">
        <v>241</v>
      </c>
      <c r="D41" s="83" t="str">
        <f t="shared" si="1"/>
        <v>zł</v>
      </c>
      <c r="E41" s="138"/>
      <c r="F41" s="138"/>
      <c r="G41" s="138"/>
      <c r="H41" s="151"/>
    </row>
    <row r="42" spans="1:8" ht="20.100000000000001" customHeight="1">
      <c r="B42" s="67"/>
      <c r="C42" s="67"/>
      <c r="D42" s="67"/>
    </row>
    <row r="43" spans="1:8" s="79" customFormat="1" ht="45" customHeight="1">
      <c r="A43" s="151"/>
      <c r="B43" s="64" t="s">
        <v>143</v>
      </c>
      <c r="C43" s="88" t="s">
        <v>181</v>
      </c>
      <c r="D43" s="64" t="s">
        <v>210</v>
      </c>
      <c r="E43" s="78">
        <f>IF($E$21="","",$E$21)</f>
        <v>2022</v>
      </c>
      <c r="F43" s="78">
        <f>IF($F$21="","",$F$21)</f>
        <v>2023</v>
      </c>
      <c r="G43" s="78">
        <f>IF($G$21="","",$G$21)</f>
        <v>2024</v>
      </c>
      <c r="H43" s="151"/>
    </row>
    <row r="44" spans="1:8" s="82" customFormat="1" ht="20.100000000000001" customHeight="1">
      <c r="A44" s="150"/>
      <c r="B44" s="83" t="s">
        <v>164</v>
      </c>
      <c r="C44" s="93" t="s">
        <v>141</v>
      </c>
      <c r="D44" s="83" t="str">
        <f t="shared" ref="D44:D50" si="2">IF($D$22="","",$D$22)</f>
        <v>zł</v>
      </c>
      <c r="E44" s="138"/>
      <c r="F44" s="138"/>
      <c r="G44" s="138"/>
      <c r="H44" s="150"/>
    </row>
    <row r="45" spans="1:8" s="82" customFormat="1" ht="20.100000000000001" customHeight="1">
      <c r="A45" s="150"/>
      <c r="B45" s="83" t="s">
        <v>166</v>
      </c>
      <c r="C45" s="93" t="s">
        <v>137</v>
      </c>
      <c r="D45" s="83" t="str">
        <f t="shared" si="2"/>
        <v>zł</v>
      </c>
      <c r="E45" s="138"/>
      <c r="F45" s="138"/>
      <c r="G45" s="138"/>
      <c r="H45" s="150"/>
    </row>
    <row r="46" spans="1:8" s="87" customFormat="1" ht="20.100000000000001" customHeight="1">
      <c r="A46" s="152"/>
      <c r="B46" s="84" t="s">
        <v>149</v>
      </c>
      <c r="C46" s="94" t="s">
        <v>133</v>
      </c>
      <c r="D46" s="84" t="str">
        <f t="shared" si="2"/>
        <v>zł</v>
      </c>
      <c r="E46" s="140"/>
      <c r="F46" s="140"/>
      <c r="G46" s="140"/>
      <c r="H46" s="152"/>
    </row>
    <row r="47" spans="1:8" s="87" customFormat="1" ht="20.100000000000001" customHeight="1">
      <c r="A47" s="152"/>
      <c r="B47" s="84" t="s">
        <v>150</v>
      </c>
      <c r="C47" s="94" t="s">
        <v>134</v>
      </c>
      <c r="D47" s="84" t="str">
        <f t="shared" si="2"/>
        <v>zł</v>
      </c>
      <c r="E47" s="140"/>
      <c r="F47" s="140"/>
      <c r="G47" s="140"/>
      <c r="H47" s="152"/>
    </row>
    <row r="48" spans="1:8" s="87" customFormat="1" ht="20.100000000000001" customHeight="1">
      <c r="A48" s="152"/>
      <c r="B48" s="84" t="s">
        <v>151</v>
      </c>
      <c r="C48" s="94" t="s">
        <v>135</v>
      </c>
      <c r="D48" s="84" t="str">
        <f t="shared" si="2"/>
        <v>zł</v>
      </c>
      <c r="E48" s="139"/>
      <c r="F48" s="139"/>
      <c r="G48" s="139"/>
      <c r="H48" s="152"/>
    </row>
    <row r="49" spans="1:8" s="87" customFormat="1" ht="20.100000000000001" customHeight="1">
      <c r="A49" s="152"/>
      <c r="B49" s="84" t="s">
        <v>152</v>
      </c>
      <c r="C49" s="94" t="s">
        <v>136</v>
      </c>
      <c r="D49" s="84" t="str">
        <f t="shared" si="2"/>
        <v>zł</v>
      </c>
      <c r="E49" s="140"/>
      <c r="F49" s="140"/>
      <c r="G49" s="140"/>
      <c r="H49" s="152"/>
    </row>
    <row r="50" spans="1:8" s="82" customFormat="1" ht="20.100000000000001" customHeight="1">
      <c r="A50" s="150"/>
      <c r="B50" s="83"/>
      <c r="C50" s="93" t="s">
        <v>183</v>
      </c>
      <c r="D50" s="83" t="str">
        <f t="shared" si="2"/>
        <v>zł</v>
      </c>
      <c r="E50" s="141"/>
      <c r="F50" s="141"/>
      <c r="G50" s="141"/>
      <c r="H50" s="150"/>
    </row>
    <row r="51" spans="1:8" s="82" customFormat="1" ht="20.100000000000001" customHeight="1">
      <c r="A51" s="150"/>
      <c r="H51" s="150"/>
    </row>
    <row r="52" spans="1:8" s="79" customFormat="1" ht="45" customHeight="1">
      <c r="A52" s="151"/>
      <c r="B52" s="76" t="s">
        <v>143</v>
      </c>
      <c r="C52" s="76" t="s">
        <v>139</v>
      </c>
      <c r="D52" s="76" t="s">
        <v>210</v>
      </c>
      <c r="E52" s="78">
        <f>IF($E$21="","",$E$21)</f>
        <v>2022</v>
      </c>
      <c r="F52" s="78">
        <f>IF($F$21="","",$F$21)</f>
        <v>2023</v>
      </c>
      <c r="G52" s="78">
        <f>IF($G$21="","",$G$21)</f>
        <v>2024</v>
      </c>
      <c r="H52" s="151"/>
    </row>
    <row r="53" spans="1:8" s="82" customFormat="1" ht="20.100000000000001" customHeight="1">
      <c r="A53" s="152" t="s">
        <v>292</v>
      </c>
      <c r="B53" s="95" t="s">
        <v>164</v>
      </c>
      <c r="C53" s="96" t="s">
        <v>82</v>
      </c>
      <c r="D53" s="97" t="str">
        <f t="shared" ref="D53:D63" si="3">IF($D$22="","",$D$22)</f>
        <v>zł</v>
      </c>
      <c r="E53" s="138"/>
      <c r="F53" s="138"/>
      <c r="G53" s="138"/>
      <c r="H53" s="150"/>
    </row>
    <row r="54" spans="1:8" s="82" customFormat="1" ht="20.100000000000001" customHeight="1">
      <c r="A54" s="152" t="s">
        <v>293</v>
      </c>
      <c r="B54" s="98" t="s">
        <v>166</v>
      </c>
      <c r="C54" s="99" t="s">
        <v>83</v>
      </c>
      <c r="D54" s="97" t="str">
        <f t="shared" si="3"/>
        <v>zł</v>
      </c>
      <c r="E54" s="138"/>
      <c r="F54" s="138"/>
      <c r="G54" s="138"/>
      <c r="H54" s="150"/>
    </row>
    <row r="55" spans="1:8" s="82" customFormat="1" ht="20.100000000000001" customHeight="1">
      <c r="A55" s="152" t="s">
        <v>294</v>
      </c>
      <c r="B55" s="98" t="s">
        <v>169</v>
      </c>
      <c r="C55" s="99" t="s">
        <v>84</v>
      </c>
      <c r="D55" s="97" t="str">
        <f t="shared" si="3"/>
        <v>zł</v>
      </c>
      <c r="E55" s="141"/>
      <c r="F55" s="141"/>
      <c r="G55" s="141"/>
      <c r="H55" s="150"/>
    </row>
    <row r="56" spans="1:8" s="87" customFormat="1" ht="20.100000000000001" customHeight="1">
      <c r="A56" s="152" t="s">
        <v>295</v>
      </c>
      <c r="B56" s="100" t="s">
        <v>149</v>
      </c>
      <c r="C56" s="101" t="s">
        <v>85</v>
      </c>
      <c r="D56" s="102" t="str">
        <f t="shared" si="3"/>
        <v>zł</v>
      </c>
      <c r="E56" s="139"/>
      <c r="F56" s="139"/>
      <c r="G56" s="139"/>
      <c r="H56" s="152"/>
    </row>
    <row r="57" spans="1:8" s="87" customFormat="1" ht="20.100000000000001" customHeight="1">
      <c r="A57" s="152" t="s">
        <v>303</v>
      </c>
      <c r="B57" s="100" t="s">
        <v>150</v>
      </c>
      <c r="C57" s="101" t="s">
        <v>86</v>
      </c>
      <c r="D57" s="102" t="str">
        <f t="shared" si="3"/>
        <v>zł</v>
      </c>
      <c r="E57" s="142" t="str">
        <f t="shared" ref="E57:G57" si="4">IF(AND(ISBLANK(E58),ISBLANK(E59),ISBLANK(E60)),"",SUM(E58:E60))</f>
        <v/>
      </c>
      <c r="F57" s="142" t="str">
        <f t="shared" si="4"/>
        <v/>
      </c>
      <c r="G57" s="142" t="str">
        <f t="shared" si="4"/>
        <v/>
      </c>
      <c r="H57" s="152"/>
    </row>
    <row r="58" spans="1:8" s="87" customFormat="1" ht="20.100000000000001" customHeight="1">
      <c r="A58" s="152" t="s">
        <v>296</v>
      </c>
      <c r="B58" s="100" t="s">
        <v>122</v>
      </c>
      <c r="C58" s="101" t="s">
        <v>87</v>
      </c>
      <c r="D58" s="102" t="str">
        <f t="shared" si="3"/>
        <v>zł</v>
      </c>
      <c r="E58" s="139"/>
      <c r="F58" s="139"/>
      <c r="G58" s="139"/>
      <c r="H58" s="152"/>
    </row>
    <row r="59" spans="1:8" s="87" customFormat="1" ht="20.100000000000001" customHeight="1">
      <c r="A59" s="152" t="s">
        <v>297</v>
      </c>
      <c r="B59" s="100" t="s">
        <v>123</v>
      </c>
      <c r="C59" s="101" t="s">
        <v>88</v>
      </c>
      <c r="D59" s="102" t="str">
        <f t="shared" si="3"/>
        <v>zł</v>
      </c>
      <c r="E59" s="139"/>
      <c r="F59" s="139"/>
      <c r="G59" s="139"/>
      <c r="H59" s="152"/>
    </row>
    <row r="60" spans="1:8" s="87" customFormat="1" ht="20.100000000000001" customHeight="1">
      <c r="A60" s="152" t="s">
        <v>298</v>
      </c>
      <c r="B60" s="100" t="s">
        <v>125</v>
      </c>
      <c r="C60" s="101" t="s">
        <v>89</v>
      </c>
      <c r="D60" s="102" t="str">
        <f t="shared" si="3"/>
        <v>zł</v>
      </c>
      <c r="E60" s="139"/>
      <c r="F60" s="139"/>
      <c r="G60" s="139"/>
      <c r="H60" s="152"/>
    </row>
    <row r="61" spans="1:8" s="82" customFormat="1" ht="20.100000000000001" customHeight="1">
      <c r="A61" s="152" t="s">
        <v>299</v>
      </c>
      <c r="B61" s="98" t="s">
        <v>171</v>
      </c>
      <c r="C61" s="99" t="s">
        <v>58</v>
      </c>
      <c r="D61" s="97" t="str">
        <f t="shared" si="3"/>
        <v>zł</v>
      </c>
      <c r="E61" s="141"/>
      <c r="F61" s="141"/>
      <c r="G61" s="141"/>
      <c r="H61" s="150"/>
    </row>
    <row r="62" spans="1:8" s="82" customFormat="1" ht="20.100000000000001" customHeight="1">
      <c r="A62" s="152" t="s">
        <v>300</v>
      </c>
      <c r="B62" s="98" t="s">
        <v>173</v>
      </c>
      <c r="C62" s="99" t="s">
        <v>184</v>
      </c>
      <c r="D62" s="97" t="str">
        <f t="shared" si="3"/>
        <v>zł</v>
      </c>
      <c r="E62" s="138"/>
      <c r="F62" s="138"/>
      <c r="G62" s="138"/>
      <c r="H62" s="150"/>
    </row>
    <row r="63" spans="1:8" s="82" customFormat="1" ht="20.100000000000001" customHeight="1">
      <c r="A63" s="152" t="s">
        <v>301</v>
      </c>
      <c r="B63" s="98" t="s">
        <v>174</v>
      </c>
      <c r="C63" s="99" t="s">
        <v>185</v>
      </c>
      <c r="D63" s="97" t="str">
        <f t="shared" si="3"/>
        <v>zł</v>
      </c>
      <c r="E63" s="138"/>
      <c r="F63" s="138"/>
      <c r="G63" s="138"/>
      <c r="H63" s="150"/>
    </row>
    <row r="64" spans="1:8" ht="20.100000000000001" customHeight="1">
      <c r="A64" s="152" t="s">
        <v>302</v>
      </c>
    </row>
    <row r="65" spans="1:9" s="103" customFormat="1" ht="45" customHeight="1">
      <c r="A65" s="189"/>
      <c r="B65" s="78" t="s">
        <v>143</v>
      </c>
      <c r="C65" s="77" t="s">
        <v>140</v>
      </c>
      <c r="D65" s="78" t="s">
        <v>1</v>
      </c>
      <c r="E65" s="78">
        <f>IF($E$21="","",$E$21)</f>
        <v>2022</v>
      </c>
      <c r="F65" s="78">
        <f>IF($F$21="","",$F$21)</f>
        <v>2023</v>
      </c>
      <c r="G65" s="78">
        <f>IF($G$21="","",$G$21)</f>
        <v>2024</v>
      </c>
      <c r="H65" s="148"/>
    </row>
    <row r="66" spans="1:9" s="87" customFormat="1" ht="30" customHeight="1">
      <c r="A66" s="152"/>
      <c r="B66" s="104" t="s">
        <v>149</v>
      </c>
      <c r="C66" s="101" t="s">
        <v>64</v>
      </c>
      <c r="D66" s="104" t="str">
        <f t="shared" ref="D66:D75" si="5">IF($D$22="","",$D$22)</f>
        <v>zł</v>
      </c>
      <c r="E66" s="105">
        <f>ROUND(E32+E33+E39+E40-E41,1)</f>
        <v>0</v>
      </c>
      <c r="F66" s="105">
        <f t="shared" ref="F66:G66" si="6">ROUND(F32+F33+F39+F40-F41,1)</f>
        <v>0</v>
      </c>
      <c r="G66" s="105">
        <f t="shared" si="6"/>
        <v>0</v>
      </c>
      <c r="H66" s="148"/>
    </row>
    <row r="67" spans="1:9" s="87" customFormat="1" ht="30" customHeight="1">
      <c r="A67" s="152"/>
      <c r="B67" s="104" t="s">
        <v>150</v>
      </c>
      <c r="C67" s="101" t="s">
        <v>63</v>
      </c>
      <c r="D67" s="104" t="str">
        <f t="shared" si="5"/>
        <v>zł</v>
      </c>
      <c r="E67" s="105">
        <f>ROUND((E34+E35+E36+E38)-E33,1)</f>
        <v>0</v>
      </c>
      <c r="F67" s="105">
        <f>ROUND((F34+F35+F36+F38)-F33,1)</f>
        <v>0</v>
      </c>
      <c r="G67" s="105">
        <f>ROUND((G34+G35+G36+G38)-G33,1)</f>
        <v>0</v>
      </c>
      <c r="H67" s="148"/>
    </row>
    <row r="68" spans="1:9" s="87" customFormat="1" ht="30" customHeight="1">
      <c r="A68" s="152"/>
      <c r="B68" s="104" t="s">
        <v>151</v>
      </c>
      <c r="C68" s="101" t="s">
        <v>68</v>
      </c>
      <c r="D68" s="104" t="str">
        <f t="shared" si="5"/>
        <v>zł</v>
      </c>
      <c r="E68" s="105">
        <f>ROUND(E44+E45-E50,1)</f>
        <v>0</v>
      </c>
      <c r="F68" s="105">
        <f>ROUND(F44+F45-F50,1)</f>
        <v>0</v>
      </c>
      <c r="G68" s="105">
        <f>ROUND(G44+G45-G50,1)</f>
        <v>0</v>
      </c>
      <c r="H68" s="148"/>
      <c r="I68" s="67"/>
    </row>
    <row r="69" spans="1:9" s="87" customFormat="1" ht="30" customHeight="1">
      <c r="A69" s="152"/>
      <c r="B69" s="104" t="s">
        <v>152</v>
      </c>
      <c r="C69" s="101" t="s">
        <v>72</v>
      </c>
      <c r="D69" s="104" t="str">
        <f t="shared" si="5"/>
        <v>zł</v>
      </c>
      <c r="E69" s="105">
        <f>ROUND((E46+E47+E48+E49)-E45,1)</f>
        <v>0</v>
      </c>
      <c r="F69" s="105">
        <f>ROUND((F46+F47+F48+F49)-F45,1)</f>
        <v>0</v>
      </c>
      <c r="G69" s="105">
        <f>ROUND((G46+G47+G48+G49)-G45,1)</f>
        <v>0</v>
      </c>
      <c r="H69" s="148"/>
      <c r="I69" s="67"/>
    </row>
    <row r="70" spans="1:9" s="87" customFormat="1" ht="30" customHeight="1">
      <c r="A70" s="152"/>
      <c r="B70" s="104" t="s">
        <v>153</v>
      </c>
      <c r="C70" s="101" t="s">
        <v>65</v>
      </c>
      <c r="D70" s="104" t="str">
        <f t="shared" si="5"/>
        <v>zł</v>
      </c>
      <c r="E70" s="105">
        <f>ROUND(E56-E57-E55,1)</f>
        <v>0</v>
      </c>
      <c r="F70" s="105">
        <f t="shared" ref="F70:G70" si="7">ROUND(F56-F57-F55,1)</f>
        <v>0</v>
      </c>
      <c r="G70" s="105">
        <f t="shared" si="7"/>
        <v>0</v>
      </c>
      <c r="H70" s="148"/>
      <c r="I70" s="67"/>
    </row>
    <row r="71" spans="1:9" s="87" customFormat="1" ht="30" customHeight="1">
      <c r="A71" s="186"/>
      <c r="B71" s="104" t="s">
        <v>156</v>
      </c>
      <c r="C71" s="101" t="s">
        <v>69</v>
      </c>
      <c r="D71" s="104" t="str">
        <f t="shared" si="5"/>
        <v>zł</v>
      </c>
      <c r="E71" s="105">
        <f>ROUND(E53+E54+E55-E61,1)</f>
        <v>0</v>
      </c>
      <c r="F71" s="105">
        <f>ROUND(F53+F54+F55-F61,1)</f>
        <v>0</v>
      </c>
      <c r="G71" s="105">
        <f>ROUND(G53+G54+G55-G61,1)</f>
        <v>0</v>
      </c>
      <c r="H71" s="148"/>
      <c r="I71" s="67"/>
    </row>
    <row r="72" spans="1:9" s="87" customFormat="1" ht="30" customHeight="1">
      <c r="A72" s="186" t="s">
        <v>288</v>
      </c>
      <c r="B72" s="104" t="s">
        <v>167</v>
      </c>
      <c r="C72" s="101" t="s">
        <v>70</v>
      </c>
      <c r="D72" s="104" t="str">
        <f t="shared" si="5"/>
        <v>zł</v>
      </c>
      <c r="E72" s="105">
        <f>ROUND(E61+E62-E63,1)</f>
        <v>0</v>
      </c>
      <c r="F72" s="105">
        <f>ROUND(F61+F62-F63,1)</f>
        <v>0</v>
      </c>
      <c r="G72" s="105">
        <f>ROUND(G61+G62-G63,1)</f>
        <v>0</v>
      </c>
      <c r="H72" s="148"/>
      <c r="I72" s="67"/>
    </row>
    <row r="73" spans="1:9" s="87" customFormat="1" ht="30" customHeight="1">
      <c r="A73" s="186">
        <v>2023</v>
      </c>
      <c r="B73" s="104" t="s">
        <v>168</v>
      </c>
      <c r="C73" s="101" t="s">
        <v>71</v>
      </c>
      <c r="D73" s="104" t="str">
        <f t="shared" si="5"/>
        <v>zł</v>
      </c>
      <c r="E73" s="105">
        <f>ROUND(E63-E37,1)</f>
        <v>0</v>
      </c>
      <c r="F73" s="105">
        <f>ROUND(F63-F37,1)</f>
        <v>0</v>
      </c>
      <c r="G73" s="105">
        <f>ROUND(G63-G37,1)</f>
        <v>0</v>
      </c>
      <c r="H73" s="148"/>
      <c r="I73" s="67"/>
    </row>
    <row r="74" spans="1:9" s="87" customFormat="1" ht="30" customHeight="1">
      <c r="A74" s="186">
        <v>2024</v>
      </c>
      <c r="B74" s="104" t="s">
        <v>182</v>
      </c>
      <c r="C74" s="101" t="s">
        <v>66</v>
      </c>
      <c r="D74" s="104" t="str">
        <f t="shared" si="5"/>
        <v>zł</v>
      </c>
      <c r="E74" s="105">
        <f>ROUND(E50-E41,1)</f>
        <v>0</v>
      </c>
      <c r="F74" s="105">
        <f>ROUND(F50-F41,1)</f>
        <v>0</v>
      </c>
      <c r="G74" s="105">
        <f>ROUND(G50-G41,1)</f>
        <v>0</v>
      </c>
      <c r="H74" s="148"/>
      <c r="I74" s="67"/>
    </row>
    <row r="75" spans="1:9" s="87" customFormat="1" ht="30" customHeight="1">
      <c r="A75" s="190"/>
      <c r="B75" s="104" t="s">
        <v>188</v>
      </c>
      <c r="C75" s="101" t="s">
        <v>67</v>
      </c>
      <c r="D75" s="104" t="str">
        <f t="shared" si="5"/>
        <v>zł</v>
      </c>
      <c r="E75" s="106"/>
      <c r="F75" s="105">
        <f>ROUND(E63-F62,1)</f>
        <v>0</v>
      </c>
      <c r="G75" s="105">
        <f>ROUND(F63-G62,1)</f>
        <v>0</v>
      </c>
      <c r="H75" s="148"/>
      <c r="I75" s="67"/>
    </row>
    <row r="76" spans="1:9"/>
    <row r="79" spans="1:9"/>
  </sheetData>
  <sheetProtection algorithmName="SHA-512" hashValue="w4Zn2r7urNl4ubi5KvbIpEafH0exWPa0DIVVg1KrpBPoqHa/EPz4uz39tqpc0c8z8dWlpH61lH8+AlugLC/vrg==" saltValue="e1iZGO7Oip49FSBS7Q0C8g==" spinCount="100000" sheet="1" selectLockedCells="1"/>
  <protectedRanges>
    <protectedRange sqref="B2:G3 C4:G4 F6:G6" name="Zakres1"/>
    <protectedRange sqref="E22:G29" name="Zakres5_1"/>
    <protectedRange sqref="E32:G41" name="Zakres6_1"/>
    <protectedRange sqref="E45:G50" name="Zakres7_2_1"/>
    <protectedRange sqref="E53:G56" name="Zakres8_1"/>
    <protectedRange sqref="E58:G63" name="Zakres9_1"/>
  </protectedRanges>
  <dataConsolidate/>
  <mergeCells count="19">
    <mergeCell ref="D20:D21"/>
    <mergeCell ref="C20:C21"/>
    <mergeCell ref="B20:B21"/>
    <mergeCell ref="B6:D6"/>
    <mergeCell ref="B8:C8"/>
    <mergeCell ref="B9:C9"/>
    <mergeCell ref="B12:C12"/>
    <mergeCell ref="B17:C17"/>
    <mergeCell ref="B16:C16"/>
    <mergeCell ref="B15:C15"/>
    <mergeCell ref="B14:C14"/>
    <mergeCell ref="B13:C13"/>
    <mergeCell ref="B2:C2"/>
    <mergeCell ref="D2:G2"/>
    <mergeCell ref="D4:E4"/>
    <mergeCell ref="B4:C5"/>
    <mergeCell ref="F4:G4"/>
    <mergeCell ref="D3:G3"/>
    <mergeCell ref="B3:C3"/>
  </mergeCells>
  <phoneticPr fontId="31" type="noConversion"/>
  <conditionalFormatting sqref="E56:G56">
    <cfRule type="cellIs" dxfId="5" priority="3" stopIfTrue="1" operator="lessThan">
      <formula>0</formula>
    </cfRule>
  </conditionalFormatting>
  <conditionalFormatting sqref="E66:G66 E74:G74">
    <cfRule type="cellIs" dxfId="4" priority="29" stopIfTrue="1" operator="notEqual">
      <formula>0</formula>
    </cfRule>
  </conditionalFormatting>
  <conditionalFormatting sqref="E67:G73 E75:G75">
    <cfRule type="cellIs" dxfId="3" priority="30" stopIfTrue="1" operator="notEqual">
      <formula>0</formula>
    </cfRule>
  </conditionalFormatting>
  <conditionalFormatting sqref="G6">
    <cfRule type="containsText" dxfId="2" priority="1" operator="containsText" text="Błąd zakończenia roku obrotowego">
      <formula>NOT(ISERROR(SEARCH("Błąd zakończenia roku obrotowego",G6)))</formula>
    </cfRule>
    <cfRule type="containsText" dxfId="1" priority="2" operator="containsText" text="błąd daty">
      <formula>NOT(ISERROR(SEARCH("błąd daty",G6)))</formula>
    </cfRule>
  </conditionalFormatting>
  <dataValidations xWindow="837" yWindow="442" count="11">
    <dataValidation allowBlank="1" showErrorMessage="1" sqref="B2" xr:uid="{00000000-0002-0000-0100-000000000000}"/>
    <dataValidation type="list" allowBlank="1" showInputMessage="1" showErrorMessage="1" promptTitle="Rok obrotowy" prompt="Pierwszy miesiąc roku obrotowego" sqref="D5" xr:uid="{BD95FCFB-17AA-4B31-803E-B3B4E75FB02E}">
      <formula1>$A$53:$A$64</formula1>
    </dataValidation>
    <dataValidation allowBlank="1" showInputMessage="1" showErrorMessage="1" promptTitle="Rok (n)" prompt="Dane finansowe za ostatni zakończony rok obrotowy" sqref="G21" xr:uid="{03A64DF4-967E-46C3-95E2-78845B12B950}"/>
    <dataValidation allowBlank="1" showInputMessage="1" showErrorMessage="1" promptTitle="Rok (n-1)" prompt="Dane finanasowe za poprzedni rok obrotowy" sqref="E21:F21" xr:uid="{8A8B5A17-178B-4076-80A7-C3F3B758ED32}"/>
    <dataValidation allowBlank="1" showInputMessage="1" showErrorMessage="1" promptTitle="Rok obrotowy (n)" prompt="Dane finansowe za ostatni zakończony rok obrotowy" sqref="G20" xr:uid="{C4512042-4376-4B42-B50B-B3C35F75E11F}"/>
    <dataValidation allowBlank="1" showInputMessage="1" showErrorMessage="1" promptTitle="Rok obrotowy (n-1)" prompt="Dane finanasowe za poprzedni rok obrotowy" sqref="F20" xr:uid="{49C374BB-4BFF-4505-9B97-E5BBCE4A7DAA}"/>
    <dataValidation allowBlank="1" showInputMessage="1" showErrorMessage="1" promptTitle="Rok obrotowy (n-2)" prompt="Dane finansowe za poprzedni rok obrotowy " sqref="E20" xr:uid="{3EA4D86E-791B-47EE-A335-18D0DFE78FC5}"/>
    <dataValidation type="list" allowBlank="1" showInputMessage="1" showErrorMessage="1" promptTitle="Rok obrotowy" prompt="Rok rozpoczęcia roku obrotowego" sqref="E5" xr:uid="{066586DD-71D5-4390-A677-BF6DC6A53F8D}">
      <formula1>$A$73:$A$74</formula1>
    </dataValidation>
    <dataValidation type="list" allowBlank="1" showInputMessage="1" showErrorMessage="1" promptTitle="Rok obrotowy" prompt="Rok zakończenia roku obrotowego" sqref="G5" xr:uid="{F79B0ADB-50F9-4B35-B8E4-B73656C58D59}">
      <formula1>$A$73:$A$74</formula1>
    </dataValidation>
    <dataValidation type="list" allowBlank="1" showInputMessage="1" showErrorMessage="1" promptTitle="Rok obrotowy" prompt="Ostatni miesiąc roku obrotowego" sqref="F5" xr:uid="{422DF379-756B-48B4-A572-AD05D814E645}">
      <formula1>$A$53:$A$64</formula1>
    </dataValidation>
    <dataValidation allowBlank="1" showInputMessage="1" showErrorMessage="1" promptTitle="Rok obrotowy (n)" prompt="W przypadku, gdy:_x000a_ - rok obrotowy nie pokrywa się z rokiem kalendarzowym należy wybrać okres z listy rozwijalnej, _x000a_ - rok obrotowy pokrywa się z rokiem kalendarzowym - wybrać &quot;nie dotyczy&quot;. _x000a_Pierwszy zakończony rok obrotowy jest oznaczona jako &quot;Rok (n)&quot;" sqref="B4" xr:uid="{355B114C-DE3A-4A29-9BA9-456911E9B3FE}"/>
  </dataValidations>
  <printOptions verticalCentered="1"/>
  <pageMargins left="0.78740157480314965" right="0.78740157480314965" top="0.39370078740157483" bottom="0.39370078740157483" header="0.39370078740157483" footer="0.39370078740157483"/>
  <pageSetup paperSize="9" scale="45" orientation="portrait" r:id="rId1"/>
  <headerFooter alignWithMargins="0">
    <oddHeader>&amp;LZałącznik do opinii finansowej - wyniki oceny bieżącej i prognozowanej sytuacji finansowej Wnioskodawcy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11">
    <pageSetUpPr fitToPage="1"/>
  </sheetPr>
  <dimension ref="A1:X285"/>
  <sheetViews>
    <sheetView showGridLines="0" zoomScale="85" zoomScaleNormal="85" zoomScaleSheetLayoutView="85" workbookViewId="0"/>
  </sheetViews>
  <sheetFormatPr defaultColWidth="0" defaultRowHeight="12.75" zeroHeight="1"/>
  <cols>
    <col min="1" max="1" width="5.7109375" style="1" customWidth="1"/>
    <col min="2" max="2" width="4.7109375" style="2" customWidth="1"/>
    <col min="3" max="3" width="63.140625" style="1" customWidth="1"/>
    <col min="4" max="4" width="10.7109375" style="2" customWidth="1"/>
    <col min="5" max="6" width="18.7109375" style="1" customWidth="1"/>
    <col min="7" max="7" width="18.7109375" style="2" customWidth="1"/>
    <col min="8" max="8" width="10.7109375" style="1" customWidth="1"/>
    <col min="9" max="12" width="20.7109375" style="1" customWidth="1"/>
    <col min="13" max="13" width="5.7109375" style="1" customWidth="1"/>
    <col min="14" max="14" width="13.85546875" style="1" hidden="1" customWidth="1"/>
    <col min="15" max="16" width="10.7109375" style="1" hidden="1" customWidth="1"/>
    <col min="17" max="17" width="14.42578125" style="1" hidden="1" customWidth="1"/>
    <col min="18" max="24" width="10.7109375" style="1" hidden="1" customWidth="1"/>
    <col min="25" max="16384" width="9.140625" style="1" hidden="1"/>
  </cols>
  <sheetData>
    <row r="1" spans="2:9" ht="15" customHeight="1">
      <c r="C1" s="9"/>
      <c r="D1" s="1"/>
      <c r="G1" s="1"/>
    </row>
    <row r="2" spans="2:9" ht="30" customHeight="1">
      <c r="B2" s="254" t="s">
        <v>31</v>
      </c>
      <c r="C2" s="255"/>
      <c r="D2" s="255"/>
      <c r="E2" s="255"/>
      <c r="F2" s="255"/>
      <c r="G2" s="255"/>
      <c r="H2" s="255"/>
      <c r="I2" s="256"/>
    </row>
    <row r="3" spans="2:9" ht="20.100000000000001" customHeight="1">
      <c r="B3" s="54" t="s">
        <v>143</v>
      </c>
      <c r="C3" s="58" t="s">
        <v>23</v>
      </c>
      <c r="D3" s="221" t="s">
        <v>24</v>
      </c>
      <c r="E3" s="222"/>
      <c r="F3" s="222"/>
      <c r="G3" s="257"/>
      <c r="H3" s="54" t="s">
        <v>25</v>
      </c>
      <c r="I3" s="54" t="s">
        <v>26</v>
      </c>
    </row>
    <row r="4" spans="2:9" ht="15" customHeight="1">
      <c r="B4" s="258" t="s">
        <v>149</v>
      </c>
      <c r="C4" s="260" t="s">
        <v>223</v>
      </c>
      <c r="D4" s="262" t="s">
        <v>218</v>
      </c>
      <c r="E4" s="263"/>
      <c r="F4" s="263"/>
      <c r="G4" s="264"/>
      <c r="H4" s="11">
        <v>10</v>
      </c>
      <c r="I4" s="265">
        <f>IF(OR(ISNUMBER(Wyniki!E56),ISNUMBER(Wyniki!F56),ISNUMBER(Wyniki!G56)),Wyniki!E74,0)</f>
        <v>0</v>
      </c>
    </row>
    <row r="5" spans="2:9" ht="15" customHeight="1">
      <c r="B5" s="258"/>
      <c r="C5" s="260"/>
      <c r="D5" s="268" t="s">
        <v>42</v>
      </c>
      <c r="E5" s="269"/>
      <c r="F5" s="269"/>
      <c r="G5" s="270"/>
      <c r="H5" s="11">
        <v>6</v>
      </c>
      <c r="I5" s="266"/>
    </row>
    <row r="6" spans="2:9" ht="15" customHeight="1">
      <c r="B6" s="258"/>
      <c r="C6" s="260"/>
      <c r="D6" s="268" t="s">
        <v>43</v>
      </c>
      <c r="E6" s="269"/>
      <c r="F6" s="269"/>
      <c r="G6" s="270"/>
      <c r="H6" s="11">
        <v>3</v>
      </c>
      <c r="I6" s="266"/>
    </row>
    <row r="7" spans="2:9" ht="15" customHeight="1">
      <c r="B7" s="259"/>
      <c r="C7" s="261"/>
      <c r="D7" s="271" t="s">
        <v>44</v>
      </c>
      <c r="E7" s="272"/>
      <c r="F7" s="272"/>
      <c r="G7" s="273"/>
      <c r="H7" s="12">
        <v>2</v>
      </c>
      <c r="I7" s="267"/>
    </row>
    <row r="8" spans="2:9" ht="15" customHeight="1">
      <c r="B8" s="274" t="s">
        <v>150</v>
      </c>
      <c r="C8" s="275" t="s">
        <v>224</v>
      </c>
      <c r="D8" s="262" t="s">
        <v>47</v>
      </c>
      <c r="E8" s="263"/>
      <c r="F8" s="263"/>
      <c r="G8" s="264"/>
      <c r="H8" s="11">
        <v>10</v>
      </c>
      <c r="I8" s="265">
        <f>IF(OR(ISNUMBER(Wyniki!E57),ISNUMBER(Wyniki!F57),ISNUMBER(Wyniki!G57)),Wyniki!E75,0)</f>
        <v>0</v>
      </c>
    </row>
    <row r="9" spans="2:9" ht="15" customHeight="1">
      <c r="B9" s="258"/>
      <c r="C9" s="260"/>
      <c r="D9" s="268" t="s">
        <v>48</v>
      </c>
      <c r="E9" s="269"/>
      <c r="F9" s="269"/>
      <c r="G9" s="270"/>
      <c r="H9" s="11">
        <v>8</v>
      </c>
      <c r="I9" s="266"/>
    </row>
    <row r="10" spans="2:9" ht="15" customHeight="1">
      <c r="B10" s="258"/>
      <c r="C10" s="260"/>
      <c r="D10" s="268" t="s">
        <v>49</v>
      </c>
      <c r="E10" s="269"/>
      <c r="F10" s="269"/>
      <c r="G10" s="270"/>
      <c r="H10" s="11">
        <v>0</v>
      </c>
      <c r="I10" s="266"/>
    </row>
    <row r="11" spans="2:9" ht="15" customHeight="1">
      <c r="B11" s="259"/>
      <c r="C11" s="261"/>
      <c r="D11" s="271" t="s">
        <v>44</v>
      </c>
      <c r="E11" s="272"/>
      <c r="F11" s="272"/>
      <c r="G11" s="273"/>
      <c r="H11" s="12">
        <v>5</v>
      </c>
      <c r="I11" s="267"/>
    </row>
    <row r="12" spans="2:9" ht="15" customHeight="1">
      <c r="B12" s="274" t="s">
        <v>151</v>
      </c>
      <c r="C12" s="275" t="s">
        <v>225</v>
      </c>
      <c r="D12" s="262" t="s">
        <v>212</v>
      </c>
      <c r="E12" s="263"/>
      <c r="F12" s="263"/>
      <c r="G12" s="264"/>
      <c r="H12" s="11">
        <v>10</v>
      </c>
      <c r="I12" s="276">
        <f>ROUND(Wyniki!E76,0)</f>
        <v>0</v>
      </c>
    </row>
    <row r="13" spans="2:9" ht="15" customHeight="1">
      <c r="B13" s="258"/>
      <c r="C13" s="260"/>
      <c r="D13" s="268" t="s">
        <v>45</v>
      </c>
      <c r="E13" s="269"/>
      <c r="F13" s="269"/>
      <c r="G13" s="270"/>
      <c r="H13" s="13" t="s">
        <v>28</v>
      </c>
      <c r="I13" s="266"/>
    </row>
    <row r="14" spans="2:9" ht="15" customHeight="1">
      <c r="B14" s="258"/>
      <c r="C14" s="260"/>
      <c r="D14" s="277" t="s">
        <v>46</v>
      </c>
      <c r="E14" s="278"/>
      <c r="F14" s="278"/>
      <c r="G14" s="279"/>
      <c r="H14" s="15">
        <v>0</v>
      </c>
      <c r="I14" s="266"/>
    </row>
    <row r="15" spans="2:9" ht="15" customHeight="1">
      <c r="B15" s="259"/>
      <c r="C15" s="261"/>
      <c r="D15" s="271" t="s">
        <v>220</v>
      </c>
      <c r="E15" s="272"/>
      <c r="F15" s="272"/>
      <c r="G15" s="273"/>
      <c r="H15" s="12">
        <v>0</v>
      </c>
      <c r="I15" s="267"/>
    </row>
    <row r="16" spans="2:9" ht="15" customHeight="1">
      <c r="B16" s="274" t="s">
        <v>152</v>
      </c>
      <c r="C16" s="275" t="s">
        <v>226</v>
      </c>
      <c r="D16" s="262" t="s">
        <v>213</v>
      </c>
      <c r="E16" s="263"/>
      <c r="F16" s="263"/>
      <c r="G16" s="264"/>
      <c r="H16" s="48">
        <v>10</v>
      </c>
      <c r="I16" s="265">
        <f>ROUND(Wyniki!E77,0)</f>
        <v>0</v>
      </c>
    </row>
    <row r="17" spans="2:9" ht="15" customHeight="1">
      <c r="B17" s="258"/>
      <c r="C17" s="260"/>
      <c r="D17" s="268" t="s">
        <v>154</v>
      </c>
      <c r="E17" s="269"/>
      <c r="F17" s="269"/>
      <c r="G17" s="270"/>
      <c r="H17" s="14" t="s">
        <v>242</v>
      </c>
      <c r="I17" s="266"/>
    </row>
    <row r="18" spans="2:9" ht="15" customHeight="1">
      <c r="B18" s="259"/>
      <c r="C18" s="261"/>
      <c r="D18" s="271" t="s">
        <v>155</v>
      </c>
      <c r="E18" s="272"/>
      <c r="F18" s="272"/>
      <c r="G18" s="273"/>
      <c r="H18" s="45">
        <v>0</v>
      </c>
      <c r="I18" s="267"/>
    </row>
    <row r="19" spans="2:9" ht="15" customHeight="1">
      <c r="B19" s="274" t="s">
        <v>153</v>
      </c>
      <c r="C19" s="275" t="s">
        <v>227</v>
      </c>
      <c r="D19" s="262" t="s">
        <v>214</v>
      </c>
      <c r="E19" s="263"/>
      <c r="F19" s="263"/>
      <c r="G19" s="264"/>
      <c r="H19" s="11">
        <v>5</v>
      </c>
      <c r="I19" s="265">
        <f>ROUND(Wyniki!E78,0)</f>
        <v>0</v>
      </c>
    </row>
    <row r="20" spans="2:9" ht="15" customHeight="1">
      <c r="B20" s="258"/>
      <c r="C20" s="260"/>
      <c r="D20" s="268" t="s">
        <v>50</v>
      </c>
      <c r="E20" s="269"/>
      <c r="F20" s="269"/>
      <c r="G20" s="270"/>
      <c r="H20" s="13" t="s">
        <v>52</v>
      </c>
      <c r="I20" s="266"/>
    </row>
    <row r="21" spans="2:9" ht="15" customHeight="1">
      <c r="B21" s="259"/>
      <c r="C21" s="261"/>
      <c r="D21" s="271" t="s">
        <v>46</v>
      </c>
      <c r="E21" s="272"/>
      <c r="F21" s="272"/>
      <c r="G21" s="273"/>
      <c r="H21" s="12">
        <v>0</v>
      </c>
      <c r="I21" s="267"/>
    </row>
    <row r="22" spans="2:9" ht="15" customHeight="1">
      <c r="B22" s="274" t="s">
        <v>156</v>
      </c>
      <c r="C22" s="275" t="s">
        <v>228</v>
      </c>
      <c r="D22" s="262" t="s">
        <v>215</v>
      </c>
      <c r="E22" s="263"/>
      <c r="F22" s="263"/>
      <c r="G22" s="264"/>
      <c r="H22" s="11">
        <v>5</v>
      </c>
      <c r="I22" s="265">
        <f>ROUND(Wyniki!E79,0)</f>
        <v>0</v>
      </c>
    </row>
    <row r="23" spans="2:9" ht="15" customHeight="1">
      <c r="B23" s="258"/>
      <c r="C23" s="260"/>
      <c r="D23" s="268" t="s">
        <v>51</v>
      </c>
      <c r="E23" s="269"/>
      <c r="F23" s="269"/>
      <c r="G23" s="270"/>
      <c r="H23" s="15" t="s">
        <v>243</v>
      </c>
      <c r="I23" s="266"/>
    </row>
    <row r="24" spans="2:9" ht="15" customHeight="1">
      <c r="B24" s="259"/>
      <c r="C24" s="261"/>
      <c r="D24" s="271" t="s">
        <v>76</v>
      </c>
      <c r="E24" s="272"/>
      <c r="F24" s="272"/>
      <c r="G24" s="273"/>
      <c r="H24" s="12">
        <v>0</v>
      </c>
      <c r="I24" s="267"/>
    </row>
    <row r="25" spans="2:9" ht="15" customHeight="1">
      <c r="B25" s="265" t="s">
        <v>167</v>
      </c>
      <c r="C25" s="291" t="s">
        <v>229</v>
      </c>
      <c r="D25" s="293" t="s">
        <v>216</v>
      </c>
      <c r="E25" s="294"/>
      <c r="F25" s="294"/>
      <c r="G25" s="295"/>
      <c r="H25" s="46">
        <v>0</v>
      </c>
      <c r="I25" s="265">
        <f>IF(OR(ISNUMBER(Wyniki!E62),ISNUMBER(Wyniki!F62),ISNUMBER(Wyniki!G62)),Wyniki!E80,0)</f>
        <v>0</v>
      </c>
    </row>
    <row r="26" spans="2:9" ht="15" customHeight="1">
      <c r="B26" s="266"/>
      <c r="C26" s="292"/>
      <c r="D26" s="297" t="s">
        <v>74</v>
      </c>
      <c r="E26" s="298"/>
      <c r="F26" s="298"/>
      <c r="G26" s="299"/>
      <c r="H26" s="47" t="s">
        <v>28</v>
      </c>
      <c r="I26" s="266"/>
    </row>
    <row r="27" spans="2:9" ht="20.100000000000001" customHeight="1">
      <c r="B27" s="245" t="s">
        <v>168</v>
      </c>
      <c r="C27" s="280" t="s">
        <v>230</v>
      </c>
      <c r="D27" s="282" t="s">
        <v>217</v>
      </c>
      <c r="E27" s="283"/>
      <c r="F27" s="283"/>
      <c r="G27" s="284"/>
      <c r="H27" s="46">
        <v>10</v>
      </c>
      <c r="I27" s="265">
        <f>ROUND(Wyniki!E81,0)</f>
        <v>10</v>
      </c>
    </row>
    <row r="28" spans="2:9" ht="20.100000000000001" customHeight="1">
      <c r="B28" s="245"/>
      <c r="C28" s="280"/>
      <c r="D28" s="285" t="s">
        <v>9</v>
      </c>
      <c r="E28" s="286"/>
      <c r="F28" s="286"/>
      <c r="G28" s="287"/>
      <c r="H28" s="16" t="s">
        <v>242</v>
      </c>
      <c r="I28" s="266"/>
    </row>
    <row r="29" spans="2:9" ht="20.100000000000001" customHeight="1">
      <c r="B29" s="296"/>
      <c r="C29" s="281"/>
      <c r="D29" s="288" t="s">
        <v>29</v>
      </c>
      <c r="E29" s="289"/>
      <c r="F29" s="289"/>
      <c r="G29" s="290"/>
      <c r="H29" s="47">
        <v>0</v>
      </c>
      <c r="I29" s="266"/>
    </row>
    <row r="30" spans="2:9" ht="15" customHeight="1">
      <c r="B30" s="274" t="s">
        <v>182</v>
      </c>
      <c r="C30" s="275" t="s">
        <v>231</v>
      </c>
      <c r="D30" s="262" t="s">
        <v>77</v>
      </c>
      <c r="E30" s="263"/>
      <c r="F30" s="263"/>
      <c r="G30" s="264"/>
      <c r="H30" s="11">
        <v>10</v>
      </c>
      <c r="I30" s="276">
        <f>ROUND(Wyniki!E82,0)</f>
        <v>0</v>
      </c>
    </row>
    <row r="31" spans="2:9" ht="15" customHeight="1">
      <c r="B31" s="258"/>
      <c r="C31" s="260"/>
      <c r="D31" s="268" t="s">
        <v>90</v>
      </c>
      <c r="E31" s="269"/>
      <c r="F31" s="269"/>
      <c r="G31" s="270"/>
      <c r="H31" s="13" t="s">
        <v>28</v>
      </c>
      <c r="I31" s="266"/>
    </row>
    <row r="32" spans="2:9" ht="15" customHeight="1">
      <c r="B32" s="259"/>
      <c r="C32" s="261"/>
      <c r="D32" s="271" t="s">
        <v>78</v>
      </c>
      <c r="E32" s="272"/>
      <c r="F32" s="272"/>
      <c r="G32" s="273"/>
      <c r="H32" s="12">
        <v>0</v>
      </c>
      <c r="I32" s="267"/>
    </row>
    <row r="33" spans="2:10" ht="15" customHeight="1">
      <c r="B33" s="274" t="s">
        <v>188</v>
      </c>
      <c r="C33" s="275" t="s">
        <v>232</v>
      </c>
      <c r="D33" s="262" t="s">
        <v>213</v>
      </c>
      <c r="E33" s="263"/>
      <c r="F33" s="263"/>
      <c r="G33" s="264"/>
      <c r="H33" s="11">
        <v>5</v>
      </c>
      <c r="I33" s="265">
        <f>ROUND(E83,0)</f>
        <v>0</v>
      </c>
    </row>
    <row r="34" spans="2:10" ht="15" customHeight="1">
      <c r="B34" s="258"/>
      <c r="C34" s="260"/>
      <c r="D34" s="268" t="s">
        <v>27</v>
      </c>
      <c r="E34" s="269"/>
      <c r="F34" s="269"/>
      <c r="G34" s="270"/>
      <c r="H34" s="15" t="s">
        <v>243</v>
      </c>
      <c r="I34" s="266"/>
    </row>
    <row r="35" spans="2:10" ht="15" customHeight="1">
      <c r="B35" s="259"/>
      <c r="C35" s="261"/>
      <c r="D35" s="271" t="s">
        <v>75</v>
      </c>
      <c r="E35" s="272"/>
      <c r="F35" s="272"/>
      <c r="G35" s="273"/>
      <c r="H35" s="12">
        <v>0</v>
      </c>
      <c r="I35" s="267"/>
    </row>
    <row r="36" spans="2:10" ht="20.100000000000001" customHeight="1">
      <c r="B36" s="274" t="s">
        <v>189</v>
      </c>
      <c r="C36" s="275" t="s">
        <v>233</v>
      </c>
      <c r="D36" s="262" t="s">
        <v>53</v>
      </c>
      <c r="E36" s="263"/>
      <c r="F36" s="263"/>
      <c r="G36" s="264"/>
      <c r="H36" s="11">
        <v>5</v>
      </c>
      <c r="I36" s="265">
        <f>ROUND(Wyniki!E84,0)</f>
        <v>0</v>
      </c>
    </row>
    <row r="37" spans="2:10" ht="20.100000000000001" customHeight="1">
      <c r="B37" s="259"/>
      <c r="C37" s="261"/>
      <c r="D37" s="271" t="s">
        <v>54</v>
      </c>
      <c r="E37" s="272"/>
      <c r="F37" s="272"/>
      <c r="G37" s="273"/>
      <c r="H37" s="12">
        <v>0</v>
      </c>
      <c r="I37" s="267"/>
    </row>
    <row r="38" spans="2:10" ht="24.95" customHeight="1">
      <c r="B38" s="245" t="s">
        <v>36</v>
      </c>
      <c r="C38" s="275" t="s">
        <v>234</v>
      </c>
      <c r="D38" s="282" t="s">
        <v>217</v>
      </c>
      <c r="E38" s="283"/>
      <c r="F38" s="283"/>
      <c r="G38" s="284"/>
      <c r="H38" s="51">
        <v>10</v>
      </c>
      <c r="I38" s="276" t="str">
        <f>IF(ISNUMBER(E85),ROUND(Wyniki!E85,0),"0")</f>
        <v>0</v>
      </c>
    </row>
    <row r="39" spans="2:10" ht="24.95" customHeight="1">
      <c r="B39" s="245"/>
      <c r="C39" s="300"/>
      <c r="D39" s="285" t="s">
        <v>55</v>
      </c>
      <c r="E39" s="286"/>
      <c r="F39" s="286"/>
      <c r="G39" s="287"/>
      <c r="H39" s="17" t="s">
        <v>242</v>
      </c>
      <c r="I39" s="266"/>
    </row>
    <row r="40" spans="2:10" ht="24.95" customHeight="1">
      <c r="B40" s="245"/>
      <c r="C40" s="301"/>
      <c r="D40" s="288" t="s">
        <v>57</v>
      </c>
      <c r="E40" s="289"/>
      <c r="F40" s="289"/>
      <c r="G40" s="290"/>
      <c r="H40" s="18">
        <v>0</v>
      </c>
      <c r="I40" s="267"/>
    </row>
    <row r="41" spans="2:10" ht="30" customHeight="1">
      <c r="B41" s="302" t="s">
        <v>30</v>
      </c>
      <c r="C41" s="303"/>
      <c r="D41" s="303"/>
      <c r="E41" s="303"/>
      <c r="F41" s="303"/>
      <c r="G41" s="304"/>
      <c r="H41" s="19"/>
      <c r="I41" s="20">
        <f>SUM(I4:I40)</f>
        <v>10</v>
      </c>
    </row>
    <row r="42" spans="2:10" ht="30" customHeight="1">
      <c r="B42" s="305" t="s">
        <v>126</v>
      </c>
      <c r="C42" s="306"/>
      <c r="D42" s="306"/>
      <c r="E42" s="306"/>
      <c r="F42" s="306"/>
      <c r="G42" s="307"/>
      <c r="H42" s="308" t="str">
        <f>IF(I41&gt;75,"Wysoka",IF(I41&gt;59,"Dobra",IF(I41&gt;49,"Zadawalająca",IF(I41&gt;32,"Niska","Zła/trudności finansowe"))))</f>
        <v>Zła/trudności finansowe</v>
      </c>
      <c r="I42" s="309"/>
    </row>
    <row r="43" spans="2:10" ht="15" customHeight="1">
      <c r="B43" s="1"/>
      <c r="D43" s="1"/>
      <c r="G43" s="1"/>
    </row>
    <row r="44" spans="2:10" ht="15" customHeight="1">
      <c r="B44" s="1"/>
      <c r="D44" s="1"/>
      <c r="G44" s="1"/>
    </row>
    <row r="45" spans="2:10" ht="30" customHeight="1">
      <c r="B45" s="314" t="s">
        <v>56</v>
      </c>
      <c r="C45" s="314"/>
      <c r="D45" s="314"/>
      <c r="E45" s="314"/>
      <c r="F45" s="314"/>
      <c r="G45" s="1"/>
    </row>
    <row r="46" spans="2:10" s="21" customFormat="1" ht="24.95" customHeight="1">
      <c r="B46" s="194" t="s">
        <v>143</v>
      </c>
      <c r="C46" s="193" t="s">
        <v>126</v>
      </c>
      <c r="D46" s="229" t="s">
        <v>127</v>
      </c>
      <c r="E46" s="229"/>
      <c r="F46" s="229"/>
      <c r="G46" s="1"/>
      <c r="H46" s="1"/>
      <c r="I46" s="1"/>
      <c r="J46" s="1"/>
    </row>
    <row r="47" spans="2:10" ht="20.100000000000001" customHeight="1">
      <c r="B47" s="3" t="s">
        <v>149</v>
      </c>
      <c r="C47" s="59" t="s">
        <v>158</v>
      </c>
      <c r="D47" s="230" t="s">
        <v>144</v>
      </c>
      <c r="E47" s="230"/>
      <c r="F47" s="230"/>
      <c r="G47" s="1"/>
    </row>
    <row r="48" spans="2:10" ht="20.100000000000001" customHeight="1">
      <c r="B48" s="3" t="s">
        <v>150</v>
      </c>
      <c r="C48" s="59" t="s">
        <v>159</v>
      </c>
      <c r="D48" s="230" t="s">
        <v>145</v>
      </c>
      <c r="E48" s="230"/>
      <c r="F48" s="230"/>
      <c r="G48" s="1"/>
    </row>
    <row r="49" spans="2:9" ht="20.100000000000001" customHeight="1">
      <c r="B49" s="3" t="s">
        <v>151</v>
      </c>
      <c r="C49" s="59" t="s">
        <v>160</v>
      </c>
      <c r="D49" s="230" t="s">
        <v>146</v>
      </c>
      <c r="E49" s="230"/>
      <c r="F49" s="230"/>
      <c r="G49" s="1"/>
    </row>
    <row r="50" spans="2:9" ht="20.100000000000001" customHeight="1">
      <c r="B50" s="3" t="s">
        <v>152</v>
      </c>
      <c r="C50" s="59" t="s">
        <v>161</v>
      </c>
      <c r="D50" s="230" t="s">
        <v>147</v>
      </c>
      <c r="E50" s="230"/>
      <c r="F50" s="230"/>
      <c r="G50" s="1"/>
    </row>
    <row r="51" spans="2:9" ht="20.100000000000001" customHeight="1">
      <c r="B51" s="3" t="s">
        <v>153</v>
      </c>
      <c r="C51" s="59" t="s">
        <v>162</v>
      </c>
      <c r="D51" s="230" t="s">
        <v>148</v>
      </c>
      <c r="E51" s="230"/>
      <c r="F51" s="230"/>
      <c r="G51" s="1"/>
    </row>
    <row r="52" spans="2:9" ht="15" customHeight="1">
      <c r="C52" s="9"/>
      <c r="D52" s="1"/>
      <c r="F52" s="21"/>
      <c r="G52" s="1"/>
    </row>
    <row r="53" spans="2:9" s="22" customFormat="1" ht="15" customHeight="1"/>
    <row r="54" spans="2:9" ht="19.5" customHeight="1">
      <c r="B54" s="235" t="s">
        <v>143</v>
      </c>
      <c r="C54" s="235" t="s">
        <v>112</v>
      </c>
      <c r="D54" s="232" t="s">
        <v>1</v>
      </c>
      <c r="E54" s="78" t="s">
        <v>287</v>
      </c>
      <c r="F54" s="78" t="s">
        <v>286</v>
      </c>
      <c r="G54" s="78" t="s">
        <v>285</v>
      </c>
      <c r="H54" s="310" t="s">
        <v>111</v>
      </c>
      <c r="I54" s="311"/>
    </row>
    <row r="55" spans="2:9" s="23" customFormat="1" ht="20.100000000000001" customHeight="1">
      <c r="B55" s="237"/>
      <c r="C55" s="237"/>
      <c r="D55" s="233"/>
      <c r="E55" s="194">
        <f>'Dane finansowe'!E21</f>
        <v>2022</v>
      </c>
      <c r="F55" s="194">
        <f>'Dane finansowe'!F21</f>
        <v>2023</v>
      </c>
      <c r="G55" s="194">
        <f>'Dane finansowe'!G21</f>
        <v>2024</v>
      </c>
      <c r="H55" s="312"/>
      <c r="I55" s="313"/>
    </row>
    <row r="56" spans="2:9" ht="26.1" customHeight="1">
      <c r="B56" s="52" t="s">
        <v>149</v>
      </c>
      <c r="C56" s="59" t="s">
        <v>192</v>
      </c>
      <c r="D56" s="3" t="str">
        <f>IF('Dane finansowe'!D22="","",'Dane finansowe'!D22)</f>
        <v>zł</v>
      </c>
      <c r="E56" s="113" t="str">
        <f>IF('Dane finansowe'!E22=0,"",('Dane finansowe'!E22))</f>
        <v/>
      </c>
      <c r="F56" s="113" t="str">
        <f>IF('Dane finansowe'!F22=0,"",('Dane finansowe'!F22))</f>
        <v/>
      </c>
      <c r="G56" s="113" t="str">
        <f>IF('Dane finansowe'!G22=0,"",('Dane finansowe'!G22))</f>
        <v/>
      </c>
      <c r="H56" s="245" t="s">
        <v>97</v>
      </c>
      <c r="I56" s="246"/>
    </row>
    <row r="57" spans="2:9" ht="26.1" customHeight="1">
      <c r="B57" s="52" t="s">
        <v>150</v>
      </c>
      <c r="C57" s="59" t="s">
        <v>193</v>
      </c>
      <c r="D57" s="46" t="s">
        <v>187</v>
      </c>
      <c r="E57" s="117" t="str">
        <f>IF('Dane finansowe'!E22=0,"",'Dane finansowe'!E25/'Dane finansowe'!E22)</f>
        <v/>
      </c>
      <c r="F57" s="117" t="str">
        <f>IF('Dane finansowe'!F22=0,"",'Dane finansowe'!F25/'Dane finansowe'!F22)</f>
        <v/>
      </c>
      <c r="G57" s="117" t="str">
        <f>IF('Dane finansowe'!G22=0,"",'Dane finansowe'!G25/'Dane finansowe'!G22)</f>
        <v/>
      </c>
      <c r="H57" s="245" t="s">
        <v>98</v>
      </c>
      <c r="I57" s="246"/>
    </row>
    <row r="58" spans="2:9" ht="26.1" customHeight="1">
      <c r="B58" s="52" t="s">
        <v>151</v>
      </c>
      <c r="C58" s="59" t="s">
        <v>194</v>
      </c>
      <c r="D58" s="3" t="s">
        <v>187</v>
      </c>
      <c r="E58" s="125" t="str">
        <f>IF('Dane finansowe'!E44=0,"",'Dane finansowe'!E29/'Dane finansowe'!E44)</f>
        <v/>
      </c>
      <c r="F58" s="125" t="str">
        <f>IF('Dane finansowe'!F44=0,"",'Dane finansowe'!F29/'Dane finansowe'!F44)</f>
        <v/>
      </c>
      <c r="G58" s="125" t="str">
        <f>IF('Dane finansowe'!G44=0,"",'Dane finansowe'!G29/'Dane finansowe'!G44)</f>
        <v/>
      </c>
      <c r="H58" s="245" t="s">
        <v>96</v>
      </c>
      <c r="I58" s="246"/>
    </row>
    <row r="59" spans="2:9" ht="26.1" customHeight="1">
      <c r="B59" s="52" t="s">
        <v>152</v>
      </c>
      <c r="C59" s="59" t="s">
        <v>195</v>
      </c>
      <c r="D59" s="3" t="s">
        <v>5</v>
      </c>
      <c r="E59" s="119" t="str">
        <f>IF(ISNUMBER('Dane finansowe'!E48),IF('Dane finansowe'!E48=0,1.1,('Dane finansowe'!E33-'Dane finansowe'!E34)/'Dane finansowe'!E48),"")</f>
        <v/>
      </c>
      <c r="F59" s="119" t="str">
        <f>IF(ISNUMBER('Dane finansowe'!F48),IF('Dane finansowe'!F48=0,1.1,('Dane finansowe'!F33-'Dane finansowe'!F34)/'Dane finansowe'!F48),"")</f>
        <v/>
      </c>
      <c r="G59" s="119" t="str">
        <f>IF(ISNUMBER('Dane finansowe'!G48),IF('Dane finansowe'!G48=0,1.1,('Dane finansowe'!G33-'Dane finansowe'!G34)/'Dane finansowe'!G48),"")</f>
        <v/>
      </c>
      <c r="H59" s="245" t="s">
        <v>99</v>
      </c>
      <c r="I59" s="246"/>
    </row>
    <row r="60" spans="2:9" ht="26.1" customHeight="1">
      <c r="B60" s="52" t="s">
        <v>153</v>
      </c>
      <c r="C60" s="59" t="s">
        <v>196</v>
      </c>
      <c r="D60" s="3" t="s">
        <v>187</v>
      </c>
      <c r="E60" s="125" t="str">
        <f>IF('Dane finansowe'!E45=0,"",'Dane finansowe'!E53/'Dane finansowe'!E45)</f>
        <v/>
      </c>
      <c r="F60" s="125" t="str">
        <f>IF('Dane finansowe'!F45=0,"",'Dane finansowe'!F53/'Dane finansowe'!F45)</f>
        <v/>
      </c>
      <c r="G60" s="125" t="str">
        <f>IF('Dane finansowe'!G45=0,"",'Dane finansowe'!G53/'Dane finansowe'!G45)</f>
        <v/>
      </c>
      <c r="H60" s="245" t="s">
        <v>100</v>
      </c>
      <c r="I60" s="246"/>
    </row>
    <row r="61" spans="2:9" ht="26.1" customHeight="1">
      <c r="B61" s="52" t="s">
        <v>156</v>
      </c>
      <c r="C61" s="59" t="s">
        <v>197</v>
      </c>
      <c r="D61" s="3" t="s">
        <v>187</v>
      </c>
      <c r="E61" s="125" t="str">
        <f>IF('Dane finansowe'!E41=0,"",'Dane finansowe'!E44/'Dane finansowe'!E41)</f>
        <v/>
      </c>
      <c r="F61" s="125" t="str">
        <f>IF('Dane finansowe'!F41=0,"",'Dane finansowe'!F44/'Dane finansowe'!F41)</f>
        <v/>
      </c>
      <c r="G61" s="125" t="str">
        <f>IF('Dane finansowe'!G41=0,"",'Dane finansowe'!G44/'Dane finansowe'!G41)</f>
        <v/>
      </c>
      <c r="H61" s="245" t="s">
        <v>101</v>
      </c>
      <c r="I61" s="246"/>
    </row>
    <row r="62" spans="2:9" ht="26.1" customHeight="1">
      <c r="B62" s="52" t="s">
        <v>167</v>
      </c>
      <c r="C62" s="59" t="s">
        <v>198</v>
      </c>
      <c r="D62" s="3" t="s">
        <v>5</v>
      </c>
      <c r="E62" s="113" t="str">
        <f>IF('Dane finansowe'!E41=0,"",('Dane finansowe'!E45-'Dane finansowe'!E49)/'Dane finansowe'!E41)</f>
        <v/>
      </c>
      <c r="F62" s="113" t="str">
        <f>IF('Dane finansowe'!F41=0,"",('Dane finansowe'!F45-'Dane finansowe'!F49)/'Dane finansowe'!F41)</f>
        <v/>
      </c>
      <c r="G62" s="113" t="str">
        <f>IF('Dane finansowe'!G41=0,"",('Dane finansowe'!G45-'Dane finansowe'!G49)/'Dane finansowe'!G41)</f>
        <v/>
      </c>
      <c r="H62" s="245" t="s">
        <v>102</v>
      </c>
      <c r="I62" s="246"/>
    </row>
    <row r="63" spans="2:9" ht="57.75" customHeight="1">
      <c r="B63" s="52" t="s">
        <v>168</v>
      </c>
      <c r="C63" s="59" t="s">
        <v>199</v>
      </c>
      <c r="D63" s="3" t="s">
        <v>73</v>
      </c>
      <c r="E63" s="128">
        <f t="shared" ref="E63:G63" si="0">IF(E182=0,2,IF(E182="","",E183))</f>
        <v>2</v>
      </c>
      <c r="F63" s="128">
        <f t="shared" si="0"/>
        <v>2</v>
      </c>
      <c r="G63" s="128">
        <f t="shared" si="0"/>
        <v>2</v>
      </c>
      <c r="H63" s="245" t="s">
        <v>103</v>
      </c>
      <c r="I63" s="246"/>
    </row>
    <row r="64" spans="2:9" ht="37.5" customHeight="1">
      <c r="B64" s="52" t="s">
        <v>182</v>
      </c>
      <c r="C64" s="49" t="s">
        <v>200</v>
      </c>
      <c r="D64" s="242"/>
      <c r="E64" s="243"/>
      <c r="F64" s="243"/>
      <c r="G64" s="244"/>
      <c r="H64" s="245" t="s">
        <v>104</v>
      </c>
      <c r="I64" s="246"/>
    </row>
    <row r="65" spans="2:9" ht="26.1" customHeight="1">
      <c r="B65" s="3" t="s">
        <v>91</v>
      </c>
      <c r="C65" s="59" t="s">
        <v>79</v>
      </c>
      <c r="D65" s="24" t="s">
        <v>35</v>
      </c>
      <c r="E65" s="129" t="str">
        <f>IF('Dane finansowe'!E22=0,"",(('Dane finansowe'!E34/'Dane finansowe'!E22)*365))</f>
        <v/>
      </c>
      <c r="F65" s="129" t="str">
        <f>IF('Dane finansowe'!F22=0,"",(('Dane finansowe'!F34/'Dane finansowe'!F22)*365))</f>
        <v/>
      </c>
      <c r="G65" s="129" t="str">
        <f>IF('Dane finansowe'!G22=0,"",(('Dane finansowe'!G34/'Dane finansowe'!G22)*365))</f>
        <v/>
      </c>
      <c r="H65" s="245" t="s">
        <v>108</v>
      </c>
      <c r="I65" s="246"/>
    </row>
    <row r="66" spans="2:9" ht="26.1" customHeight="1">
      <c r="B66" s="3" t="s">
        <v>92</v>
      </c>
      <c r="C66" s="59" t="s">
        <v>80</v>
      </c>
      <c r="D66" s="25" t="s">
        <v>35</v>
      </c>
      <c r="E66" s="130" t="str">
        <f>IF('Dane finansowe'!E22=0,"",(('Dane finansowe'!E35/'Dane finansowe'!E22)*365))</f>
        <v/>
      </c>
      <c r="F66" s="130" t="str">
        <f>IF('Dane finansowe'!F22=0,"",(('Dane finansowe'!F35/'Dane finansowe'!F22)*365))</f>
        <v/>
      </c>
      <c r="G66" s="130" t="str">
        <f>IF('Dane finansowe'!G22=0,"",(('Dane finansowe'!G35/'Dane finansowe'!G22)*365))</f>
        <v/>
      </c>
      <c r="H66" s="245" t="s">
        <v>109</v>
      </c>
      <c r="I66" s="246"/>
    </row>
    <row r="67" spans="2:9" ht="26.1" customHeight="1">
      <c r="B67" s="3" t="s">
        <v>93</v>
      </c>
      <c r="C67" s="59" t="s">
        <v>81</v>
      </c>
      <c r="D67" s="25" t="s">
        <v>35</v>
      </c>
      <c r="E67" s="130" t="str">
        <f>IF('Dane finansowe'!E22=0,"",(('Dane finansowe'!E48/'Dane finansowe'!E22)*365))</f>
        <v/>
      </c>
      <c r="F67" s="130" t="str">
        <f>IF('Dane finansowe'!F22=0,"",(('Dane finansowe'!F48/'Dane finansowe'!F22)*365))</f>
        <v/>
      </c>
      <c r="G67" s="130" t="str">
        <f>IF('Dane finansowe'!G22=0,"",(('Dane finansowe'!G48/'Dane finansowe'!G22)*365))</f>
        <v/>
      </c>
      <c r="H67" s="245" t="s">
        <v>110</v>
      </c>
      <c r="I67" s="246"/>
    </row>
    <row r="68" spans="2:9" ht="26.1" customHeight="1">
      <c r="B68" s="52" t="s">
        <v>188</v>
      </c>
      <c r="C68" s="59" t="s">
        <v>201</v>
      </c>
      <c r="D68" s="3" t="s">
        <v>5</v>
      </c>
      <c r="E68" s="119" t="str">
        <f>IF('Dane finansowe'!E32=0,"",'Dane finansowe'!E44/'Dane finansowe'!E32)</f>
        <v/>
      </c>
      <c r="F68" s="119" t="str">
        <f>IF('Dane finansowe'!F32=0,"",'Dane finansowe'!F44/'Dane finansowe'!F32)</f>
        <v/>
      </c>
      <c r="G68" s="119" t="str">
        <f>IF('Dane finansowe'!G32=0,"",'Dane finansowe'!G44/'Dane finansowe'!G32)</f>
        <v/>
      </c>
      <c r="H68" s="245" t="s">
        <v>105</v>
      </c>
      <c r="I68" s="246"/>
    </row>
    <row r="69" spans="2:9" ht="26.1" customHeight="1">
      <c r="B69" s="52" t="s">
        <v>189</v>
      </c>
      <c r="C69" s="59" t="s">
        <v>202</v>
      </c>
      <c r="D69" s="3" t="s">
        <v>0</v>
      </c>
      <c r="E69" s="131" t="str">
        <f>IF('Dane finansowe'!E41=0,"",IF(E58&gt;(('Dane finansowe'!E29+'Dane finansowe'!E27+'Dane finansowe'!E28)/'Dane finansowe'!E41),"TAK","NIE"))</f>
        <v/>
      </c>
      <c r="F69" s="131" t="str">
        <f>IF('Dane finansowe'!F41=0,"",IF(F58&gt;(('Dane finansowe'!F29+'Dane finansowe'!F27+'Dane finansowe'!F28)/'Dane finansowe'!F41),"TAK","NIE"))</f>
        <v/>
      </c>
      <c r="G69" s="131" t="str">
        <f>IF('Dane finansowe'!G41=0,"",IF(G58&gt;(('Dane finansowe'!G29+'Dane finansowe'!G27+'Dane finansowe'!G28)/'Dane finansowe'!G41),"TAK","NIE"))</f>
        <v/>
      </c>
      <c r="H69" s="245" t="s">
        <v>106</v>
      </c>
      <c r="I69" s="246"/>
    </row>
    <row r="70" spans="2:9" ht="26.1" customHeight="1">
      <c r="B70" s="52" t="s">
        <v>36</v>
      </c>
      <c r="C70" s="59" t="s">
        <v>203</v>
      </c>
      <c r="D70" s="3" t="s">
        <v>5</v>
      </c>
      <c r="E70" s="119" t="str">
        <f>IF(ISNUMBER(E266),E266,"")</f>
        <v/>
      </c>
      <c r="F70" s="119" t="str">
        <f>IF(ISNUMBER(F266),F266,"")</f>
        <v/>
      </c>
      <c r="G70" s="119" t="str">
        <f>IF(ISNUMBER(G266),G266,"")</f>
        <v/>
      </c>
      <c r="H70" s="245" t="s">
        <v>107</v>
      </c>
      <c r="I70" s="246"/>
    </row>
    <row r="71" spans="2:9" ht="15" customHeight="1">
      <c r="B71" s="247" t="s">
        <v>10</v>
      </c>
      <c r="C71" s="247"/>
      <c r="D71" s="247"/>
      <c r="G71" s="1"/>
    </row>
    <row r="72" spans="2:9" ht="15" customHeight="1"/>
    <row r="73" spans="2:9" s="23" customFormat="1" ht="26.1" customHeight="1">
      <c r="B73" s="54" t="s">
        <v>143</v>
      </c>
      <c r="C73" s="192" t="s">
        <v>186</v>
      </c>
      <c r="D73" s="194" t="s">
        <v>94</v>
      </c>
      <c r="E73" s="54" t="s">
        <v>41</v>
      </c>
      <c r="F73" s="54" t="s">
        <v>95</v>
      </c>
      <c r="G73" s="2"/>
      <c r="I73" s="1"/>
    </row>
    <row r="74" spans="2:9" ht="45" customHeight="1">
      <c r="B74" s="52" t="str">
        <f t="shared" ref="B74:C82" si="1">B56</f>
        <v>1.</v>
      </c>
      <c r="C74" s="59" t="str">
        <f t="shared" si="1"/>
        <v>Dynamika sprzedaży. Formuła: zmiana przychodów ze sprzedaży rok do roku</v>
      </c>
      <c r="D74" s="52" t="s">
        <v>2</v>
      </c>
      <c r="E74" s="3">
        <f>IF(AND(ISNUMBER('Dane finansowe'!E22),ISNUMBER('Dane finansowe'!F22),ISNUMBER('Dane finansowe'!G22)),IF(AND(Wyniki!E56&lt;Wyniki!F56,Wyniki!F56&lt;Wyniki!G56),10,IF(Wyniki!F56&lt;Wyniki!G56,6,2)),3)</f>
        <v>3</v>
      </c>
      <c r="F74" s="52" t="s">
        <v>118</v>
      </c>
    </row>
    <row r="75" spans="2:9" ht="45" customHeight="1">
      <c r="B75" s="52" t="str">
        <f t="shared" si="1"/>
        <v>2.</v>
      </c>
      <c r="C75" s="59" t="str">
        <f t="shared" si="1"/>
        <v>Rentowność sprzedaży - wskaźnik rentowności sprzedaży. Formuła: wynik na sprzedaży / sprzedaż ogółem</v>
      </c>
      <c r="D75" s="52" t="s">
        <v>2</v>
      </c>
      <c r="E75" s="3">
        <f>IF(AND(E57&gt;=0,F57&gt;=0,G57&gt;=0,G57&gt;F57),10,IF(AND(E57&gt;=0,F57&gt;=0,G57&gt;=0,G57&lt;F57),8,IF(OR((AND(E57&lt;=0,F57&lt;=0,G57&lt;=0)),(AND(F57&lt;=0,G57&lt;=0))),0,5)))</f>
        <v>5</v>
      </c>
      <c r="F75" s="52" t="s">
        <v>118</v>
      </c>
    </row>
    <row r="76" spans="2:9" ht="45" customHeight="1">
      <c r="B76" s="52" t="str">
        <f t="shared" si="1"/>
        <v>3.</v>
      </c>
      <c r="C76" s="59" t="str">
        <f t="shared" si="1"/>
        <v>Rentowność kapitału - wskaźnik ROE. Formuła: wynik netto / kapitały własne</v>
      </c>
      <c r="D76" s="52" t="s">
        <v>2</v>
      </c>
      <c r="E76" s="26">
        <f>IF(ISNUMBER(E99),E99,0)</f>
        <v>0</v>
      </c>
      <c r="F76" s="52" t="s">
        <v>119</v>
      </c>
    </row>
    <row r="77" spans="2:9" ht="45" customHeight="1">
      <c r="B77" s="52" t="str">
        <f t="shared" si="1"/>
        <v>4.</v>
      </c>
      <c r="C77" s="59" t="str">
        <f t="shared" si="1"/>
        <v>Płynność finansowa - wskaźnik płynności finansowej II stopnia: Formuła: (aktywa bieżące - zapasy) / zobowiązania bieżące</v>
      </c>
      <c r="D77" s="52" t="s">
        <v>2</v>
      </c>
      <c r="E77" s="26">
        <f>IF(ISNUMBER(E114),E114,0)</f>
        <v>0</v>
      </c>
      <c r="F77" s="52" t="s">
        <v>119</v>
      </c>
    </row>
    <row r="78" spans="2:9" ht="45" customHeight="1">
      <c r="B78" s="52" t="str">
        <f t="shared" si="1"/>
        <v>5.</v>
      </c>
      <c r="C78" s="59" t="str">
        <f t="shared" si="1"/>
        <v>Pokrycie zadłużenia - wskaźnik pokrycia obsługi długu z gotówki operacyjnej. Formuła: CF operacyjny / zadłużenie (zobowiązania ogółem)</v>
      </c>
      <c r="D78" s="52" t="s">
        <v>2</v>
      </c>
      <c r="E78" s="3">
        <f>IF(ISNUMBER(E128),E128,0)</f>
        <v>0</v>
      </c>
      <c r="F78" s="52" t="s">
        <v>119</v>
      </c>
    </row>
    <row r="79" spans="2:9" ht="45" customHeight="1">
      <c r="B79" s="52" t="str">
        <f t="shared" si="1"/>
        <v>6.</v>
      </c>
      <c r="C79" s="59" t="str">
        <f t="shared" si="1"/>
        <v>Wypłacalność - wskaźnik pokrycia aktywów kapitałami własnymi. Formuła: kapitał własny / aktywa ogółem</v>
      </c>
      <c r="D79" s="52" t="s">
        <v>2</v>
      </c>
      <c r="E79" s="3">
        <f>IF(ISNUMBER(E143),E143,0)</f>
        <v>0</v>
      </c>
      <c r="F79" s="52" t="s">
        <v>119</v>
      </c>
    </row>
    <row r="80" spans="2:9" ht="45" customHeight="1">
      <c r="B80" s="52" t="str">
        <f t="shared" si="1"/>
        <v>7.</v>
      </c>
      <c r="C80" s="59" t="str">
        <f t="shared" si="1"/>
        <v>Poziom zadłużenia - wskaźnik ogólnego zadłużenia. Formuła: (zobowiązania + rezerwy na zobowiązania) / aktywa ogółem</v>
      </c>
      <c r="D80" s="52" t="s">
        <v>2</v>
      </c>
      <c r="E80" s="3">
        <f>IF(ISNUMBER(E157),E157,0)</f>
        <v>0</v>
      </c>
      <c r="F80" s="52" t="s">
        <v>119</v>
      </c>
    </row>
    <row r="81" spans="2:23" ht="51">
      <c r="B81" s="52" t="str">
        <f t="shared" si="1"/>
        <v>8.</v>
      </c>
      <c r="C81" s="59" t="str">
        <f t="shared" si="1"/>
        <v>Pokrycie zadłużenia - wskaźnik pokrycia obsługi długu z przepływów pieniężnych WPOD. Formuła: (CF operacyjny + CF inwestycyjny + CF finansowy (wpływy) + saldo środków na początek okresu) / CF finansowy (wydatki)</v>
      </c>
      <c r="D81" s="52" t="s">
        <v>2</v>
      </c>
      <c r="E81" s="3">
        <f>IF(ISNUMBER(E172),E172,0)</f>
        <v>10</v>
      </c>
      <c r="F81" s="52" t="s">
        <v>119</v>
      </c>
    </row>
    <row r="82" spans="2:23" ht="45" customHeight="1">
      <c r="B82" s="52" t="str">
        <f t="shared" si="1"/>
        <v>9.</v>
      </c>
      <c r="C82" s="59" t="str">
        <f t="shared" si="1"/>
        <v>Sprawność działalnia - wskaźniki rotacji (zapasów, należności i zobowiązań). Formuła: (stan zapasów, należności, zobowiązań x liczba dni) / przychody netto ze sprzedaży</v>
      </c>
      <c r="D82" s="52" t="s">
        <v>2</v>
      </c>
      <c r="E82" s="26">
        <f>IF((AND(ISNUMBER(E197),ISNUMBER(E211),ISNUMBER(E225))),AVERAGE(E197,E211,E225),0)</f>
        <v>0</v>
      </c>
      <c r="F82" s="52" t="s">
        <v>121</v>
      </c>
    </row>
    <row r="83" spans="2:23" ht="45" customHeight="1">
      <c r="B83" s="52" t="str">
        <f t="shared" ref="B83:C85" si="2">B68</f>
        <v>10.</v>
      </c>
      <c r="C83" s="59" t="str">
        <f t="shared" si="2"/>
        <v>Pokrycie aktywów stałych: kapitał własny / aktywa trwałe</v>
      </c>
      <c r="D83" s="52" t="s">
        <v>2</v>
      </c>
      <c r="E83" s="3">
        <f>IF(ISNUMBER(E240),E240,0)</f>
        <v>0</v>
      </c>
      <c r="F83" s="52" t="s">
        <v>119</v>
      </c>
    </row>
    <row r="84" spans="2:23" ht="45" customHeight="1">
      <c r="B84" s="52" t="str">
        <f t="shared" si="2"/>
        <v>11.</v>
      </c>
      <c r="C84" s="59" t="str">
        <f t="shared" si="2"/>
        <v>Efekt dźwigni finansowej: ROE &gt; (wynik netto + koszty odsetek + podatek dochodowy) / aktywa ogółem</v>
      </c>
      <c r="D84" s="52" t="s">
        <v>2</v>
      </c>
      <c r="E84" s="3">
        <f>IF(Wyniki!G69="tak",5,0)</f>
        <v>0</v>
      </c>
      <c r="F84" s="52" t="s">
        <v>120</v>
      </c>
    </row>
    <row r="85" spans="2:23" ht="45" customHeight="1">
      <c r="B85" s="52" t="str">
        <f t="shared" si="2"/>
        <v>12.</v>
      </c>
      <c r="C85" s="59" t="str">
        <f t="shared" si="2"/>
        <v>Analiza dyskryminacyjna - model prof. E. Mączyńskiej</v>
      </c>
      <c r="D85" s="52" t="s">
        <v>2</v>
      </c>
      <c r="E85" s="26" t="str">
        <f>IF(ISNUMBER(E254),E254,"brak danych")</f>
        <v>brak danych</v>
      </c>
      <c r="F85" s="52" t="s">
        <v>119</v>
      </c>
    </row>
    <row r="86" spans="2:23" ht="15" customHeight="1"/>
    <row r="87" spans="2:23" ht="15" customHeight="1"/>
    <row r="88" spans="2:23" ht="15" customHeight="1">
      <c r="C88" s="27" t="str">
        <f>H58</f>
        <v>Kryterium nr 3</v>
      </c>
      <c r="E88" s="2"/>
    </row>
    <row r="89" spans="2:23" ht="20.100000000000001" customHeight="1">
      <c r="B89" s="229" t="s">
        <v>143</v>
      </c>
      <c r="C89" s="229" t="str">
        <f>C58</f>
        <v>Rentowność kapitału - wskaźnik ROE. Formuła: wynik netto / kapitały własne</v>
      </c>
      <c r="D89" s="229" t="s">
        <v>1</v>
      </c>
      <c r="E89" s="78" t="s">
        <v>287</v>
      </c>
      <c r="F89" s="78" t="s">
        <v>286</v>
      </c>
      <c r="G89" s="78" t="s">
        <v>285</v>
      </c>
      <c r="I89" s="146"/>
      <c r="J89" s="145"/>
      <c r="K89" s="56"/>
      <c r="L89" s="56"/>
      <c r="M89" s="56"/>
      <c r="N89" s="53"/>
      <c r="R89" s="53"/>
      <c r="S89" s="53"/>
      <c r="T89" s="53"/>
      <c r="U89" s="53"/>
      <c r="V89" s="53"/>
      <c r="W89" s="53"/>
    </row>
    <row r="90" spans="2:23" s="23" customFormat="1" ht="20.100000000000001" customHeight="1">
      <c r="B90" s="229"/>
      <c r="C90" s="229"/>
      <c r="D90" s="229"/>
      <c r="E90" s="54">
        <f>E55</f>
        <v>2022</v>
      </c>
      <c r="F90" s="54">
        <f>F55</f>
        <v>2023</v>
      </c>
      <c r="G90" s="54">
        <f>G55</f>
        <v>2024</v>
      </c>
      <c r="N90" s="53"/>
      <c r="R90" s="1"/>
      <c r="S90" s="1"/>
      <c r="T90" s="1"/>
      <c r="U90" s="1"/>
      <c r="V90" s="1"/>
      <c r="W90" s="1"/>
    </row>
    <row r="91" spans="2:23" ht="14.1" customHeight="1">
      <c r="B91" s="50" t="s">
        <v>149</v>
      </c>
      <c r="C91" s="59" t="s">
        <v>3</v>
      </c>
      <c r="D91" s="28"/>
      <c r="E91" s="29"/>
      <c r="F91" s="29"/>
      <c r="G91" s="30"/>
      <c r="N91" s="53"/>
    </row>
    <row r="92" spans="2:23" ht="14.1" customHeight="1">
      <c r="B92" s="3" t="s">
        <v>172</v>
      </c>
      <c r="C92" s="59" t="s">
        <v>4</v>
      </c>
      <c r="D92" s="31" t="s">
        <v>187</v>
      </c>
      <c r="E92" s="116">
        <v>0</v>
      </c>
      <c r="F92" s="116">
        <v>0</v>
      </c>
      <c r="G92" s="116">
        <v>0</v>
      </c>
      <c r="N92" s="53"/>
    </row>
    <row r="93" spans="2:23" ht="14.1" customHeight="1">
      <c r="B93" s="3" t="s">
        <v>172</v>
      </c>
      <c r="C93" s="59" t="s">
        <v>6</v>
      </c>
      <c r="D93" s="32" t="s">
        <v>187</v>
      </c>
      <c r="E93" s="117">
        <f>IF(Wyniki!E271="","",Wyniki!E271+Wyniki!E272)</f>
        <v>9.4374E-2</v>
      </c>
      <c r="F93" s="117">
        <f>IF(Wyniki!F271="","",Wyniki!F271+Wyniki!F272)</f>
        <v>9.5424999999999996E-2</v>
      </c>
      <c r="G93" s="117">
        <f>IF(Wyniki!G271="","",Wyniki!G271+Wyniki!G272)</f>
        <v>8.8000999999999996E-2</v>
      </c>
      <c r="N93" s="53"/>
    </row>
    <row r="94" spans="2:23" ht="14.1" customHeight="1">
      <c r="B94" s="50" t="s">
        <v>150</v>
      </c>
      <c r="C94" s="59" t="s">
        <v>7</v>
      </c>
      <c r="D94" s="28"/>
      <c r="E94" s="109"/>
      <c r="F94" s="109"/>
      <c r="G94" s="110"/>
      <c r="H94" s="8"/>
      <c r="N94" s="55"/>
    </row>
    <row r="95" spans="2:23" ht="14.1" customHeight="1">
      <c r="B95" s="3" t="s">
        <v>172</v>
      </c>
      <c r="C95" s="59" t="s">
        <v>4</v>
      </c>
      <c r="D95" s="33" t="s">
        <v>2</v>
      </c>
      <c r="E95" s="111">
        <v>0</v>
      </c>
      <c r="F95" s="111">
        <v>0</v>
      </c>
      <c r="G95" s="111">
        <v>0</v>
      </c>
      <c r="R95" s="57"/>
      <c r="S95" s="57"/>
      <c r="T95" s="57"/>
    </row>
    <row r="96" spans="2:23" ht="14.1" customHeight="1">
      <c r="B96" s="3" t="s">
        <v>172</v>
      </c>
      <c r="C96" s="59" t="s">
        <v>6</v>
      </c>
      <c r="D96" s="34" t="s">
        <v>2</v>
      </c>
      <c r="E96" s="112">
        <v>10</v>
      </c>
      <c r="F96" s="112">
        <v>10</v>
      </c>
      <c r="G96" s="112">
        <v>10</v>
      </c>
    </row>
    <row r="97" spans="2:7" ht="14.1" customHeight="1">
      <c r="B97" s="3" t="s">
        <v>151</v>
      </c>
      <c r="C97" s="59" t="s">
        <v>8</v>
      </c>
      <c r="D97" s="35" t="s">
        <v>187</v>
      </c>
      <c r="E97" s="118" t="str">
        <f>IF(ISNUMBER(E58),E58,"")</f>
        <v/>
      </c>
      <c r="F97" s="118" t="str">
        <f>IF(ISNUMBER(F58),F58,"")</f>
        <v/>
      </c>
      <c r="G97" s="118" t="str">
        <f>IF(ISNUMBER(G58),G58,"")</f>
        <v/>
      </c>
    </row>
    <row r="98" spans="2:7" ht="14.1" customHeight="1">
      <c r="B98" s="3" t="s">
        <v>152</v>
      </c>
      <c r="C98" s="60" t="s">
        <v>11</v>
      </c>
      <c r="D98" s="34" t="s">
        <v>2</v>
      </c>
      <c r="E98" s="114" t="str">
        <f>IF(AND('Dane finansowe'!E29&lt;0,'Dane finansowe'!E44&lt;0),0,IF(ISNUMBER(E58),IF(E97&lt;E92,E95,IF(E97&gt;E93,E96,IF(AND(E97&lt;=E93,E97&gt;=E92),IF(ISNUMBER(E97),ROUND(FORECAST(E97,E95:E96,E92:E93),0),"")))),""))</f>
        <v/>
      </c>
      <c r="F98" s="114" t="str">
        <f>IF(AND('Dane finansowe'!F29&lt;0,'Dane finansowe'!F44&lt;0),0,IF(ISNUMBER(F58),IF(F97&lt;F92,F95,IF(F97&gt;F93,F96,IF(AND(F97&lt;=F93,F97&gt;=F92),IF(ISNUMBER(F97),ROUND(FORECAST(F97,F95:F96,F92:F93),0),"")))),""))</f>
        <v/>
      </c>
      <c r="G98" s="114" t="str">
        <f>IF(AND('Dane finansowe'!G29&lt;0,'Dane finansowe'!G44&lt;0),0,IF(ISNUMBER(G58),IF(G97&lt;G92,G95,IF(G97&gt;G93,G96,IF(AND(G97&lt;=G93,G97&gt;=G92),IF(ISNUMBER(G97),ROUND(FORECAST(G97,G95:G96,G92:G93),0),"")))),""))</f>
        <v/>
      </c>
    </row>
    <row r="99" spans="2:7" s="21" customFormat="1" ht="14.1" customHeight="1">
      <c r="B99" s="10" t="s">
        <v>153</v>
      </c>
      <c r="C99" s="61" t="s">
        <v>37</v>
      </c>
      <c r="D99" s="36" t="s">
        <v>2</v>
      </c>
      <c r="E99" s="115" t="str">
        <f>IF(G98="","brak danych",ROUND(IF(ISNUMBER(E98),AVERAGE(E98:G98),IF(ISNUMBER(F98),AVERAGE(F98:G98),IF(ISNUMBER(G98),G98,"bd"))),0))</f>
        <v>brak danych</v>
      </c>
      <c r="F99" s="23"/>
      <c r="G99" s="23"/>
    </row>
    <row r="100" spans="2:7" ht="15" customHeight="1">
      <c r="E100" s="2"/>
    </row>
    <row r="101" spans="2:7" ht="15" customHeight="1">
      <c r="E101" s="2"/>
    </row>
    <row r="102" spans="2:7" ht="15" customHeight="1">
      <c r="C102" s="197" t="str">
        <f>H59</f>
        <v>Kryterium nr 4</v>
      </c>
      <c r="E102" s="2"/>
    </row>
    <row r="103" spans="2:7" ht="20.100000000000001" customHeight="1">
      <c r="B103" s="228" t="s">
        <v>143</v>
      </c>
      <c r="C103" s="229" t="str">
        <f>C59</f>
        <v>Płynność finansowa - wskaźnik płynności finansowej II stopnia: Formuła: (aktywa bieżące - zapasy) / zobowiązania bieżące</v>
      </c>
      <c r="D103" s="229" t="s">
        <v>1</v>
      </c>
      <c r="E103" s="78" t="s">
        <v>287</v>
      </c>
      <c r="F103" s="78" t="s">
        <v>286</v>
      </c>
      <c r="G103" s="78" t="s">
        <v>285</v>
      </c>
    </row>
    <row r="104" spans="2:7" s="23" customFormat="1" ht="20.100000000000001" customHeight="1">
      <c r="B104" s="228"/>
      <c r="C104" s="229"/>
      <c r="D104" s="229"/>
      <c r="E104" s="54">
        <f>E55</f>
        <v>2022</v>
      </c>
      <c r="F104" s="54">
        <f>F55</f>
        <v>2023</v>
      </c>
      <c r="G104" s="54">
        <f>G55</f>
        <v>2024</v>
      </c>
    </row>
    <row r="105" spans="2:7" ht="14.1" customHeight="1">
      <c r="B105" s="50" t="s">
        <v>149</v>
      </c>
      <c r="C105" s="59" t="s">
        <v>3</v>
      </c>
      <c r="D105" s="28"/>
      <c r="E105" s="29"/>
      <c r="F105" s="29"/>
      <c r="G105" s="30"/>
    </row>
    <row r="106" spans="2:7" ht="14.1" customHeight="1">
      <c r="B106" s="3" t="s">
        <v>172</v>
      </c>
      <c r="C106" s="59" t="s">
        <v>4</v>
      </c>
      <c r="D106" s="31" t="s">
        <v>5</v>
      </c>
      <c r="E106" s="107">
        <v>0.75</v>
      </c>
      <c r="F106" s="107">
        <v>0.75</v>
      </c>
      <c r="G106" s="107">
        <v>0.75</v>
      </c>
    </row>
    <row r="107" spans="2:7" ht="14.1" customHeight="1">
      <c r="B107" s="3" t="s">
        <v>172</v>
      </c>
      <c r="C107" s="59" t="s">
        <v>6</v>
      </c>
      <c r="D107" s="31" t="s">
        <v>5</v>
      </c>
      <c r="E107" s="108">
        <v>1.1000000000000001</v>
      </c>
      <c r="F107" s="108">
        <v>1.1000000000000001</v>
      </c>
      <c r="G107" s="108">
        <v>1.1000000000000001</v>
      </c>
    </row>
    <row r="108" spans="2:7" ht="14.1" customHeight="1">
      <c r="B108" s="50" t="s">
        <v>150</v>
      </c>
      <c r="C108" s="59" t="s">
        <v>7</v>
      </c>
      <c r="D108" s="28"/>
      <c r="E108" s="109"/>
      <c r="F108" s="109"/>
      <c r="G108" s="110"/>
    </row>
    <row r="109" spans="2:7" ht="14.1" customHeight="1">
      <c r="B109" s="50"/>
      <c r="C109" s="59" t="s">
        <v>4</v>
      </c>
      <c r="D109" s="132" t="s">
        <v>2</v>
      </c>
      <c r="E109" s="133">
        <v>0</v>
      </c>
      <c r="F109" s="133">
        <v>0</v>
      </c>
      <c r="G109" s="133">
        <v>0</v>
      </c>
    </row>
    <row r="110" spans="2:7" ht="14.1" customHeight="1">
      <c r="B110" s="3" t="s">
        <v>172</v>
      </c>
      <c r="C110" s="59" t="s">
        <v>245</v>
      </c>
      <c r="D110" s="132" t="s">
        <v>5</v>
      </c>
      <c r="E110" s="107">
        <v>0.75</v>
      </c>
      <c r="F110" s="107">
        <v>0.75</v>
      </c>
      <c r="G110" s="107">
        <v>0.75</v>
      </c>
    </row>
    <row r="111" spans="2:7" ht="14.1" customHeight="1">
      <c r="B111" s="3" t="s">
        <v>172</v>
      </c>
      <c r="C111" s="59" t="s">
        <v>6</v>
      </c>
      <c r="D111" s="34" t="s">
        <v>2</v>
      </c>
      <c r="E111" s="112">
        <v>10</v>
      </c>
      <c r="F111" s="112">
        <v>10</v>
      </c>
      <c r="G111" s="112">
        <v>10</v>
      </c>
    </row>
    <row r="112" spans="2:7" ht="14.1" customHeight="1">
      <c r="B112" s="3" t="s">
        <v>151</v>
      </c>
      <c r="C112" s="59" t="s">
        <v>8</v>
      </c>
      <c r="D112" s="35" t="s">
        <v>5</v>
      </c>
      <c r="E112" s="113" t="str">
        <f>IF(ISNUMBER(E59),E59,"")</f>
        <v/>
      </c>
      <c r="F112" s="113" t="str">
        <f>IF(ISNUMBER(F59),F59,"")</f>
        <v/>
      </c>
      <c r="G112" s="113" t="str">
        <f>IF(ISNUMBER(G59),G59,"")</f>
        <v/>
      </c>
    </row>
    <row r="113" spans="2:9" ht="14.1" customHeight="1">
      <c r="B113" s="3" t="s">
        <v>152</v>
      </c>
      <c r="C113" s="60" t="s">
        <v>11</v>
      </c>
      <c r="D113" s="34" t="s">
        <v>2</v>
      </c>
      <c r="E113" s="114" t="str">
        <f>IF(ISNUMBER(E59),IF(E112&lt;E106,E109,IF(E112&gt;E107,E111,IF(AND(E112&lt;=E107,E112&gt;=E106),IF(ISNUMBER(E112),ROUND(FORECAST(E112,E110:E111,E106:E107),0),"")))),"")</f>
        <v/>
      </c>
      <c r="F113" s="114" t="str">
        <f>IF(ISNUMBER(F59),IF(F112&lt;F106,F109,IF(F112&gt;F107,F111,IF(AND(F112&lt;=F107,F112&gt;=F106),IF(ISNUMBER(F112),ROUND(FORECAST(F112,F110:F111,F106:F107),0),"")))),"")</f>
        <v/>
      </c>
      <c r="G113" s="114" t="str">
        <f>IF(ISNUMBER(G59),IF(G112&lt;G106,G109,IF(G112&gt;G107,G111,IF(AND(G112&lt;=G107,G112&gt;=G106),IF(ISNUMBER(G112),ROUND(FORECAST(G112,G110:G111,G106:G107),0),"")))),"")</f>
        <v/>
      </c>
    </row>
    <row r="114" spans="2:9" s="21" customFormat="1" ht="14.1" customHeight="1">
      <c r="B114" s="10" t="s">
        <v>153</v>
      </c>
      <c r="C114" s="61" t="s">
        <v>37</v>
      </c>
      <c r="D114" s="36" t="s">
        <v>2</v>
      </c>
      <c r="E114" s="115" t="str">
        <f>IF(G113="","brak danych",ROUND(IF(ISNUMBER(E113),AVERAGE(E113:G113),IF(ISNUMBER(F113),AVERAGE(F113:G113),IF(ISNUMBER(G113),G113,"bd"))),0))</f>
        <v>brak danych</v>
      </c>
      <c r="F114" s="23"/>
      <c r="G114" s="23"/>
      <c r="H114" s="1"/>
    </row>
    <row r="115" spans="2:9" s="21" customFormat="1" ht="15" customHeight="1">
      <c r="B115" s="23"/>
      <c r="D115" s="37"/>
      <c r="E115" s="23"/>
      <c r="F115" s="23"/>
      <c r="G115" s="23"/>
      <c r="H115" s="1"/>
    </row>
    <row r="116" spans="2:9" ht="15" customHeight="1">
      <c r="E116" s="2"/>
    </row>
    <row r="117" spans="2:9" ht="15" customHeight="1">
      <c r="C117" s="27" t="str">
        <f>H60</f>
        <v>Kryterium nr 5</v>
      </c>
      <c r="E117" s="2"/>
    </row>
    <row r="118" spans="2:9" ht="20.100000000000001" customHeight="1">
      <c r="B118" s="229" t="s">
        <v>143</v>
      </c>
      <c r="C118" s="229" t="str">
        <f>C60</f>
        <v>Pokrycie zadłużenia - wskaźnik pokrycia obsługi długu z gotówki operacyjnej. Formuła: CF operacyjny / zadłużenie (zobowiązania ogółem)</v>
      </c>
      <c r="D118" s="229" t="s">
        <v>1</v>
      </c>
      <c r="E118" s="78" t="s">
        <v>287</v>
      </c>
      <c r="F118" s="78" t="s">
        <v>286</v>
      </c>
      <c r="G118" s="78" t="s">
        <v>285</v>
      </c>
    </row>
    <row r="119" spans="2:9" s="23" customFormat="1" ht="20.100000000000001" customHeight="1">
      <c r="B119" s="229"/>
      <c r="C119" s="229"/>
      <c r="D119" s="229"/>
      <c r="E119" s="54">
        <f>E55</f>
        <v>2022</v>
      </c>
      <c r="F119" s="54">
        <f>F55</f>
        <v>2023</v>
      </c>
      <c r="G119" s="54">
        <f>G55</f>
        <v>2024</v>
      </c>
      <c r="I119" s="1"/>
    </row>
    <row r="120" spans="2:9" ht="15" customHeight="1">
      <c r="B120" s="50" t="s">
        <v>149</v>
      </c>
      <c r="C120" s="59" t="s">
        <v>3</v>
      </c>
      <c r="D120" s="28"/>
      <c r="E120" s="29"/>
      <c r="F120" s="29"/>
      <c r="G120" s="30"/>
    </row>
    <row r="121" spans="2:9" ht="15" customHeight="1">
      <c r="B121" s="3" t="s">
        <v>172</v>
      </c>
      <c r="C121" s="59" t="s">
        <v>4</v>
      </c>
      <c r="D121" s="31" t="s">
        <v>187</v>
      </c>
      <c r="E121" s="116">
        <v>0</v>
      </c>
      <c r="F121" s="116">
        <f t="shared" ref="F121:G122" si="3">E121</f>
        <v>0</v>
      </c>
      <c r="G121" s="116">
        <f t="shared" si="3"/>
        <v>0</v>
      </c>
    </row>
    <row r="122" spans="2:9" ht="15" customHeight="1">
      <c r="B122" s="3" t="s">
        <v>172</v>
      </c>
      <c r="C122" s="59" t="s">
        <v>6</v>
      </c>
      <c r="D122" s="32" t="s">
        <v>187</v>
      </c>
      <c r="E122" s="117">
        <v>0.3</v>
      </c>
      <c r="F122" s="117">
        <f t="shared" si="3"/>
        <v>0.3</v>
      </c>
      <c r="G122" s="117">
        <f t="shared" si="3"/>
        <v>0.3</v>
      </c>
    </row>
    <row r="123" spans="2:9" ht="15" customHeight="1">
      <c r="B123" s="50" t="s">
        <v>150</v>
      </c>
      <c r="C123" s="59" t="s">
        <v>7</v>
      </c>
      <c r="D123" s="28"/>
      <c r="E123" s="109"/>
      <c r="F123" s="109"/>
      <c r="G123" s="110"/>
    </row>
    <row r="124" spans="2:9" ht="15" customHeight="1">
      <c r="B124" s="3" t="s">
        <v>172</v>
      </c>
      <c r="C124" s="59" t="s">
        <v>4</v>
      </c>
      <c r="D124" s="33" t="s">
        <v>2</v>
      </c>
      <c r="E124" s="111">
        <v>0</v>
      </c>
      <c r="F124" s="111">
        <f t="shared" ref="F124:G125" si="4">E124</f>
        <v>0</v>
      </c>
      <c r="G124" s="111">
        <f t="shared" si="4"/>
        <v>0</v>
      </c>
    </row>
    <row r="125" spans="2:9" ht="15" customHeight="1">
      <c r="B125" s="3" t="s">
        <v>172</v>
      </c>
      <c r="C125" s="59" t="s">
        <v>6</v>
      </c>
      <c r="D125" s="34" t="s">
        <v>2</v>
      </c>
      <c r="E125" s="112">
        <v>5</v>
      </c>
      <c r="F125" s="112">
        <f t="shared" si="4"/>
        <v>5</v>
      </c>
      <c r="G125" s="112">
        <f t="shared" si="4"/>
        <v>5</v>
      </c>
    </row>
    <row r="126" spans="2:9" ht="15" customHeight="1">
      <c r="B126" s="3" t="s">
        <v>151</v>
      </c>
      <c r="C126" s="59" t="s">
        <v>8</v>
      </c>
      <c r="D126" s="35" t="s">
        <v>187</v>
      </c>
      <c r="E126" s="118" t="str">
        <f>IF(ISNUMBER(E60),E60,"")</f>
        <v/>
      </c>
      <c r="F126" s="118" t="str">
        <f>IF(ISNUMBER(F60),F60,"")</f>
        <v/>
      </c>
      <c r="G126" s="118" t="str">
        <f>IF(ISNUMBER(G60),G60,"")</f>
        <v/>
      </c>
    </row>
    <row r="127" spans="2:9" ht="15" customHeight="1">
      <c r="B127" s="3" t="s">
        <v>152</v>
      </c>
      <c r="C127" s="60" t="s">
        <v>11</v>
      </c>
      <c r="D127" s="34" t="s">
        <v>2</v>
      </c>
      <c r="E127" s="114" t="str">
        <f>IF(ISNUMBER(E60),IF(E126&lt;E121,E124,IF(E126&gt;E122,E125,IF(AND(E126&lt;=E122,E126&gt;=E121),IF(ISNUMBER(E126),ROUND(FORECAST(E126,E124:E125,E121:E122),0),"")))),"")</f>
        <v/>
      </c>
      <c r="F127" s="114" t="str">
        <f>IF(ISNUMBER(F60),IF(F126&lt;F121,F124,IF(F126&gt;F122,F125,IF(AND(F126&lt;=F122,F126&gt;=F121),IF(ISNUMBER(F126),ROUND(FORECAST(F126,F124:F125,F121:F122),0),"")))),"")</f>
        <v/>
      </c>
      <c r="G127" s="114" t="str">
        <f>IF(ISNUMBER(G60),IF(G126&lt;G121,G124,IF(G126&gt;G122,G125,IF(AND(G126&lt;=G122,G126&gt;=G121),IF(ISNUMBER(G126),ROUND(FORECAST(G126,G124:G125,G121:G122),0),"")))),"")</f>
        <v/>
      </c>
    </row>
    <row r="128" spans="2:9" s="21" customFormat="1" ht="15" customHeight="1">
      <c r="B128" s="10" t="s">
        <v>153</v>
      </c>
      <c r="C128" s="61" t="s">
        <v>37</v>
      </c>
      <c r="D128" s="36" t="s">
        <v>2</v>
      </c>
      <c r="E128" s="115" t="str">
        <f>IF(G127="","brak danych",ROUND(IF(ISNUMBER(E127),AVERAGE(E127:G127),IF(ISNUMBER(F127),AVERAGE(F127:G127),IF(ISNUMBER(G127),G127,"bd"))),0))</f>
        <v>brak danych</v>
      </c>
      <c r="F128" s="122"/>
      <c r="G128" s="122"/>
    </row>
    <row r="129" spans="2:7" ht="15" customHeight="1"/>
    <row r="130" spans="2:7" ht="15" customHeight="1">
      <c r="E130" s="2"/>
    </row>
    <row r="131" spans="2:7" ht="15" customHeight="1">
      <c r="C131" s="27" t="str">
        <f>H61</f>
        <v>Kryterium nr 6</v>
      </c>
      <c r="E131" s="2"/>
    </row>
    <row r="132" spans="2:7" ht="20.100000000000001" customHeight="1">
      <c r="B132" s="229" t="s">
        <v>143</v>
      </c>
      <c r="C132" s="229" t="str">
        <f>C61</f>
        <v>Wypłacalność - wskaźnik pokrycia aktywów kapitałami własnymi. Formuła: kapitał własny / aktywa ogółem</v>
      </c>
      <c r="D132" s="229" t="s">
        <v>1</v>
      </c>
      <c r="E132" s="78" t="s">
        <v>287</v>
      </c>
      <c r="F132" s="78" t="s">
        <v>286</v>
      </c>
      <c r="G132" s="78" t="s">
        <v>285</v>
      </c>
    </row>
    <row r="133" spans="2:7" s="23" customFormat="1" ht="20.100000000000001" customHeight="1">
      <c r="B133" s="229"/>
      <c r="C133" s="229"/>
      <c r="D133" s="229"/>
      <c r="E133" s="54">
        <f>E55</f>
        <v>2022</v>
      </c>
      <c r="F133" s="54">
        <f>F55</f>
        <v>2023</v>
      </c>
      <c r="G133" s="54">
        <f>G55</f>
        <v>2024</v>
      </c>
    </row>
    <row r="134" spans="2:7" ht="15" customHeight="1">
      <c r="B134" s="50" t="s">
        <v>149</v>
      </c>
      <c r="C134" s="59" t="s">
        <v>3</v>
      </c>
      <c r="D134" s="28"/>
      <c r="E134" s="29"/>
      <c r="F134" s="29"/>
      <c r="G134" s="30"/>
    </row>
    <row r="135" spans="2:7" ht="15" customHeight="1">
      <c r="B135" s="3" t="s">
        <v>172</v>
      </c>
      <c r="C135" s="59" t="s">
        <v>4</v>
      </c>
      <c r="D135" s="31" t="s">
        <v>187</v>
      </c>
      <c r="E135" s="116">
        <v>0.1</v>
      </c>
      <c r="F135" s="116">
        <f t="shared" ref="F135:G136" si="5">E135</f>
        <v>0.1</v>
      </c>
      <c r="G135" s="116">
        <f t="shared" si="5"/>
        <v>0.1</v>
      </c>
    </row>
    <row r="136" spans="2:7" ht="15" customHeight="1">
      <c r="B136" s="3" t="s">
        <v>172</v>
      </c>
      <c r="C136" s="59" t="s">
        <v>6</v>
      </c>
      <c r="D136" s="32" t="s">
        <v>187</v>
      </c>
      <c r="E136" s="117">
        <v>0.5</v>
      </c>
      <c r="F136" s="117">
        <f t="shared" si="5"/>
        <v>0.5</v>
      </c>
      <c r="G136" s="117">
        <f t="shared" si="5"/>
        <v>0.5</v>
      </c>
    </row>
    <row r="137" spans="2:7" ht="15" customHeight="1">
      <c r="B137" s="50" t="s">
        <v>150</v>
      </c>
      <c r="C137" s="59" t="s">
        <v>7</v>
      </c>
      <c r="D137" s="28"/>
      <c r="E137" s="109"/>
      <c r="F137" s="109"/>
      <c r="G137" s="110"/>
    </row>
    <row r="138" spans="2:7" ht="15" customHeight="1">
      <c r="B138" s="50"/>
      <c r="C138" s="59" t="s">
        <v>4</v>
      </c>
      <c r="D138" s="132" t="s">
        <v>2</v>
      </c>
      <c r="E138" s="133">
        <v>0</v>
      </c>
      <c r="F138" s="133">
        <v>0</v>
      </c>
      <c r="G138" s="133">
        <v>0</v>
      </c>
    </row>
    <row r="139" spans="2:7" ht="15" customHeight="1">
      <c r="B139" s="3" t="s">
        <v>172</v>
      </c>
      <c r="C139" s="59" t="s">
        <v>245</v>
      </c>
      <c r="D139" s="33" t="s">
        <v>2</v>
      </c>
      <c r="E139" s="111">
        <v>1</v>
      </c>
      <c r="F139" s="111">
        <v>1</v>
      </c>
      <c r="G139" s="111">
        <v>1</v>
      </c>
    </row>
    <row r="140" spans="2:7" ht="15" customHeight="1">
      <c r="B140" s="3" t="s">
        <v>172</v>
      </c>
      <c r="C140" s="59" t="s">
        <v>6</v>
      </c>
      <c r="D140" s="34" t="s">
        <v>2</v>
      </c>
      <c r="E140" s="112">
        <v>5</v>
      </c>
      <c r="F140" s="112">
        <v>5</v>
      </c>
      <c r="G140" s="112">
        <v>5</v>
      </c>
    </row>
    <row r="141" spans="2:7" ht="15" customHeight="1">
      <c r="B141" s="3" t="s">
        <v>151</v>
      </c>
      <c r="C141" s="59" t="s">
        <v>8</v>
      </c>
      <c r="D141" s="35" t="s">
        <v>187</v>
      </c>
      <c r="E141" s="118" t="str">
        <f>IF(ISNUMBER(E61),E61,"")</f>
        <v/>
      </c>
      <c r="F141" s="118" t="str">
        <f>IF(ISNUMBER(F61),F61,"")</f>
        <v/>
      </c>
      <c r="G141" s="118" t="str">
        <f>IF(ISNUMBER(G61),G61,"")</f>
        <v/>
      </c>
    </row>
    <row r="142" spans="2:7" ht="15" customHeight="1">
      <c r="B142" s="3" t="s">
        <v>152</v>
      </c>
      <c r="C142" s="60" t="s">
        <v>11</v>
      </c>
      <c r="D142" s="34" t="s">
        <v>2</v>
      </c>
      <c r="E142" s="114" t="str">
        <f>IF(ISNUMBER(E61),IF(E141&lt;E135,E138,IF(E141&gt;E136,E140,IF(AND(E141&lt;=E136,E141&gt;=E135),IF(ISNUMBER(E141),ROUND(FORECAST(E141,E139:E140,E135:E136),0),"")))),"")</f>
        <v/>
      </c>
      <c r="F142" s="114" t="str">
        <f>IF(ISNUMBER(F61),IF(F141&lt;F135,F138,IF(F141&gt;F136,F140,IF(AND(F141&lt;=F136,F141&gt;=F135),IF(ISNUMBER(F141),ROUND(FORECAST(F141,F139:F140,F135:F136),0),"")))),"")</f>
        <v/>
      </c>
      <c r="G142" s="114" t="str">
        <f>IF(ISNUMBER(G61),IF(G141&lt;G135,G138,IF(G141&gt;G136,G140,IF(AND(G141&lt;=G136,G141&gt;=G135),IF(ISNUMBER(G141),ROUND(FORECAST(G141,G139:G140,G135:G136),0),"")))),"")</f>
        <v/>
      </c>
    </row>
    <row r="143" spans="2:7" s="21" customFormat="1" ht="15" customHeight="1">
      <c r="B143" s="10" t="s">
        <v>153</v>
      </c>
      <c r="C143" s="61" t="s">
        <v>37</v>
      </c>
      <c r="D143" s="36" t="s">
        <v>2</v>
      </c>
      <c r="E143" s="115" t="str">
        <f>IF(G142="","brak danych",ROUND(IF(ISNUMBER(E142),AVERAGE(E142:G142),IF(ISNUMBER(F142),AVERAGE(F142:G142),IF(ISNUMBER(G142),G142,"bd"))),0))</f>
        <v>brak danych</v>
      </c>
      <c r="F143" s="23"/>
      <c r="G143" s="23"/>
    </row>
    <row r="144" spans="2:7" s="21" customFormat="1" ht="15" customHeight="1">
      <c r="B144" s="23"/>
    </row>
    <row r="145" spans="2:8" ht="15" customHeight="1">
      <c r="E145" s="2"/>
    </row>
    <row r="146" spans="2:8" ht="15" customHeight="1">
      <c r="C146" s="27" t="str">
        <f>H62</f>
        <v>Kryterium nr 7</v>
      </c>
      <c r="E146" s="2"/>
    </row>
    <row r="147" spans="2:8" ht="20.100000000000001" customHeight="1">
      <c r="B147" s="229" t="s">
        <v>143</v>
      </c>
      <c r="C147" s="229" t="str">
        <f>C62</f>
        <v>Poziom zadłużenia - wskaźnik ogólnego zadłużenia. Formuła: (zobowiązania + rezerwy na zobowiązania) / aktywa ogółem</v>
      </c>
      <c r="D147" s="229" t="s">
        <v>1</v>
      </c>
      <c r="E147" s="78" t="s">
        <v>287</v>
      </c>
      <c r="F147" s="78" t="s">
        <v>286</v>
      </c>
      <c r="G147" s="78" t="s">
        <v>285</v>
      </c>
    </row>
    <row r="148" spans="2:8" s="23" customFormat="1" ht="20.100000000000001" customHeight="1">
      <c r="B148" s="229"/>
      <c r="C148" s="229"/>
      <c r="D148" s="229"/>
      <c r="E148" s="54">
        <f>E55</f>
        <v>2022</v>
      </c>
      <c r="F148" s="54">
        <f>F55</f>
        <v>2023</v>
      </c>
      <c r="G148" s="54">
        <f>G55</f>
        <v>2024</v>
      </c>
    </row>
    <row r="149" spans="2:8" ht="15" customHeight="1">
      <c r="B149" s="50" t="s">
        <v>149</v>
      </c>
      <c r="C149" s="59" t="s">
        <v>3</v>
      </c>
      <c r="D149" s="28"/>
      <c r="E149" s="29"/>
      <c r="F149" s="29"/>
      <c r="G149" s="30"/>
    </row>
    <row r="150" spans="2:8" ht="15" customHeight="1">
      <c r="B150" s="3" t="s">
        <v>172</v>
      </c>
      <c r="C150" s="59" t="s">
        <v>4</v>
      </c>
      <c r="D150" s="31" t="s">
        <v>5</v>
      </c>
      <c r="E150" s="107">
        <v>0</v>
      </c>
      <c r="F150" s="107">
        <v>0</v>
      </c>
      <c r="G150" s="107">
        <v>0</v>
      </c>
    </row>
    <row r="151" spans="2:8" ht="15" customHeight="1">
      <c r="B151" s="3" t="s">
        <v>172</v>
      </c>
      <c r="C151" s="59" t="s">
        <v>6</v>
      </c>
      <c r="D151" s="31" t="s">
        <v>5</v>
      </c>
      <c r="E151" s="108">
        <v>0.67</v>
      </c>
      <c r="F151" s="108">
        <v>0.67</v>
      </c>
      <c r="G151" s="108">
        <v>0.67</v>
      </c>
    </row>
    <row r="152" spans="2:8" ht="15" customHeight="1">
      <c r="B152" s="50" t="s">
        <v>150</v>
      </c>
      <c r="C152" s="59" t="s">
        <v>7</v>
      </c>
      <c r="D152" s="28"/>
      <c r="E152" s="109"/>
      <c r="F152" s="109"/>
      <c r="G152" s="110"/>
    </row>
    <row r="153" spans="2:8" ht="15" customHeight="1">
      <c r="B153" s="3" t="s">
        <v>172</v>
      </c>
      <c r="C153" s="59" t="s">
        <v>4</v>
      </c>
      <c r="D153" s="33" t="s">
        <v>2</v>
      </c>
      <c r="E153" s="111">
        <v>10</v>
      </c>
      <c r="F153" s="111">
        <v>10</v>
      </c>
      <c r="G153" s="111">
        <v>10</v>
      </c>
    </row>
    <row r="154" spans="2:8" ht="15" customHeight="1">
      <c r="B154" s="3" t="s">
        <v>172</v>
      </c>
      <c r="C154" s="59" t="s">
        <v>6</v>
      </c>
      <c r="D154" s="34" t="s">
        <v>2</v>
      </c>
      <c r="E154" s="112">
        <v>0</v>
      </c>
      <c r="F154" s="112">
        <v>0</v>
      </c>
      <c r="G154" s="112">
        <v>0</v>
      </c>
    </row>
    <row r="155" spans="2:8" ht="15" customHeight="1">
      <c r="B155" s="3" t="s">
        <v>151</v>
      </c>
      <c r="C155" s="59" t="s">
        <v>8</v>
      </c>
      <c r="D155" s="35" t="s">
        <v>5</v>
      </c>
      <c r="E155" s="113" t="str">
        <f>IF(ISNUMBER(E62),E62,"")</f>
        <v/>
      </c>
      <c r="F155" s="113" t="str">
        <f>IF(ISNUMBER(F62),F62,"")</f>
        <v/>
      </c>
      <c r="G155" s="113" t="str">
        <f>IF(ISNUMBER(G62),G62,"")</f>
        <v/>
      </c>
    </row>
    <row r="156" spans="2:8" ht="15" customHeight="1">
      <c r="B156" s="3" t="s">
        <v>152</v>
      </c>
      <c r="C156" s="60" t="s">
        <v>11</v>
      </c>
      <c r="D156" s="34" t="s">
        <v>2</v>
      </c>
      <c r="E156" s="114" t="str">
        <f>IF(ISNUMBER(E62),IF(E155&lt;E150,E153,IF(E155&gt;E151,E154,IF(AND(E155&lt;=E151,E155&gt;=E150),IF(ISNUMBER(E155),ROUND(FORECAST(E155,E153:E154,E150:E151),0),"")))),"")</f>
        <v/>
      </c>
      <c r="F156" s="114" t="str">
        <f>IF(ISNUMBER(F62),IF(F155&lt;F150,F153,IF(F155&gt;F151,F154,IF(AND(F155&lt;=F151,F155&gt;=F150),IF(ISNUMBER(F155),ROUND(FORECAST(F155,F153:F154,F150:F151),0),"")))),"")</f>
        <v/>
      </c>
      <c r="G156" s="114" t="str">
        <f>IF(ISNUMBER(G62),IF(G155&lt;G150,G153,IF(G155&gt;G151,G154,IF(AND(G155&lt;=G151,G155&gt;=G150),IF(ISNUMBER(G155),ROUND(FORECAST(G155,G153:G154,G150:G151),0),"")))),"")</f>
        <v/>
      </c>
    </row>
    <row r="157" spans="2:8" s="21" customFormat="1" ht="15" customHeight="1">
      <c r="B157" s="10" t="s">
        <v>153</v>
      </c>
      <c r="C157" s="61" t="s">
        <v>37</v>
      </c>
      <c r="D157" s="36" t="s">
        <v>2</v>
      </c>
      <c r="E157" s="115" t="str">
        <f>IF(G156="","brak danych",ROUND(IF(ISNUMBER(E156),AVERAGE(E156:G156),IF(ISNUMBER(F156),AVERAGE(F156:G156),IF(ISNUMBER(G156),G156,"bd"))),0))</f>
        <v>brak danych</v>
      </c>
      <c r="F157" s="23"/>
      <c r="G157" s="23"/>
      <c r="H157" s="1"/>
    </row>
    <row r="158" spans="2:8" s="21" customFormat="1" ht="15" customHeight="1">
      <c r="B158" s="23"/>
      <c r="D158" s="37"/>
      <c r="E158" s="23"/>
      <c r="F158" s="23"/>
      <c r="G158" s="23"/>
      <c r="H158" s="1"/>
    </row>
    <row r="159" spans="2:8" ht="15" customHeight="1">
      <c r="B159" s="38"/>
      <c r="C159" s="9"/>
      <c r="E159" s="39"/>
      <c r="F159" s="39"/>
      <c r="G159" s="39"/>
    </row>
    <row r="160" spans="2:8" ht="15" customHeight="1">
      <c r="C160" s="27" t="str">
        <f>H63</f>
        <v>Kryterium nr 8</v>
      </c>
    </row>
    <row r="161" spans="2:7" ht="24.95" customHeight="1">
      <c r="B161" s="229" t="s">
        <v>143</v>
      </c>
      <c r="C161" s="229" t="str">
        <f>C63</f>
        <v>Pokrycie zadłużenia - wskaźnik pokrycia obsługi długu z przepływów pieniężnych WPOD. Formuła: (CF operacyjny + CF inwestycyjny + CF finansowy (wpływy) + saldo środków na początek okresu) / CF finansowy (wydatki)</v>
      </c>
      <c r="D161" s="232" t="s">
        <v>1</v>
      </c>
      <c r="E161" s="78" t="s">
        <v>287</v>
      </c>
      <c r="F161" s="78" t="s">
        <v>286</v>
      </c>
      <c r="G161" s="78" t="s">
        <v>285</v>
      </c>
    </row>
    <row r="162" spans="2:7" s="23" customFormat="1" ht="24.95" customHeight="1">
      <c r="B162" s="229"/>
      <c r="C162" s="229"/>
      <c r="D162" s="233"/>
      <c r="E162" s="54">
        <f>E55</f>
        <v>2022</v>
      </c>
      <c r="F162" s="54">
        <f>F55</f>
        <v>2023</v>
      </c>
      <c r="G162" s="54">
        <f>G55</f>
        <v>2024</v>
      </c>
    </row>
    <row r="163" spans="2:7" ht="15" customHeight="1">
      <c r="B163" s="50" t="s">
        <v>149</v>
      </c>
      <c r="C163" s="59" t="s">
        <v>3</v>
      </c>
      <c r="D163" s="28"/>
      <c r="E163" s="29"/>
      <c r="F163" s="29"/>
      <c r="G163" s="30"/>
    </row>
    <row r="164" spans="2:7" ht="15" customHeight="1">
      <c r="B164" s="3" t="s">
        <v>172</v>
      </c>
      <c r="C164" s="59" t="s">
        <v>4</v>
      </c>
      <c r="D164" s="31" t="s">
        <v>5</v>
      </c>
      <c r="E164" s="107">
        <v>1</v>
      </c>
      <c r="F164" s="107">
        <f t="shared" ref="F164:G165" si="6">E164</f>
        <v>1</v>
      </c>
      <c r="G164" s="107">
        <f t="shared" si="6"/>
        <v>1</v>
      </c>
    </row>
    <row r="165" spans="2:7" ht="15" customHeight="1">
      <c r="B165" s="3" t="s">
        <v>172</v>
      </c>
      <c r="C165" s="59" t="s">
        <v>6</v>
      </c>
      <c r="D165" s="31" t="s">
        <v>5</v>
      </c>
      <c r="E165" s="108">
        <v>2</v>
      </c>
      <c r="F165" s="108">
        <f t="shared" si="6"/>
        <v>2</v>
      </c>
      <c r="G165" s="108">
        <f t="shared" si="6"/>
        <v>2</v>
      </c>
    </row>
    <row r="166" spans="2:7" ht="15" customHeight="1">
      <c r="B166" s="50" t="s">
        <v>150</v>
      </c>
      <c r="C166" s="59" t="s">
        <v>7</v>
      </c>
      <c r="D166" s="28"/>
      <c r="E166" s="109"/>
      <c r="F166" s="109"/>
      <c r="G166" s="110"/>
    </row>
    <row r="167" spans="2:7" ht="15" customHeight="1">
      <c r="B167" s="50"/>
      <c r="C167" s="59" t="s">
        <v>4</v>
      </c>
      <c r="D167" s="132" t="s">
        <v>2</v>
      </c>
      <c r="E167" s="133">
        <v>0</v>
      </c>
      <c r="F167" s="133">
        <v>0</v>
      </c>
      <c r="G167" s="133">
        <v>0</v>
      </c>
    </row>
    <row r="168" spans="2:7" ht="15" customHeight="1">
      <c r="B168" s="3" t="s">
        <v>172</v>
      </c>
      <c r="C168" s="59" t="s">
        <v>245</v>
      </c>
      <c r="D168" s="134" t="s">
        <v>5</v>
      </c>
      <c r="E168" s="133">
        <v>1</v>
      </c>
      <c r="F168" s="133">
        <v>1</v>
      </c>
      <c r="G168" s="133">
        <v>1</v>
      </c>
    </row>
    <row r="169" spans="2:7" ht="15" customHeight="1">
      <c r="B169" s="3" t="s">
        <v>172</v>
      </c>
      <c r="C169" s="59" t="s">
        <v>6</v>
      </c>
      <c r="D169" s="136" t="s">
        <v>2</v>
      </c>
      <c r="E169" s="112">
        <v>10</v>
      </c>
      <c r="F169" s="112">
        <v>10</v>
      </c>
      <c r="G169" s="112">
        <v>10</v>
      </c>
    </row>
    <row r="170" spans="2:7" ht="15" customHeight="1">
      <c r="B170" s="3" t="s">
        <v>151</v>
      </c>
      <c r="C170" s="59" t="s">
        <v>8</v>
      </c>
      <c r="D170" s="35" t="s">
        <v>5</v>
      </c>
      <c r="E170" s="119">
        <f>IF(ISNUMBER(E63),E63,"")</f>
        <v>2</v>
      </c>
      <c r="F170" s="119">
        <f>IF(ISNUMBER(F63),F63,"")</f>
        <v>2</v>
      </c>
      <c r="G170" s="119">
        <f>IF(ISNUMBER(G63),G63,"")</f>
        <v>2</v>
      </c>
    </row>
    <row r="171" spans="2:7" ht="15" customHeight="1">
      <c r="B171" s="3" t="s">
        <v>152</v>
      </c>
      <c r="C171" s="60" t="s">
        <v>11</v>
      </c>
      <c r="D171" s="34" t="s">
        <v>2</v>
      </c>
      <c r="E171" s="114">
        <f>IF(ISNUMBER(E63),IF(E170&lt;E164,E167,IF(E170&gt;E165,E169,IF(AND(E170&lt;=E165,E170&gt;=E164),IF(ISNUMBER(E170),ROUND(FORECAST(E170,E168:E169,E164:E165),0),"")))),"")</f>
        <v>10</v>
      </c>
      <c r="F171" s="114">
        <f>IF(ISNUMBER(F63),IF(F170&lt;F164,F167,IF(F170&gt;F165,F169,IF(AND(F170&lt;=F165,F170&gt;=F164),IF(ISNUMBER(F170),ROUND(FORECAST(F170,F168:F169,F164:F165),0),"")))),"")</f>
        <v>10</v>
      </c>
      <c r="G171" s="114">
        <f>IF(ISNUMBER(G63),IF(G170&lt;G164,G167,IF(G170&gt;G165,G169,IF(AND(G170&lt;=G165,G170&gt;=G164),IF(ISNUMBER(G170),ROUND(FORECAST(G170,G168:G169,G164:G165),0),"")))),"")</f>
        <v>10</v>
      </c>
    </row>
    <row r="172" spans="2:7" s="21" customFormat="1" ht="15" customHeight="1">
      <c r="B172" s="10" t="s">
        <v>153</v>
      </c>
      <c r="C172" s="61" t="s">
        <v>37</v>
      </c>
      <c r="D172" s="36" t="s">
        <v>2</v>
      </c>
      <c r="E172" s="115">
        <f>IF(G171="","brak danych",ROUND(IF(ISNUMBER(E171),AVERAGE(E171:G171),IF(ISNUMBER(F171),AVERAGE(F171:G171),IF(ISNUMBER(G171),G171,"bd"))),0))</f>
        <v>10</v>
      </c>
    </row>
    <row r="173" spans="2:7" ht="15" customHeight="1">
      <c r="B173" s="40" t="s">
        <v>10</v>
      </c>
      <c r="C173" s="41"/>
      <c r="D173" s="1"/>
      <c r="G173" s="1"/>
    </row>
    <row r="174" spans="2:7" ht="15" customHeight="1">
      <c r="B174" s="38"/>
      <c r="C174" s="9"/>
      <c r="E174" s="39"/>
      <c r="F174" s="39"/>
      <c r="G174" s="39"/>
    </row>
    <row r="175" spans="2:7" ht="15" customHeight="1">
      <c r="B175" s="38"/>
      <c r="C175" s="27" t="str">
        <f>H63</f>
        <v>Kryterium nr 8</v>
      </c>
      <c r="E175" s="39"/>
      <c r="F175" s="39"/>
      <c r="G175" s="39"/>
    </row>
    <row r="176" spans="2:7" ht="24.95" customHeight="1">
      <c r="B176" s="229" t="s">
        <v>143</v>
      </c>
      <c r="C176" s="229" t="str">
        <f>C63</f>
        <v>Pokrycie zadłużenia - wskaźnik pokrycia obsługi długu z przepływów pieniężnych WPOD. Formuła: (CF operacyjny + CF inwestycyjny + CF finansowy (wpływy) + saldo środków na początek okresu) / CF finansowy (wydatki)</v>
      </c>
      <c r="D176" s="228" t="str">
        <f>D258</f>
        <v>Jedn./Lata</v>
      </c>
      <c r="E176" s="78" t="s">
        <v>287</v>
      </c>
      <c r="F176" s="78" t="s">
        <v>286</v>
      </c>
      <c r="G176" s="78" t="s">
        <v>285</v>
      </c>
    </row>
    <row r="177" spans="2:12" ht="24.95" customHeight="1">
      <c r="B177" s="229"/>
      <c r="C177" s="229"/>
      <c r="D177" s="228"/>
      <c r="E177" s="54">
        <f>E55</f>
        <v>2022</v>
      </c>
      <c r="F177" s="54">
        <f>F55</f>
        <v>2023</v>
      </c>
      <c r="G177" s="54">
        <f>G55</f>
        <v>2024</v>
      </c>
    </row>
    <row r="178" spans="2:12" ht="15" customHeight="1">
      <c r="B178" s="3" t="s">
        <v>149</v>
      </c>
      <c r="C178" s="60" t="s">
        <v>32</v>
      </c>
      <c r="D178" s="3" t="str">
        <f>'Dane finansowe'!$D$22</f>
        <v>zł</v>
      </c>
      <c r="E178" s="120" t="str">
        <f>IF(ISNUMBER('Dane finansowe'!E53),'Dane finansowe'!E53,"")</f>
        <v/>
      </c>
      <c r="F178" s="120" t="str">
        <f>IF(ISNUMBER('Dane finansowe'!F53),'Dane finansowe'!F53,"")</f>
        <v/>
      </c>
      <c r="G178" s="120" t="str">
        <f>IF(ISNUMBER('Dane finansowe'!G53),'Dane finansowe'!G53,"")</f>
        <v/>
      </c>
    </row>
    <row r="179" spans="2:12" ht="15" customHeight="1">
      <c r="B179" s="3" t="s">
        <v>150</v>
      </c>
      <c r="C179" s="60" t="s">
        <v>39</v>
      </c>
      <c r="D179" s="3" t="str">
        <f>'Dane finansowe'!$D$22</f>
        <v>zł</v>
      </c>
      <c r="E179" s="120" t="str">
        <f>IF(ISNUMBER('Dane finansowe'!E54),'Dane finansowe'!E54,"")</f>
        <v/>
      </c>
      <c r="F179" s="120" t="str">
        <f>IF(ISNUMBER('Dane finansowe'!F54),'Dane finansowe'!F54,"")</f>
        <v/>
      </c>
      <c r="G179" s="120" t="str">
        <f>IF(ISNUMBER('Dane finansowe'!G54),'Dane finansowe'!G54,"")</f>
        <v/>
      </c>
    </row>
    <row r="180" spans="2:12" ht="15" customHeight="1">
      <c r="B180" s="3" t="s">
        <v>151</v>
      </c>
      <c r="C180" s="59" t="s">
        <v>33</v>
      </c>
      <c r="D180" s="3" t="str">
        <f>'Dane finansowe'!$D$22</f>
        <v>zł</v>
      </c>
      <c r="E180" s="120" t="str">
        <f>IF(ISNUMBER('Dane finansowe'!E56),'Dane finansowe'!E56,"")</f>
        <v/>
      </c>
      <c r="F180" s="120" t="str">
        <f>IF(ISNUMBER('Dane finansowe'!F56),'Dane finansowe'!F56,"")</f>
        <v/>
      </c>
      <c r="G180" s="120" t="str">
        <f>IF(ISNUMBER('Dane finansowe'!G56),'Dane finansowe'!G56,"")</f>
        <v/>
      </c>
    </row>
    <row r="181" spans="2:12" ht="15" customHeight="1">
      <c r="B181" s="3" t="s">
        <v>152</v>
      </c>
      <c r="C181" s="59" t="s">
        <v>184</v>
      </c>
      <c r="D181" s="3" t="str">
        <f>'Dane finansowe'!$D$22</f>
        <v>zł</v>
      </c>
      <c r="E181" s="120" t="str">
        <f>IF(ISNUMBER('Dane finansowe'!E62),'Dane finansowe'!E62,"")</f>
        <v/>
      </c>
      <c r="F181" s="120" t="str">
        <f>IF(ISNUMBER('Dane finansowe'!F62),'Dane finansowe'!F62,"")</f>
        <v/>
      </c>
      <c r="G181" s="120" t="str">
        <f>IF(ISNUMBER('Dane finansowe'!G62),'Dane finansowe'!G62,"")</f>
        <v/>
      </c>
    </row>
    <row r="182" spans="2:12" ht="15" customHeight="1">
      <c r="B182" s="3" t="s">
        <v>153</v>
      </c>
      <c r="C182" s="59" t="s">
        <v>34</v>
      </c>
      <c r="D182" s="3" t="str">
        <f>'Dane finansowe'!$D$22</f>
        <v>zł</v>
      </c>
      <c r="E182" s="120">
        <f>IF(ISNUMBER('Dane finansowe'!E57),'Dane finansowe'!E57,0)</f>
        <v>0</v>
      </c>
      <c r="F182" s="120">
        <f>IF(ISNUMBER('Dane finansowe'!F57),'Dane finansowe'!F57,0)</f>
        <v>0</v>
      </c>
      <c r="G182" s="120">
        <f>IF(ISNUMBER('Dane finansowe'!G57),'Dane finansowe'!G57,0)</f>
        <v>0</v>
      </c>
    </row>
    <row r="183" spans="2:12" s="21" customFormat="1" ht="15" customHeight="1">
      <c r="B183" s="10" t="s">
        <v>156</v>
      </c>
      <c r="C183" s="61" t="s">
        <v>40</v>
      </c>
      <c r="D183" s="10" t="s">
        <v>5</v>
      </c>
      <c r="E183" s="121" t="str">
        <f>IF(AND(ISNUMBER(E178),ISNUMBER(E179),ISNUMBER(E180),ISNUMBER(E181),ISNUMBER(E182)),IF(E182=0,"",(E178+E179+E180+E181)/E182),"")</f>
        <v/>
      </c>
      <c r="F183" s="121" t="str">
        <f>IF(AND(ISNUMBER(F178),ISNUMBER(F179),ISNUMBER(F180),ISNUMBER(F181),ISNUMBER(F182)),IF(F182=0,"",(F178+F179+F180+F181)/F182),"")</f>
        <v/>
      </c>
      <c r="G183" s="121" t="str">
        <f>IF(AND(ISNUMBER(G178),ISNUMBER(G179),ISNUMBER(G180),ISNUMBER(G181),ISNUMBER(G182)),IF(G182=0,"",(G178+G179+G180+G181)/G182),"")</f>
        <v/>
      </c>
    </row>
    <row r="184" spans="2:12" ht="15" customHeight="1"/>
    <row r="185" spans="2:12" ht="15" customHeight="1">
      <c r="E185" s="2"/>
    </row>
    <row r="186" spans="2:12" ht="15" customHeight="1">
      <c r="C186" s="27" t="str">
        <f>H65</f>
        <v>Kryterium nr 9.1</v>
      </c>
    </row>
    <row r="187" spans="2:12" ht="20.100000000000001" customHeight="1">
      <c r="B187" s="228" t="s">
        <v>143</v>
      </c>
      <c r="C187" s="228" t="str">
        <f>C65</f>
        <v>Wskaźnik rotacji zapasów</v>
      </c>
      <c r="D187" s="229" t="s">
        <v>1</v>
      </c>
      <c r="E187" s="78" t="s">
        <v>287</v>
      </c>
      <c r="F187" s="78" t="s">
        <v>286</v>
      </c>
      <c r="G187" s="78" t="s">
        <v>285</v>
      </c>
      <c r="I187" s="229" t="str">
        <f>C187</f>
        <v>Wskaźnik rotacji zapasów</v>
      </c>
      <c r="J187" s="78" t="s">
        <v>287</v>
      </c>
      <c r="K187" s="78" t="s">
        <v>286</v>
      </c>
      <c r="L187" s="78" t="s">
        <v>285</v>
      </c>
    </row>
    <row r="188" spans="2:12" s="23" customFormat="1" ht="20.100000000000001" customHeight="1">
      <c r="B188" s="228"/>
      <c r="C188" s="228"/>
      <c r="D188" s="229"/>
      <c r="E188" s="54">
        <f>E55</f>
        <v>2022</v>
      </c>
      <c r="F188" s="54">
        <f>F55</f>
        <v>2023</v>
      </c>
      <c r="G188" s="54">
        <f>G55</f>
        <v>2024</v>
      </c>
      <c r="I188" s="229"/>
      <c r="J188" s="54">
        <f>E55</f>
        <v>2022</v>
      </c>
      <c r="K188" s="54">
        <f>F55</f>
        <v>2023</v>
      </c>
      <c r="L188" s="54">
        <f>G55</f>
        <v>2024</v>
      </c>
    </row>
    <row r="189" spans="2:12" ht="15" customHeight="1">
      <c r="B189" s="50" t="s">
        <v>149</v>
      </c>
      <c r="C189" s="59" t="s">
        <v>3</v>
      </c>
      <c r="D189" s="28"/>
      <c r="E189" s="29"/>
      <c r="F189" s="29"/>
      <c r="G189" s="30"/>
      <c r="I189" s="60" t="s">
        <v>113</v>
      </c>
      <c r="J189" s="131">
        <f>'Dane finansowe'!E22</f>
        <v>0</v>
      </c>
      <c r="K189" s="131">
        <f>'Dane finansowe'!F22</f>
        <v>0</v>
      </c>
      <c r="L189" s="131">
        <f>'Dane finansowe'!G22</f>
        <v>0</v>
      </c>
    </row>
    <row r="190" spans="2:12" ht="15" customHeight="1">
      <c r="B190" s="3" t="s">
        <v>172</v>
      </c>
      <c r="C190" s="59" t="s">
        <v>4</v>
      </c>
      <c r="D190" s="31" t="s">
        <v>35</v>
      </c>
      <c r="E190" s="107">
        <v>15</v>
      </c>
      <c r="F190" s="107">
        <v>15</v>
      </c>
      <c r="G190" s="107">
        <v>15</v>
      </c>
      <c r="I190" s="60" t="s">
        <v>117</v>
      </c>
      <c r="J190" s="131">
        <f>'Dane finansowe'!E34</f>
        <v>0</v>
      </c>
      <c r="K190" s="131">
        <f>'Dane finansowe'!F34</f>
        <v>0</v>
      </c>
      <c r="L190" s="131">
        <f>'Dane finansowe'!G34</f>
        <v>0</v>
      </c>
    </row>
    <row r="191" spans="2:12" ht="15" customHeight="1">
      <c r="B191" s="3" t="s">
        <v>172</v>
      </c>
      <c r="C191" s="59" t="s">
        <v>6</v>
      </c>
      <c r="D191" s="31" t="s">
        <v>35</v>
      </c>
      <c r="E191" s="108">
        <v>30</v>
      </c>
      <c r="F191" s="108">
        <v>30</v>
      </c>
      <c r="G191" s="108">
        <v>30</v>
      </c>
      <c r="I191" s="60" t="s">
        <v>115</v>
      </c>
      <c r="J191" s="131" t="str">
        <f>IF(J190=0,"",J189/J190)</f>
        <v/>
      </c>
      <c r="K191" s="131" t="str">
        <f>IF(K190=0,"",K189/K190)</f>
        <v/>
      </c>
      <c r="L191" s="131" t="str">
        <f>IF(L190=0,"",L189/L190)</f>
        <v/>
      </c>
    </row>
    <row r="192" spans="2:12" ht="15" customHeight="1">
      <c r="B192" s="50" t="s">
        <v>150</v>
      </c>
      <c r="C192" s="59" t="s">
        <v>7</v>
      </c>
      <c r="D192" s="28"/>
      <c r="E192" s="109"/>
      <c r="F192" s="109"/>
      <c r="G192" s="110"/>
    </row>
    <row r="193" spans="2:17" ht="15" customHeight="1">
      <c r="B193" s="3" t="s">
        <v>172</v>
      </c>
      <c r="C193" s="59" t="s">
        <v>4</v>
      </c>
      <c r="D193" s="33" t="s">
        <v>2</v>
      </c>
      <c r="E193" s="111">
        <v>10</v>
      </c>
      <c r="F193" s="111">
        <v>10</v>
      </c>
      <c r="G193" s="111">
        <v>10</v>
      </c>
    </row>
    <row r="194" spans="2:17" ht="15" customHeight="1">
      <c r="B194" s="3" t="s">
        <v>172</v>
      </c>
      <c r="C194" s="59" t="s">
        <v>6</v>
      </c>
      <c r="D194" s="34" t="s">
        <v>2</v>
      </c>
      <c r="E194" s="112">
        <v>0</v>
      </c>
      <c r="F194" s="112">
        <v>0</v>
      </c>
      <c r="G194" s="112">
        <v>0</v>
      </c>
    </row>
    <row r="195" spans="2:17" ht="15" customHeight="1">
      <c r="B195" s="3" t="s">
        <v>151</v>
      </c>
      <c r="C195" s="59" t="s">
        <v>8</v>
      </c>
      <c r="D195" s="35" t="s">
        <v>5</v>
      </c>
      <c r="E195" s="119" t="str">
        <f>IF(ISNUMBER(E65),E65,"")</f>
        <v/>
      </c>
      <c r="F195" s="119" t="str">
        <f>IF(ISNUMBER(F65),F65,"")</f>
        <v/>
      </c>
      <c r="G195" s="119" t="str">
        <f>IF(ISNUMBER(G65),G65,"")</f>
        <v/>
      </c>
    </row>
    <row r="196" spans="2:17" ht="15" customHeight="1">
      <c r="B196" s="3" t="s">
        <v>152</v>
      </c>
      <c r="C196" s="60" t="s">
        <v>11</v>
      </c>
      <c r="D196" s="34" t="s">
        <v>2</v>
      </c>
      <c r="E196" s="114" t="str">
        <f>IF(ISNUMBER(E65),IF(E195&lt;E190,E193,IF(E195&gt;E191,E194,IF(AND(E195&lt;=E191,E195&gt;=E190),IF(ISNUMBER(E195),ROUND(FORECAST(E195,E193:E194,E190:E191),0),"")))),"")</f>
        <v/>
      </c>
      <c r="F196" s="114" t="str">
        <f>IF(ISNUMBER(F65),IF(F195&lt;F190,F193,IF(F195&gt;F191,F194,IF(AND(F195&lt;=F191,F195&gt;=F190),IF(ISNUMBER(F195),ROUND(FORECAST(F195,F193:F194,F190:F191),0),"")))),"")</f>
        <v/>
      </c>
      <c r="G196" s="114" t="str">
        <f>IF(ISNUMBER(G65),IF(G195&lt;G190,G193,IF(G195&gt;G191,G194,IF(AND(G195&lt;=G191,G195&gt;=G190),IF(ISNUMBER(G195),ROUND(FORECAST(G195,G193:G194,G190:G191),0),"")))),"")</f>
        <v/>
      </c>
    </row>
    <row r="197" spans="2:17" s="21" customFormat="1" ht="15" customHeight="1">
      <c r="B197" s="10" t="s">
        <v>153</v>
      </c>
      <c r="C197" s="61" t="s">
        <v>37</v>
      </c>
      <c r="D197" s="36" t="s">
        <v>2</v>
      </c>
      <c r="E197" s="115" t="str">
        <f>IF(G196="","brak danych",ROUND(IF(ISNUMBER(E196),AVERAGE(E196:G196),IF(ISNUMBER(F196),AVERAGE(F196:G196),IF(ISNUMBER(G196),G196,"bd"))),0))</f>
        <v>brak danych</v>
      </c>
      <c r="F197" s="122"/>
      <c r="G197" s="122"/>
    </row>
    <row r="198" spans="2:17" s="21" customFormat="1" ht="15" customHeight="1">
      <c r="B198" s="23"/>
      <c r="D198" s="37"/>
      <c r="E198" s="23"/>
      <c r="F198" s="23"/>
      <c r="G198" s="23"/>
    </row>
    <row r="199" spans="2:17" s="21" customFormat="1" ht="15" customHeight="1">
      <c r="B199" s="23"/>
      <c r="D199" s="37"/>
      <c r="E199" s="23"/>
      <c r="F199" s="23"/>
      <c r="G199" s="23"/>
    </row>
    <row r="200" spans="2:17" ht="15" customHeight="1">
      <c r="C200" s="27" t="str">
        <f>H66</f>
        <v>Kryterium nr 9.2</v>
      </c>
      <c r="E200" s="2"/>
    </row>
    <row r="201" spans="2:17" ht="20.100000000000001" customHeight="1">
      <c r="B201" s="228" t="s">
        <v>143</v>
      </c>
      <c r="C201" s="234" t="str">
        <f>C66</f>
        <v>Wskaźnik rotacji należności</v>
      </c>
      <c r="D201" s="229" t="s">
        <v>1</v>
      </c>
      <c r="E201" s="78" t="s">
        <v>287</v>
      </c>
      <c r="F201" s="78" t="s">
        <v>286</v>
      </c>
      <c r="G201" s="78" t="s">
        <v>285</v>
      </c>
      <c r="I201" s="231" t="str">
        <f>C201</f>
        <v>Wskaźnik rotacji należności</v>
      </c>
      <c r="J201" s="78" t="s">
        <v>287</v>
      </c>
      <c r="K201" s="78" t="s">
        <v>286</v>
      </c>
      <c r="L201" s="78" t="s">
        <v>285</v>
      </c>
    </row>
    <row r="202" spans="2:17" s="23" customFormat="1" ht="20.100000000000001" customHeight="1">
      <c r="B202" s="228"/>
      <c r="C202" s="234"/>
      <c r="D202" s="229"/>
      <c r="E202" s="54">
        <f>E55</f>
        <v>2022</v>
      </c>
      <c r="F202" s="54">
        <f>F55</f>
        <v>2023</v>
      </c>
      <c r="G202" s="54">
        <f>G55</f>
        <v>2024</v>
      </c>
      <c r="I202" s="229"/>
      <c r="J202" s="54">
        <f>E55</f>
        <v>2022</v>
      </c>
      <c r="K202" s="54">
        <f>F55</f>
        <v>2023</v>
      </c>
      <c r="L202" s="54">
        <f>G55</f>
        <v>2024</v>
      </c>
      <c r="N202" s="1"/>
    </row>
    <row r="203" spans="2:17" ht="15" customHeight="1">
      <c r="B203" s="50" t="s">
        <v>149</v>
      </c>
      <c r="C203" s="59" t="s">
        <v>3</v>
      </c>
      <c r="D203" s="28"/>
      <c r="E203" s="29"/>
      <c r="F203" s="29"/>
      <c r="G203" s="30"/>
      <c r="I203" s="60" t="s">
        <v>113</v>
      </c>
      <c r="J203" s="131">
        <f>'Dane finansowe'!E22</f>
        <v>0</v>
      </c>
      <c r="K203" s="131">
        <f>'Dane finansowe'!F22</f>
        <v>0</v>
      </c>
      <c r="L203" s="131">
        <f>'Dane finansowe'!G22</f>
        <v>0</v>
      </c>
    </row>
    <row r="204" spans="2:17" ht="15" customHeight="1">
      <c r="B204" s="3" t="s">
        <v>172</v>
      </c>
      <c r="C204" s="59" t="s">
        <v>4</v>
      </c>
      <c r="D204" s="31" t="s">
        <v>35</v>
      </c>
      <c r="E204" s="107">
        <v>30</v>
      </c>
      <c r="F204" s="107">
        <v>30</v>
      </c>
      <c r="G204" s="107">
        <v>30</v>
      </c>
      <c r="I204" s="60" t="s">
        <v>114</v>
      </c>
      <c r="J204" s="131">
        <f>'Dane finansowe'!E35</f>
        <v>0</v>
      </c>
      <c r="K204" s="131">
        <f>'Dane finansowe'!F35</f>
        <v>0</v>
      </c>
      <c r="L204" s="131">
        <f>'Dane finansowe'!G35</f>
        <v>0</v>
      </c>
      <c r="Q204" s="42"/>
    </row>
    <row r="205" spans="2:17" ht="15" customHeight="1">
      <c r="B205" s="3" t="s">
        <v>172</v>
      </c>
      <c r="C205" s="59" t="s">
        <v>6</v>
      </c>
      <c r="D205" s="31" t="s">
        <v>35</v>
      </c>
      <c r="E205" s="108">
        <v>90</v>
      </c>
      <c r="F205" s="108">
        <v>90</v>
      </c>
      <c r="G205" s="108">
        <v>90</v>
      </c>
      <c r="I205" s="60" t="s">
        <v>115</v>
      </c>
      <c r="J205" s="131" t="str">
        <f>IF(J204=0,"",J203/J204)</f>
        <v/>
      </c>
      <c r="K205" s="131" t="str">
        <f>IF(K204=0,"",K203/K204)</f>
        <v/>
      </c>
      <c r="L205" s="131" t="str">
        <f>IF(L204=0,"",L203/L204)</f>
        <v/>
      </c>
    </row>
    <row r="206" spans="2:17" ht="15" customHeight="1">
      <c r="B206" s="50" t="s">
        <v>150</v>
      </c>
      <c r="C206" s="59" t="s">
        <v>7</v>
      </c>
      <c r="D206" s="28"/>
      <c r="E206" s="109"/>
      <c r="F206" s="109"/>
      <c r="G206" s="110"/>
    </row>
    <row r="207" spans="2:17" ht="15" customHeight="1">
      <c r="B207" s="3" t="s">
        <v>172</v>
      </c>
      <c r="C207" s="59" t="s">
        <v>4</v>
      </c>
      <c r="D207" s="33" t="s">
        <v>2</v>
      </c>
      <c r="E207" s="111">
        <v>10</v>
      </c>
      <c r="F207" s="111">
        <v>10</v>
      </c>
      <c r="G207" s="111">
        <v>10</v>
      </c>
    </row>
    <row r="208" spans="2:17" ht="15" customHeight="1">
      <c r="B208" s="3" t="s">
        <v>172</v>
      </c>
      <c r="C208" s="59" t="s">
        <v>6</v>
      </c>
      <c r="D208" s="34" t="s">
        <v>2</v>
      </c>
      <c r="E208" s="112">
        <v>0</v>
      </c>
      <c r="F208" s="112">
        <v>0</v>
      </c>
      <c r="G208" s="112">
        <v>0</v>
      </c>
    </row>
    <row r="209" spans="2:12" ht="15" customHeight="1">
      <c r="B209" s="3" t="s">
        <v>151</v>
      </c>
      <c r="C209" s="59" t="s">
        <v>8</v>
      </c>
      <c r="D209" s="35" t="s">
        <v>5</v>
      </c>
      <c r="E209" s="119" t="str">
        <f>IF(ISNUMBER(E66),E66,"")</f>
        <v/>
      </c>
      <c r="F209" s="119" t="str">
        <f>IF(ISNUMBER(F66),F66,"")</f>
        <v/>
      </c>
      <c r="G209" s="119" t="str">
        <f>IF(ISNUMBER(G66),G66,"")</f>
        <v/>
      </c>
    </row>
    <row r="210" spans="2:12" ht="15" customHeight="1">
      <c r="B210" s="3" t="s">
        <v>152</v>
      </c>
      <c r="C210" s="60" t="s">
        <v>11</v>
      </c>
      <c r="D210" s="34" t="s">
        <v>2</v>
      </c>
      <c r="E210" s="114" t="str">
        <f>IF(ISNUMBER(E66),IF(E209&lt;E204,E207,IF(E209&gt;E205,E208,IF(AND(E209&lt;=E205,E209&gt;=E204),IF(ISNUMBER(E209),ROUND(FORECAST(E209,E207:E208,E204:E205),0),"")))),"")</f>
        <v/>
      </c>
      <c r="F210" s="114" t="str">
        <f>IF(ISNUMBER(F66),IF(F209&lt;F204,F207,IF(F209&gt;F205,F208,IF(AND(F209&lt;=F205,F209&gt;=F204),IF(ISNUMBER(F209),ROUND(FORECAST(F209,F207:F208,F204:F205),0),"")))),"")</f>
        <v/>
      </c>
      <c r="G210" s="114" t="str">
        <f>IF(ISNUMBER(G66),IF(G209&lt;G204,G207,IF(G209&gt;G205,G208,IF(AND(G209&lt;=G205,G209&gt;=G204),IF(ISNUMBER(G209),ROUND(FORECAST(G209,G207:G208,G204:G205),0),"")))),"")</f>
        <v/>
      </c>
    </row>
    <row r="211" spans="2:12" s="21" customFormat="1" ht="15" customHeight="1">
      <c r="B211" s="10" t="s">
        <v>153</v>
      </c>
      <c r="C211" s="61" t="s">
        <v>37</v>
      </c>
      <c r="D211" s="36" t="s">
        <v>2</v>
      </c>
      <c r="E211" s="115" t="str">
        <f>IF(G210="","brak danych",ROUND(IF(ISNUMBER(E210),AVERAGE(E210:G210),IF(ISNUMBER(F210),AVERAGE(F210:G210),IF(ISNUMBER(G210),G210,"bd"))),0))</f>
        <v>brak danych</v>
      </c>
      <c r="F211" s="122"/>
      <c r="G211" s="122"/>
    </row>
    <row r="212" spans="2:12" s="21" customFormat="1" ht="15" customHeight="1">
      <c r="B212" s="23"/>
      <c r="D212" s="37"/>
      <c r="E212" s="23"/>
      <c r="F212" s="23"/>
      <c r="G212" s="23"/>
    </row>
    <row r="213" spans="2:12" s="21" customFormat="1" ht="15" customHeight="1">
      <c r="B213" s="23"/>
      <c r="D213" s="37"/>
      <c r="E213" s="23"/>
      <c r="F213" s="23"/>
      <c r="G213" s="23"/>
    </row>
    <row r="214" spans="2:12" ht="15" customHeight="1">
      <c r="C214" s="27" t="str">
        <f>H67</f>
        <v>Kryterium nr 9.3</v>
      </c>
    </row>
    <row r="215" spans="2:12" ht="20.100000000000001" customHeight="1">
      <c r="B215" s="228" t="s">
        <v>143</v>
      </c>
      <c r="C215" s="228" t="str">
        <f>C67</f>
        <v>Wskaźnik rotacji zobowiązań krótkoterminowych</v>
      </c>
      <c r="D215" s="229" t="s">
        <v>1</v>
      </c>
      <c r="E215" s="78" t="s">
        <v>287</v>
      </c>
      <c r="F215" s="78" t="s">
        <v>286</v>
      </c>
      <c r="G215" s="78" t="s">
        <v>285</v>
      </c>
      <c r="I215" s="231" t="str">
        <f>C215</f>
        <v>Wskaźnik rotacji zobowiązań krótkoterminowych</v>
      </c>
      <c r="J215" s="78" t="s">
        <v>287</v>
      </c>
      <c r="K215" s="78" t="s">
        <v>286</v>
      </c>
      <c r="L215" s="78" t="s">
        <v>285</v>
      </c>
    </row>
    <row r="216" spans="2:12" s="23" customFormat="1" ht="20.100000000000001" customHeight="1">
      <c r="B216" s="228"/>
      <c r="C216" s="228"/>
      <c r="D216" s="229"/>
      <c r="E216" s="54">
        <f>E55</f>
        <v>2022</v>
      </c>
      <c r="F216" s="54">
        <f>F55</f>
        <v>2023</v>
      </c>
      <c r="G216" s="54">
        <f>G55</f>
        <v>2024</v>
      </c>
      <c r="I216" s="229"/>
      <c r="J216" s="54">
        <f>E55</f>
        <v>2022</v>
      </c>
      <c r="K216" s="54">
        <f>F55</f>
        <v>2023</v>
      </c>
      <c r="L216" s="54">
        <f>G55</f>
        <v>2024</v>
      </c>
    </row>
    <row r="217" spans="2:12" ht="15" customHeight="1">
      <c r="B217" s="50" t="s">
        <v>149</v>
      </c>
      <c r="C217" s="59" t="s">
        <v>3</v>
      </c>
      <c r="D217" s="28"/>
      <c r="E217" s="29"/>
      <c r="F217" s="29"/>
      <c r="G217" s="30"/>
      <c r="I217" s="60" t="s">
        <v>113</v>
      </c>
      <c r="J217" s="131">
        <f>'Dane finansowe'!E22</f>
        <v>0</v>
      </c>
      <c r="K217" s="131">
        <f>'Dane finansowe'!F22</f>
        <v>0</v>
      </c>
      <c r="L217" s="131">
        <f>'Dane finansowe'!G22</f>
        <v>0</v>
      </c>
    </row>
    <row r="218" spans="2:12" ht="15" customHeight="1">
      <c r="B218" s="3" t="s">
        <v>172</v>
      </c>
      <c r="C218" s="59" t="s">
        <v>4</v>
      </c>
      <c r="D218" s="31" t="s">
        <v>35</v>
      </c>
      <c r="E218" s="107">
        <v>30</v>
      </c>
      <c r="F218" s="107">
        <v>30</v>
      </c>
      <c r="G218" s="107">
        <v>30</v>
      </c>
      <c r="I218" s="60" t="s">
        <v>116</v>
      </c>
      <c r="J218" s="131">
        <f>'Dane finansowe'!E48</f>
        <v>0</v>
      </c>
      <c r="K218" s="131">
        <f>'Dane finansowe'!F48</f>
        <v>0</v>
      </c>
      <c r="L218" s="131">
        <f>'Dane finansowe'!G48</f>
        <v>0</v>
      </c>
    </row>
    <row r="219" spans="2:12" ht="15" customHeight="1">
      <c r="B219" s="3" t="s">
        <v>172</v>
      </c>
      <c r="C219" s="59" t="s">
        <v>6</v>
      </c>
      <c r="D219" s="31" t="s">
        <v>35</v>
      </c>
      <c r="E219" s="108">
        <v>90</v>
      </c>
      <c r="F219" s="108">
        <v>90</v>
      </c>
      <c r="G219" s="108">
        <v>90</v>
      </c>
      <c r="I219" s="60" t="s">
        <v>115</v>
      </c>
      <c r="J219" s="131" t="str">
        <f>IF(J218=0,"",J217/J218)</f>
        <v/>
      </c>
      <c r="K219" s="131" t="str">
        <f>IF(K218=0,"",K217/K218)</f>
        <v/>
      </c>
      <c r="L219" s="131" t="str">
        <f>IF(L218=0,"",L217/L218)</f>
        <v/>
      </c>
    </row>
    <row r="220" spans="2:12" ht="15" customHeight="1">
      <c r="B220" s="50" t="s">
        <v>150</v>
      </c>
      <c r="C220" s="59" t="s">
        <v>7</v>
      </c>
      <c r="D220" s="28"/>
      <c r="E220" s="109"/>
      <c r="F220" s="109"/>
      <c r="G220" s="110"/>
      <c r="I220" s="62"/>
    </row>
    <row r="221" spans="2:12" ht="15" customHeight="1">
      <c r="B221" s="3" t="s">
        <v>172</v>
      </c>
      <c r="C221" s="59" t="s">
        <v>4</v>
      </c>
      <c r="D221" s="33" t="s">
        <v>2</v>
      </c>
      <c r="E221" s="111">
        <v>10</v>
      </c>
      <c r="F221" s="111">
        <v>10</v>
      </c>
      <c r="G221" s="111">
        <v>10</v>
      </c>
    </row>
    <row r="222" spans="2:12" ht="15" customHeight="1">
      <c r="B222" s="3" t="s">
        <v>172</v>
      </c>
      <c r="C222" s="59" t="s">
        <v>6</v>
      </c>
      <c r="D222" s="34" t="s">
        <v>2</v>
      </c>
      <c r="E222" s="112">
        <v>0</v>
      </c>
      <c r="F222" s="112">
        <v>0</v>
      </c>
      <c r="G222" s="112">
        <v>0</v>
      </c>
    </row>
    <row r="223" spans="2:12" ht="15" customHeight="1">
      <c r="B223" s="3" t="s">
        <v>151</v>
      </c>
      <c r="C223" s="59" t="s">
        <v>8</v>
      </c>
      <c r="D223" s="35" t="s">
        <v>5</v>
      </c>
      <c r="E223" s="119" t="str">
        <f>IF(ISNUMBER(E67),E67,"")</f>
        <v/>
      </c>
      <c r="F223" s="119" t="str">
        <f>IF(ISNUMBER(F67),F67,"")</f>
        <v/>
      </c>
      <c r="G223" s="119" t="str">
        <f>IF(ISNUMBER(G67),G67,"")</f>
        <v/>
      </c>
    </row>
    <row r="224" spans="2:12" ht="15" customHeight="1">
      <c r="B224" s="3" t="s">
        <v>152</v>
      </c>
      <c r="C224" s="60" t="s">
        <v>11</v>
      </c>
      <c r="D224" s="34" t="s">
        <v>2</v>
      </c>
      <c r="E224" s="114" t="str">
        <f>IF(ISNUMBER(E67),IF(E223&lt;E218,E221,IF(E223&gt;E219,E222,IF(AND(E223&lt;=E219,E223&gt;=E218),IF(ISNUMBER(E223),ROUND(FORECAST(E223,E221:E222,E218:E219),0),"")))),"")</f>
        <v/>
      </c>
      <c r="F224" s="114" t="str">
        <f>IF(ISNUMBER(F67),IF(F223&lt;F218,F221,IF(F223&gt;F219,F222,IF(AND(F223&lt;=F219,F223&gt;=F218),IF(ISNUMBER(F223),ROUND(FORECAST(F223,F221:F222,F218:F219),0),"")))),"")</f>
        <v/>
      </c>
      <c r="G224" s="114" t="str">
        <f>IF(ISNUMBER(G67),IF(G223&lt;G218,G221,IF(G223&gt;G219,G222,IF(AND(G223&lt;=G219,G223&gt;=G218),IF(ISNUMBER(G223),ROUND(FORECAST(G223,G221:G222,G218:G219),0),"")))),"")</f>
        <v/>
      </c>
    </row>
    <row r="225" spans="2:7" s="21" customFormat="1" ht="15" customHeight="1">
      <c r="B225" s="10" t="s">
        <v>153</v>
      </c>
      <c r="C225" s="61" t="s">
        <v>37</v>
      </c>
      <c r="D225" s="36" t="s">
        <v>2</v>
      </c>
      <c r="E225" s="115" t="str">
        <f>IF(G224="","brak danych",ROUND(IF(ISNUMBER(E224),AVERAGE(E224:G224),IF(ISNUMBER(F224),AVERAGE(F224:G224),IF(ISNUMBER(G224),G224,"bd"))),0))</f>
        <v>brak danych</v>
      </c>
      <c r="F225" s="122"/>
      <c r="G225" s="122"/>
    </row>
    <row r="226" spans="2:7" ht="15" customHeight="1"/>
    <row r="227" spans="2:7" ht="15" customHeight="1">
      <c r="E227" s="2"/>
    </row>
    <row r="228" spans="2:7" ht="15" customHeight="1">
      <c r="C228" s="27" t="str">
        <f>H68</f>
        <v>Kryterium nr 10</v>
      </c>
      <c r="E228" s="2"/>
    </row>
    <row r="229" spans="2:7" ht="20.100000000000001" customHeight="1">
      <c r="B229" s="228" t="s">
        <v>143</v>
      </c>
      <c r="C229" s="229" t="str">
        <f>C68</f>
        <v>Pokrycie aktywów stałych: kapitał własny / aktywa trwałe</v>
      </c>
      <c r="D229" s="229" t="s">
        <v>1</v>
      </c>
      <c r="E229" s="78" t="s">
        <v>287</v>
      </c>
      <c r="F229" s="78" t="s">
        <v>286</v>
      </c>
      <c r="G229" s="78" t="s">
        <v>285</v>
      </c>
    </row>
    <row r="230" spans="2:7" s="23" customFormat="1" ht="20.100000000000001" customHeight="1">
      <c r="B230" s="228"/>
      <c r="C230" s="229"/>
      <c r="D230" s="229"/>
      <c r="E230" s="54">
        <f>E55</f>
        <v>2022</v>
      </c>
      <c r="F230" s="54">
        <f>F55</f>
        <v>2023</v>
      </c>
      <c r="G230" s="54">
        <f>G55</f>
        <v>2024</v>
      </c>
    </row>
    <row r="231" spans="2:7" ht="15" customHeight="1">
      <c r="B231" s="50" t="s">
        <v>149</v>
      </c>
      <c r="C231" s="59" t="s">
        <v>3</v>
      </c>
      <c r="D231" s="28"/>
      <c r="E231" s="29"/>
      <c r="F231" s="29"/>
      <c r="G231" s="30"/>
    </row>
    <row r="232" spans="2:7" ht="15" customHeight="1">
      <c r="B232" s="3" t="s">
        <v>172</v>
      </c>
      <c r="C232" s="59" t="s">
        <v>4</v>
      </c>
      <c r="D232" s="31" t="s">
        <v>5</v>
      </c>
      <c r="E232" s="135">
        <v>0.8</v>
      </c>
      <c r="F232" s="135">
        <v>0.8</v>
      </c>
      <c r="G232" s="135">
        <v>0.8</v>
      </c>
    </row>
    <row r="233" spans="2:7" ht="15" customHeight="1">
      <c r="B233" s="3" t="s">
        <v>172</v>
      </c>
      <c r="C233" s="59" t="s">
        <v>6</v>
      </c>
      <c r="D233" s="31" t="s">
        <v>5</v>
      </c>
      <c r="E233" s="137">
        <v>1.1000000000000001</v>
      </c>
      <c r="F233" s="137">
        <v>1.1000000000000001</v>
      </c>
      <c r="G233" s="137">
        <v>1.1000000000000001</v>
      </c>
    </row>
    <row r="234" spans="2:7" ht="15" customHeight="1">
      <c r="B234" s="50" t="s">
        <v>150</v>
      </c>
      <c r="C234" s="59" t="s">
        <v>7</v>
      </c>
      <c r="D234" s="28"/>
      <c r="E234" s="109"/>
      <c r="F234" s="109"/>
      <c r="G234" s="110"/>
    </row>
    <row r="235" spans="2:7" ht="15" customHeight="1">
      <c r="B235" s="50"/>
      <c r="C235" s="59" t="s">
        <v>4</v>
      </c>
      <c r="D235" s="132" t="s">
        <v>2</v>
      </c>
      <c r="E235" s="133">
        <v>0</v>
      </c>
      <c r="F235" s="133">
        <v>0</v>
      </c>
      <c r="G235" s="133">
        <v>0</v>
      </c>
    </row>
    <row r="236" spans="2:7" ht="15" customHeight="1">
      <c r="B236" s="3" t="s">
        <v>172</v>
      </c>
      <c r="C236" s="59" t="s">
        <v>245</v>
      </c>
      <c r="D236" s="134" t="s">
        <v>5</v>
      </c>
      <c r="E236" s="135">
        <v>1.1000000000000001</v>
      </c>
      <c r="F236" s="135">
        <v>1.1000000000000001</v>
      </c>
      <c r="G236" s="135">
        <v>1.1000000000000001</v>
      </c>
    </row>
    <row r="237" spans="2:7" ht="15" customHeight="1">
      <c r="B237" s="3" t="s">
        <v>172</v>
      </c>
      <c r="C237" s="59" t="s">
        <v>6</v>
      </c>
      <c r="D237" s="136" t="s">
        <v>2</v>
      </c>
      <c r="E237" s="112">
        <v>5</v>
      </c>
      <c r="F237" s="112">
        <v>5</v>
      </c>
      <c r="G237" s="112">
        <v>5</v>
      </c>
    </row>
    <row r="238" spans="2:7" ht="15" customHeight="1">
      <c r="B238" s="3" t="s">
        <v>151</v>
      </c>
      <c r="C238" s="59" t="s">
        <v>8</v>
      </c>
      <c r="D238" s="35" t="s">
        <v>5</v>
      </c>
      <c r="E238" s="113" t="str">
        <f>IF(ISNUMBER(E68),E68,"")</f>
        <v/>
      </c>
      <c r="F238" s="113" t="str">
        <f>IF(ISNUMBER(F68),F68,"")</f>
        <v/>
      </c>
      <c r="G238" s="113" t="str">
        <f>IF(ISNUMBER(G68),G68,"")</f>
        <v/>
      </c>
    </row>
    <row r="239" spans="2:7" ht="15" customHeight="1">
      <c r="B239" s="3" t="s">
        <v>152</v>
      </c>
      <c r="C239" s="60" t="s">
        <v>11</v>
      </c>
      <c r="D239" s="34" t="s">
        <v>2</v>
      </c>
      <c r="E239" s="114" t="str">
        <f>IF(ISNUMBER(E68),IF(E238&lt;E232,E235,IF(E238&gt;E233,E237,IF(AND(E238&lt;=E233,E238&gt;=E232),IF(ISNUMBER(E238),ROUND(FORECAST(E238,E236:E237,E232:E233),0),"")))),"")</f>
        <v/>
      </c>
      <c r="F239" s="114" t="str">
        <f>IF(ISNUMBER(F68),IF(F238&lt;F232,F235,IF(F238&gt;F233,F237,IF(AND(F238&lt;=F233,F238&gt;=F232),IF(ISNUMBER(F238),ROUND(FORECAST(F238,F236:F237,F232:F233),0),"")))),"")</f>
        <v/>
      </c>
      <c r="G239" s="114" t="str">
        <f>IF(ISNUMBER(G68),IF(G238&lt;G232,G235,IF(G238&gt;G233,G237,IF(AND(G238&lt;=G233,G238&gt;=G232),IF(ISNUMBER(G238),ROUND(FORECAST(G238,G236:G237,G232:G233),0),"")))),"")</f>
        <v/>
      </c>
    </row>
    <row r="240" spans="2:7" s="21" customFormat="1" ht="15" customHeight="1">
      <c r="B240" s="10" t="s">
        <v>153</v>
      </c>
      <c r="C240" s="61" t="s">
        <v>37</v>
      </c>
      <c r="D240" s="36" t="s">
        <v>2</v>
      </c>
      <c r="E240" s="115" t="str">
        <f>IF(G239="","brak danych",ROUND(IF(ISNUMBER(E239),AVERAGE(E239:G239),IF(ISNUMBER(F239),AVERAGE(F239:G239),IF(ISNUMBER(G239),G239,"bd"))),0))</f>
        <v>brak danych</v>
      </c>
      <c r="F240" s="122"/>
      <c r="G240" s="122"/>
    </row>
    <row r="241" spans="2:7" ht="15" customHeight="1">
      <c r="E241" s="2"/>
    </row>
    <row r="242" spans="2:7" ht="15" customHeight="1"/>
    <row r="243" spans="2:7" ht="15" customHeight="1">
      <c r="C243" s="27" t="str">
        <f>H70</f>
        <v>Kryterium nr 12</v>
      </c>
      <c r="E243" s="2"/>
    </row>
    <row r="244" spans="2:7" ht="20.100000000000001" customHeight="1">
      <c r="B244" s="228" t="s">
        <v>143</v>
      </c>
      <c r="C244" s="229" t="str">
        <f>C70</f>
        <v>Analiza dyskryminacyjna - model prof. E. Mączyńskiej</v>
      </c>
      <c r="D244" s="229" t="s">
        <v>1</v>
      </c>
      <c r="E244" s="78" t="s">
        <v>287</v>
      </c>
      <c r="F244" s="78" t="s">
        <v>286</v>
      </c>
      <c r="G244" s="78" t="s">
        <v>285</v>
      </c>
    </row>
    <row r="245" spans="2:7" s="23" customFormat="1" ht="20.100000000000001" customHeight="1">
      <c r="B245" s="228"/>
      <c r="C245" s="229"/>
      <c r="D245" s="229"/>
      <c r="E245" s="54">
        <f>E55</f>
        <v>2022</v>
      </c>
      <c r="F245" s="54">
        <f>F55</f>
        <v>2023</v>
      </c>
      <c r="G245" s="54">
        <f>G55</f>
        <v>2024</v>
      </c>
    </row>
    <row r="246" spans="2:7" ht="15" customHeight="1">
      <c r="B246" s="50" t="s">
        <v>149</v>
      </c>
      <c r="C246" s="59" t="s">
        <v>3</v>
      </c>
      <c r="D246" s="28"/>
      <c r="E246" s="29"/>
      <c r="F246" s="29"/>
      <c r="G246" s="30"/>
    </row>
    <row r="247" spans="2:7" ht="15" customHeight="1">
      <c r="B247" s="3" t="s">
        <v>172</v>
      </c>
      <c r="C247" s="59" t="s">
        <v>4</v>
      </c>
      <c r="D247" s="31" t="s">
        <v>5</v>
      </c>
      <c r="E247" s="107">
        <v>0</v>
      </c>
      <c r="F247" s="107">
        <v>0</v>
      </c>
      <c r="G247" s="107">
        <v>0</v>
      </c>
    </row>
    <row r="248" spans="2:7" ht="15" customHeight="1">
      <c r="B248" s="3" t="s">
        <v>172</v>
      </c>
      <c r="C248" s="59" t="s">
        <v>6</v>
      </c>
      <c r="D248" s="31" t="s">
        <v>5</v>
      </c>
      <c r="E248" s="108">
        <v>2</v>
      </c>
      <c r="F248" s="108">
        <v>2</v>
      </c>
      <c r="G248" s="108">
        <v>2</v>
      </c>
    </row>
    <row r="249" spans="2:7" ht="15" customHeight="1">
      <c r="B249" s="50" t="s">
        <v>150</v>
      </c>
      <c r="C249" s="59" t="s">
        <v>7</v>
      </c>
      <c r="D249" s="28"/>
      <c r="E249" s="109"/>
      <c r="F249" s="109"/>
      <c r="G249" s="110"/>
    </row>
    <row r="250" spans="2:7" ht="15" customHeight="1">
      <c r="B250" s="3" t="s">
        <v>172</v>
      </c>
      <c r="C250" s="59" t="s">
        <v>4</v>
      </c>
      <c r="D250" s="33" t="s">
        <v>2</v>
      </c>
      <c r="E250" s="111">
        <v>0</v>
      </c>
      <c r="F250" s="111">
        <v>0</v>
      </c>
      <c r="G250" s="111">
        <v>0</v>
      </c>
    </row>
    <row r="251" spans="2:7" ht="15" customHeight="1">
      <c r="B251" s="3" t="s">
        <v>172</v>
      </c>
      <c r="C251" s="59" t="s">
        <v>6</v>
      </c>
      <c r="D251" s="34" t="s">
        <v>2</v>
      </c>
      <c r="E251" s="112">
        <v>10</v>
      </c>
      <c r="F251" s="112">
        <v>10</v>
      </c>
      <c r="G251" s="112">
        <v>10</v>
      </c>
    </row>
    <row r="252" spans="2:7" ht="15" customHeight="1">
      <c r="B252" s="3" t="s">
        <v>151</v>
      </c>
      <c r="C252" s="59" t="s">
        <v>8</v>
      </c>
      <c r="D252" s="35" t="s">
        <v>5</v>
      </c>
      <c r="E252" s="113" t="str">
        <f>IF(ISNUMBER(E70),E70,"")</f>
        <v/>
      </c>
      <c r="F252" s="113" t="str">
        <f>IF(ISNUMBER(F70),F70,"")</f>
        <v/>
      </c>
      <c r="G252" s="113" t="str">
        <f>IF(ISNUMBER(G70),G70,"")</f>
        <v/>
      </c>
    </row>
    <row r="253" spans="2:7" ht="15" customHeight="1">
      <c r="B253" s="3" t="s">
        <v>152</v>
      </c>
      <c r="C253" s="60" t="s">
        <v>11</v>
      </c>
      <c r="D253" s="34" t="s">
        <v>2</v>
      </c>
      <c r="E253" s="114" t="str">
        <f>IF(ISNUMBER(E70),IF(E252&lt;E247,E250,IF(E252&gt;E248,E251,IF(AND(E252&lt;=E248,E252&gt;=E247),IF(ISNUMBER(E252),ROUND(FORECAST(E252,E250:E251,E247:E248),0),"")))),"")</f>
        <v/>
      </c>
      <c r="F253" s="114" t="str">
        <f>IF(ISNUMBER(F70),IF(F252&lt;F247,F250,IF(F252&gt;F248,F251,IF(AND(F252&lt;=F248,F252&gt;=F247),IF(ISNUMBER(F252),ROUND(FORECAST(F252,F250:F251,F247:F248),0),"")))),"")</f>
        <v/>
      </c>
      <c r="G253" s="114" t="str">
        <f>IF(ISNUMBER(G70),IF(G252&lt;G247,G250,IF(G252&gt;G248,G251,IF(AND(G252&lt;=G248,G252&gt;=G247),IF(ISNUMBER(G252),ROUND(FORECAST(G252,G250:G251,G247:G248),0),"")))),"")</f>
        <v/>
      </c>
    </row>
    <row r="254" spans="2:7" s="21" customFormat="1" ht="15" customHeight="1">
      <c r="B254" s="10" t="s">
        <v>153</v>
      </c>
      <c r="C254" s="61" t="s">
        <v>37</v>
      </c>
      <c r="D254" s="36" t="s">
        <v>2</v>
      </c>
      <c r="E254" s="115" t="str">
        <f>IF(G253="","brak danych",ROUND(IF(ISNUMBER(E253),AVERAGE(E253:G253),IF(ISNUMBER(F253),AVERAGE(F253:G253),IF(ISNUMBER(G253),G253,"bd"))),0))</f>
        <v>brak danych</v>
      </c>
      <c r="F254" s="122"/>
      <c r="G254" s="122"/>
    </row>
    <row r="255" spans="2:7" ht="15" customHeight="1">
      <c r="E255" s="2"/>
    </row>
    <row r="256" spans="2:7" s="21" customFormat="1" ht="15" customHeight="1">
      <c r="B256" s="23"/>
    </row>
    <row r="257" spans="2:11" ht="15" customHeight="1">
      <c r="C257" s="27" t="str">
        <f>H70</f>
        <v>Kryterium nr 12</v>
      </c>
    </row>
    <row r="258" spans="2:11" ht="20.100000000000001" customHeight="1">
      <c r="B258" s="228" t="s">
        <v>143</v>
      </c>
      <c r="C258" s="228" t="str">
        <f>C70</f>
        <v>Analiza dyskryminacyjna - model prof. E. Mączyńskiej</v>
      </c>
      <c r="D258" s="228" t="str">
        <f>D54</f>
        <v>Jedn./Lata</v>
      </c>
      <c r="E258" s="78" t="s">
        <v>287</v>
      </c>
      <c r="F258" s="78" t="s">
        <v>286</v>
      </c>
      <c r="G258" s="78" t="s">
        <v>285</v>
      </c>
    </row>
    <row r="259" spans="2:11" ht="20.100000000000001" customHeight="1">
      <c r="B259" s="228"/>
      <c r="C259" s="228"/>
      <c r="D259" s="228"/>
      <c r="E259" s="54">
        <f>E55</f>
        <v>2022</v>
      </c>
      <c r="F259" s="54">
        <f>F55</f>
        <v>2023</v>
      </c>
      <c r="G259" s="54">
        <f>G55</f>
        <v>2024</v>
      </c>
      <c r="I259" s="315"/>
      <c r="J259" s="316"/>
      <c r="K259" s="317"/>
    </row>
    <row r="260" spans="2:11" ht="15" customHeight="1">
      <c r="B260" s="3" t="s">
        <v>149</v>
      </c>
      <c r="C260" s="63" t="s">
        <v>17</v>
      </c>
      <c r="D260" s="25" t="s">
        <v>5</v>
      </c>
      <c r="E260" s="123">
        <f>IF('Dane finansowe'!E45=0,0,('Dane finansowe'!E29+'Dane finansowe'!E24)/'Dane finansowe'!E45)</f>
        <v>0</v>
      </c>
      <c r="F260" s="123">
        <f>IF('Dane finansowe'!F45=0,0,('Dane finansowe'!F29+'Dane finansowe'!F24)/'Dane finansowe'!F45)</f>
        <v>0</v>
      </c>
      <c r="G260" s="123">
        <f>IF('Dane finansowe'!G45=0,0,('Dane finansowe'!G29+'Dane finansowe'!G24)/'Dane finansowe'!G45)</f>
        <v>0</v>
      </c>
      <c r="I260" s="248" t="s">
        <v>12</v>
      </c>
      <c r="J260" s="249"/>
      <c r="K260" s="250"/>
    </row>
    <row r="261" spans="2:11" ht="15" customHeight="1">
      <c r="B261" s="3" t="s">
        <v>150</v>
      </c>
      <c r="C261" s="63" t="s">
        <v>18</v>
      </c>
      <c r="D261" s="25" t="s">
        <v>5</v>
      </c>
      <c r="E261" s="123">
        <f>IF('Dane finansowe'!E45=0,0,'Dane finansowe'!E41/'Dane finansowe'!E45)</f>
        <v>0</v>
      </c>
      <c r="F261" s="123">
        <f>IF('Dane finansowe'!F45=0,0,'Dane finansowe'!F41/'Dane finansowe'!F45)</f>
        <v>0</v>
      </c>
      <c r="G261" s="123">
        <f>IF('Dane finansowe'!G45=0,0,'Dane finansowe'!G41/'Dane finansowe'!G45)</f>
        <v>0</v>
      </c>
      <c r="I261" s="248" t="s">
        <v>13</v>
      </c>
      <c r="J261" s="249"/>
      <c r="K261" s="250"/>
    </row>
    <row r="262" spans="2:11" ht="15" customHeight="1">
      <c r="B262" s="3" t="s">
        <v>151</v>
      </c>
      <c r="C262" s="61" t="s">
        <v>19</v>
      </c>
      <c r="D262" s="25" t="s">
        <v>5</v>
      </c>
      <c r="E262" s="123">
        <f>IF('Dane finansowe'!E41=0,0,'Dane finansowe'!E26/'Dane finansowe'!E41)</f>
        <v>0</v>
      </c>
      <c r="F262" s="123">
        <f>IF('Dane finansowe'!F41=0,0,'Dane finansowe'!F26/'Dane finansowe'!F41)</f>
        <v>0</v>
      </c>
      <c r="G262" s="123">
        <f>IF('Dane finansowe'!G41=0,0,'Dane finansowe'!G26/'Dane finansowe'!G41)</f>
        <v>0</v>
      </c>
      <c r="I262" s="248" t="s">
        <v>14</v>
      </c>
      <c r="J262" s="249"/>
      <c r="K262" s="250"/>
    </row>
    <row r="263" spans="2:11" ht="15" customHeight="1">
      <c r="B263" s="3" t="s">
        <v>152</v>
      </c>
      <c r="C263" s="63" t="s">
        <v>20</v>
      </c>
      <c r="D263" s="25" t="s">
        <v>5</v>
      </c>
      <c r="E263" s="123" t="str">
        <f>IF(E178="","",IF(E178=0,0,'Dane finansowe'!E26/'Dane finansowe'!E22))</f>
        <v/>
      </c>
      <c r="F263" s="123" t="str">
        <f>IF(F178="","",IF(F178=0,0,'Dane finansowe'!F26/'Dane finansowe'!F22))</f>
        <v/>
      </c>
      <c r="G263" s="123" t="str">
        <f>IF(G178="","",IF(G178=0,0,'Dane finansowe'!G26/'Dane finansowe'!G22))</f>
        <v/>
      </c>
      <c r="I263" s="248" t="s">
        <v>15</v>
      </c>
      <c r="J263" s="249"/>
      <c r="K263" s="250"/>
    </row>
    <row r="264" spans="2:11" ht="15" customHeight="1">
      <c r="B264" s="3" t="s">
        <v>153</v>
      </c>
      <c r="C264" s="63" t="s">
        <v>21</v>
      </c>
      <c r="D264" s="25" t="s">
        <v>5</v>
      </c>
      <c r="E264" s="123">
        <f>IF('Dane finansowe'!E22=0,0,'Dane finansowe'!E34/'Dane finansowe'!E22)</f>
        <v>0</v>
      </c>
      <c r="F264" s="123">
        <f>IF('Dane finansowe'!F22=0,0,'Dane finansowe'!F34/'Dane finansowe'!F22)</f>
        <v>0</v>
      </c>
      <c r="G264" s="123">
        <f>IF('Dane finansowe'!G22=0,0,'Dane finansowe'!G34/'Dane finansowe'!G22)</f>
        <v>0</v>
      </c>
      <c r="I264" s="248" t="s">
        <v>16</v>
      </c>
      <c r="J264" s="249"/>
      <c r="K264" s="250"/>
    </row>
    <row r="265" spans="2:11" ht="15" customHeight="1">
      <c r="B265" s="3" t="s">
        <v>156</v>
      </c>
      <c r="C265" s="63" t="s">
        <v>22</v>
      </c>
      <c r="D265" s="25" t="s">
        <v>5</v>
      </c>
      <c r="E265" s="123">
        <f>IF('Dane finansowe'!E41=0,0,'Dane finansowe'!E22/'Dane finansowe'!E41)</f>
        <v>0</v>
      </c>
      <c r="F265" s="123">
        <f>IF('Dane finansowe'!F41=0,0,'Dane finansowe'!F22/'Dane finansowe'!F41)</f>
        <v>0</v>
      </c>
      <c r="G265" s="123">
        <f>IF('Dane finansowe'!G41=0,0,'Dane finansowe'!G22/'Dane finansowe'!G41)</f>
        <v>0</v>
      </c>
      <c r="I265" s="251"/>
      <c r="J265" s="252"/>
      <c r="K265" s="253"/>
    </row>
    <row r="266" spans="2:11" s="21" customFormat="1" ht="15" customHeight="1">
      <c r="B266" s="10" t="s">
        <v>167</v>
      </c>
      <c r="C266" s="61" t="s">
        <v>38</v>
      </c>
      <c r="D266" s="43" t="s">
        <v>5</v>
      </c>
      <c r="E266" s="124" t="str">
        <f>IF(E263="","brak danych",(1.5*E260)+(0.08*E261)+(10*E262)+(5*E263)+(0.3*E264)+(0.1*E265))</f>
        <v>brak danych</v>
      </c>
      <c r="F266" s="124" t="str">
        <f>IF(F263="","brak danych",(1.5*F260)+(0.08*F261)+(10*F262)+(5*F263)+(0.3*F264)+(0.1*F265))</f>
        <v>brak danych</v>
      </c>
      <c r="G266" s="124" t="str">
        <f>IF(G263="","brak danych",(1.5*G260)+(0.08*G261)+(10*G262)+(5*G263)+(0.3*G264)+(0.1*G265))</f>
        <v>brak danych</v>
      </c>
    </row>
    <row r="267" spans="2:11" ht="15" customHeight="1">
      <c r="B267" s="38"/>
      <c r="C267" s="9"/>
      <c r="E267" s="39"/>
      <c r="F267" s="39"/>
      <c r="G267" s="39"/>
    </row>
    <row r="268" spans="2:11" ht="15" customHeight="1"/>
    <row r="269" spans="2:11" ht="20.100000000000001" customHeight="1">
      <c r="B269" s="228" t="s">
        <v>143</v>
      </c>
      <c r="C269" s="229" t="s">
        <v>191</v>
      </c>
      <c r="D269" s="228" t="str">
        <f>D258</f>
        <v>Jedn./Lata</v>
      </c>
      <c r="E269" s="78" t="s">
        <v>287</v>
      </c>
      <c r="F269" s="78" t="s">
        <v>286</v>
      </c>
      <c r="G269" s="78" t="s">
        <v>285</v>
      </c>
    </row>
    <row r="270" spans="2:11" ht="20.100000000000001" customHeight="1">
      <c r="B270" s="228"/>
      <c r="C270" s="229"/>
      <c r="D270" s="228"/>
      <c r="E270" s="54">
        <f>E55</f>
        <v>2022</v>
      </c>
      <c r="F270" s="54">
        <f t="shared" ref="F270:G270" si="7">F55</f>
        <v>2023</v>
      </c>
      <c r="G270" s="54">
        <f t="shared" si="7"/>
        <v>2024</v>
      </c>
    </row>
    <row r="271" spans="2:11" ht="15" customHeight="1">
      <c r="B271" s="3" t="s">
        <v>149</v>
      </c>
      <c r="C271" s="60" t="s">
        <v>221</v>
      </c>
      <c r="D271" s="25" t="s">
        <v>5</v>
      </c>
      <c r="E271" s="195">
        <f>IF(E284="","",IF(E284=2021,E279,E280))</f>
        <v>6.4374000000000001E-2</v>
      </c>
      <c r="F271" s="147">
        <f>IF(F284="","",IF(F284=2022,E280,E281))</f>
        <v>6.5424999999999997E-2</v>
      </c>
      <c r="G271" s="147">
        <f>IF(G284="","",IF(G284=2023,E281,E282))</f>
        <v>5.8000999999999997E-2</v>
      </c>
    </row>
    <row r="272" spans="2:11" ht="15" customHeight="1">
      <c r="B272" s="3" t="s">
        <v>150</v>
      </c>
      <c r="C272" s="60" t="s">
        <v>190</v>
      </c>
      <c r="D272" s="25" t="s">
        <v>5</v>
      </c>
      <c r="E272" s="125">
        <v>0.03</v>
      </c>
      <c r="F272" s="125">
        <f>E272</f>
        <v>0.03</v>
      </c>
      <c r="G272" s="125">
        <f>F272</f>
        <v>0.03</v>
      </c>
    </row>
    <row r="273" spans="2:7" ht="15" customHeight="1">
      <c r="B273" s="3" t="s">
        <v>151</v>
      </c>
      <c r="C273" s="60" t="s">
        <v>235</v>
      </c>
      <c r="D273" s="25" t="s">
        <v>5</v>
      </c>
      <c r="E273" s="125">
        <f>SUM(E271:E272)</f>
        <v>9.4374E-2</v>
      </c>
      <c r="F273" s="125">
        <f t="shared" ref="F273:G273" si="8">SUM(F271:F272)</f>
        <v>9.5424999999999996E-2</v>
      </c>
      <c r="G273" s="125">
        <f t="shared" si="8"/>
        <v>8.8000999999999996E-2</v>
      </c>
    </row>
    <row r="274" spans="2:7" ht="15" customHeight="1">
      <c r="D274" s="1"/>
    </row>
    <row r="275" spans="2:7" ht="15" customHeight="1"/>
    <row r="276" spans="2:7" ht="8.25" customHeight="1">
      <c r="B276" s="235" t="s">
        <v>143</v>
      </c>
      <c r="C276" s="238" t="s">
        <v>323</v>
      </c>
      <c r="D276" s="229" t="s">
        <v>237</v>
      </c>
      <c r="E276" s="232" t="s">
        <v>236</v>
      </c>
      <c r="F276" s="229" t="s">
        <v>219</v>
      </c>
      <c r="G276" s="1"/>
    </row>
    <row r="277" spans="2:7" ht="15" customHeight="1">
      <c r="B277" s="236"/>
      <c r="C277" s="239"/>
      <c r="D277" s="229"/>
      <c r="E277" s="241"/>
      <c r="F277" s="229"/>
      <c r="G277" s="1"/>
    </row>
    <row r="278" spans="2:7" ht="6" customHeight="1">
      <c r="B278" s="237"/>
      <c r="C278" s="240"/>
      <c r="D278" s="229"/>
      <c r="E278" s="233"/>
      <c r="F278" s="229"/>
      <c r="G278" s="1"/>
    </row>
    <row r="279" spans="2:7" ht="15" customHeight="1">
      <c r="B279" s="3" t="s">
        <v>149</v>
      </c>
      <c r="C279" s="60" t="s">
        <v>238</v>
      </c>
      <c r="D279" s="25" t="s">
        <v>187</v>
      </c>
      <c r="E279" s="126">
        <v>7.1640000000000002E-3</v>
      </c>
      <c r="F279" s="127">
        <v>44561</v>
      </c>
      <c r="G279" s="1"/>
    </row>
    <row r="280" spans="2:7" ht="15" customHeight="1">
      <c r="B280" s="3" t="s">
        <v>150</v>
      </c>
      <c r="C280" s="60" t="s">
        <v>244</v>
      </c>
      <c r="D280" s="25" t="s">
        <v>187</v>
      </c>
      <c r="E280" s="126">
        <v>6.4374000000000001E-2</v>
      </c>
      <c r="F280" s="127">
        <v>44926</v>
      </c>
      <c r="G280" s="1"/>
    </row>
    <row r="281" spans="2:7" ht="15" customHeight="1">
      <c r="B281" s="3" t="s">
        <v>151</v>
      </c>
      <c r="C281" s="60" t="s">
        <v>277</v>
      </c>
      <c r="D281" s="25" t="s">
        <v>187</v>
      </c>
      <c r="E281" s="126">
        <v>6.5424999999999997E-2</v>
      </c>
      <c r="F281" s="127">
        <v>45291</v>
      </c>
      <c r="G281" s="1"/>
    </row>
    <row r="282" spans="2:7" ht="15" customHeight="1">
      <c r="B282" s="3" t="s">
        <v>152</v>
      </c>
      <c r="C282" s="60" t="s">
        <v>321</v>
      </c>
      <c r="D282" s="25" t="s">
        <v>187</v>
      </c>
      <c r="E282" s="126">
        <v>5.8000999999999997E-2</v>
      </c>
      <c r="F282" s="127">
        <v>45657</v>
      </c>
      <c r="G282" s="1"/>
    </row>
    <row r="283" spans="2:7" ht="15.75" customHeight="1">
      <c r="C283" s="44" t="s">
        <v>322</v>
      </c>
      <c r="D283" s="1"/>
    </row>
    <row r="284" spans="2:7" ht="15" customHeight="1">
      <c r="E284" s="196">
        <f>F284-1</f>
        <v>2022</v>
      </c>
      <c r="F284" s="196">
        <f>G284-1</f>
        <v>2023</v>
      </c>
      <c r="G284" s="196">
        <f>'Dane finansowe'!$G$5</f>
        <v>2024</v>
      </c>
    </row>
    <row r="285" spans="2:7" ht="15" hidden="1" customHeight="1"/>
  </sheetData>
  <sheetProtection algorithmName="SHA-512" hashValue="AGl8JCA8qgZxhqbmX9x3s5u03FlobL6BYXKmLq9X7Wqa4EJ9Cz0adbQdvt0IDVFBelmswxKLpMwtOwVWr6kYTw==" saltValue="MiJw6iDYZgvn09xcgp3wXA==" spinCount="100000" sheet="1" selectLockedCells="1" selectUnlockedCells="1"/>
  <protectedRanges>
    <protectedRange sqref="B6:F6 B4:F4" name="Zakres1_1"/>
  </protectedRanges>
  <mergeCells count="163">
    <mergeCell ref="B41:G41"/>
    <mergeCell ref="B42:G42"/>
    <mergeCell ref="H42:I42"/>
    <mergeCell ref="B54:B55"/>
    <mergeCell ref="C54:C55"/>
    <mergeCell ref="H54:I55"/>
    <mergeCell ref="D54:D55"/>
    <mergeCell ref="B45:F45"/>
    <mergeCell ref="I259:K259"/>
    <mergeCell ref="H56:I56"/>
    <mergeCell ref="H57:I57"/>
    <mergeCell ref="H58:I58"/>
    <mergeCell ref="H59:I59"/>
    <mergeCell ref="H60:I60"/>
    <mergeCell ref="H61:I61"/>
    <mergeCell ref="H62:I62"/>
    <mergeCell ref="H63:I63"/>
    <mergeCell ref="H64:I64"/>
    <mergeCell ref="C103:C104"/>
    <mergeCell ref="B103:B104"/>
    <mergeCell ref="D103:D104"/>
    <mergeCell ref="C118:C119"/>
    <mergeCell ref="B118:B119"/>
    <mergeCell ref="D118:D119"/>
    <mergeCell ref="B38:B40"/>
    <mergeCell ref="C38:C40"/>
    <mergeCell ref="D38:G38"/>
    <mergeCell ref="I38:I40"/>
    <mergeCell ref="D39:G39"/>
    <mergeCell ref="D40:G40"/>
    <mergeCell ref="B36:B37"/>
    <mergeCell ref="C36:C37"/>
    <mergeCell ref="D36:G36"/>
    <mergeCell ref="I36:I37"/>
    <mergeCell ref="D37:G37"/>
    <mergeCell ref="B33:B35"/>
    <mergeCell ref="C33:C35"/>
    <mergeCell ref="D33:G33"/>
    <mergeCell ref="I33:I35"/>
    <mergeCell ref="D34:G34"/>
    <mergeCell ref="D35:G35"/>
    <mergeCell ref="B30:B32"/>
    <mergeCell ref="C30:C32"/>
    <mergeCell ref="D30:G30"/>
    <mergeCell ref="I30:I32"/>
    <mergeCell ref="D31:G31"/>
    <mergeCell ref="D32:G32"/>
    <mergeCell ref="C27:C29"/>
    <mergeCell ref="D27:G27"/>
    <mergeCell ref="I27:I29"/>
    <mergeCell ref="D28:G28"/>
    <mergeCell ref="D29:G29"/>
    <mergeCell ref="D23:G23"/>
    <mergeCell ref="D24:G24"/>
    <mergeCell ref="B25:B26"/>
    <mergeCell ref="C25:C26"/>
    <mergeCell ref="D25:G25"/>
    <mergeCell ref="I25:I26"/>
    <mergeCell ref="B27:B29"/>
    <mergeCell ref="D26:G26"/>
    <mergeCell ref="B22:B24"/>
    <mergeCell ref="C22:C24"/>
    <mergeCell ref="D22:G22"/>
    <mergeCell ref="I22:I24"/>
    <mergeCell ref="I16:I18"/>
    <mergeCell ref="D17:G17"/>
    <mergeCell ref="D18:G18"/>
    <mergeCell ref="B19:B21"/>
    <mergeCell ref="C19:C21"/>
    <mergeCell ref="D19:G19"/>
    <mergeCell ref="I19:I21"/>
    <mergeCell ref="D20:G20"/>
    <mergeCell ref="D21:G21"/>
    <mergeCell ref="B16:B18"/>
    <mergeCell ref="C16:C18"/>
    <mergeCell ref="D16:G16"/>
    <mergeCell ref="I8:I11"/>
    <mergeCell ref="D9:G9"/>
    <mergeCell ref="D10:G10"/>
    <mergeCell ref="D11:G11"/>
    <mergeCell ref="B12:B15"/>
    <mergeCell ref="C12:C15"/>
    <mergeCell ref="D12:G12"/>
    <mergeCell ref="I12:I15"/>
    <mergeCell ref="D13:G13"/>
    <mergeCell ref="D15:G15"/>
    <mergeCell ref="B8:B11"/>
    <mergeCell ref="C8:C11"/>
    <mergeCell ref="D8:G8"/>
    <mergeCell ref="D14:G14"/>
    <mergeCell ref="B2:I2"/>
    <mergeCell ref="D3:G3"/>
    <mergeCell ref="B4:B7"/>
    <mergeCell ref="C4:C7"/>
    <mergeCell ref="D4:G4"/>
    <mergeCell ref="I4:I7"/>
    <mergeCell ref="D5:G5"/>
    <mergeCell ref="D6:G6"/>
    <mergeCell ref="D7:G7"/>
    <mergeCell ref="D276:D278"/>
    <mergeCell ref="B276:B278"/>
    <mergeCell ref="C276:C278"/>
    <mergeCell ref="E276:E278"/>
    <mergeCell ref="F276:F278"/>
    <mergeCell ref="D64:G64"/>
    <mergeCell ref="H70:I70"/>
    <mergeCell ref="H65:I65"/>
    <mergeCell ref="H66:I66"/>
    <mergeCell ref="H67:I67"/>
    <mergeCell ref="H68:I68"/>
    <mergeCell ref="H69:I69"/>
    <mergeCell ref="B71:D71"/>
    <mergeCell ref="B89:B90"/>
    <mergeCell ref="C89:C90"/>
    <mergeCell ref="D89:D90"/>
    <mergeCell ref="I262:K262"/>
    <mergeCell ref="I263:K263"/>
    <mergeCell ref="I264:K264"/>
    <mergeCell ref="I265:K265"/>
    <mergeCell ref="I260:K260"/>
    <mergeCell ref="I261:K261"/>
    <mergeCell ref="C132:C133"/>
    <mergeCell ref="B132:B133"/>
    <mergeCell ref="I215:I216"/>
    <mergeCell ref="C229:C230"/>
    <mergeCell ref="D229:D230"/>
    <mergeCell ref="B229:B230"/>
    <mergeCell ref="C244:C245"/>
    <mergeCell ref="B244:B245"/>
    <mergeCell ref="D244:D245"/>
    <mergeCell ref="D161:D162"/>
    <mergeCell ref="C176:C177"/>
    <mergeCell ref="B176:B177"/>
    <mergeCell ref="D176:D177"/>
    <mergeCell ref="C187:C188"/>
    <mergeCell ref="D187:D188"/>
    <mergeCell ref="B187:B188"/>
    <mergeCell ref="I187:I188"/>
    <mergeCell ref="C201:C202"/>
    <mergeCell ref="B201:B202"/>
    <mergeCell ref="D201:D202"/>
    <mergeCell ref="I201:I202"/>
    <mergeCell ref="C161:C162"/>
    <mergeCell ref="B161:B162"/>
    <mergeCell ref="C258:C259"/>
    <mergeCell ref="B258:B259"/>
    <mergeCell ref="D258:D259"/>
    <mergeCell ref="C269:C270"/>
    <mergeCell ref="D269:D270"/>
    <mergeCell ref="B269:B270"/>
    <mergeCell ref="D46:F46"/>
    <mergeCell ref="D47:F47"/>
    <mergeCell ref="D48:F48"/>
    <mergeCell ref="D49:F49"/>
    <mergeCell ref="D50:F50"/>
    <mergeCell ref="D51:F51"/>
    <mergeCell ref="C215:C216"/>
    <mergeCell ref="B215:B216"/>
    <mergeCell ref="D215:D216"/>
    <mergeCell ref="D132:D133"/>
    <mergeCell ref="D147:D148"/>
    <mergeCell ref="C147:C148"/>
    <mergeCell ref="B147:B148"/>
  </mergeCells>
  <phoneticPr fontId="3" type="noConversion"/>
  <conditionalFormatting sqref="E37:G42 AG37:AN60 I38:I39 I41:I42 E52:G53 I52:I53 E55:G60">
    <cfRule type="expression" dxfId="0" priority="4" stopIfTrue="1">
      <formula>"g10"</formula>
    </cfRule>
  </conditionalFormatting>
  <dataValidations disablePrompts="1" count="3">
    <dataValidation allowBlank="1" showInputMessage="1" showErrorMessage="1" promptTitle="Rok obrotowy (n-2)" prompt="Dane finansowe za poprzedni rok obrotowy " sqref="E54 E89 E103 E118 E132 E147 E161 E176 E187 J187 E201 J201 E215 J215 E229 E244 E258 E269" xr:uid="{C8927514-A1FE-45B1-A821-60C01B1D741E}"/>
    <dataValidation allowBlank="1" showInputMessage="1" showErrorMessage="1" promptTitle="Rok obrotowy (n-1)" prompt="Dane finanasowe za poprzedni rok obrotowy" sqref="F54 F89 F103 F118 F132 F147 F161 F176 F187 K187 F201 K201 F215 K215 F229 F244 F258 F269" xr:uid="{E75A6D25-9896-42A9-B7FA-CFA21E25AEA2}"/>
    <dataValidation allowBlank="1" showInputMessage="1" showErrorMessage="1" promptTitle="Rok obrotowy (n)" prompt="Dane finansowe za ostatni zakończony rok obrotowy" sqref="G54 G89 G103 G118 G132 G147 G161 G176 G187 L187 G201 L201 G215 L215 G229 G244 G258 G269" xr:uid="{F0308D05-56BE-42D9-A265-CAE6357B58B8}"/>
  </dataValidations>
  <printOptions horizontalCentered="1"/>
  <pageMargins left="0.36" right="0.21" top="0.78740157480314965" bottom="0.78740157480314965" header="0.39370078740157483" footer="0.39370078740157483"/>
  <pageSetup paperSize="9" scale="58" fitToHeight="0" orientation="landscape" r:id="rId1"/>
  <headerFooter alignWithMargins="0">
    <oddHeader>&amp;LWyniki oceny finansowej Beneficjenta</oddHeader>
    <oddFooter>&amp;RData sporządzenia: &amp;D</oddFooter>
  </headerFooter>
  <rowBreaks count="1" manualBreakCount="1">
    <brk id="24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2">
    <pageSetUpPr fitToPage="1"/>
  </sheetPr>
  <dimension ref="A1:AE78"/>
  <sheetViews>
    <sheetView showGridLines="0" zoomScale="120" zoomScaleNormal="120" workbookViewId="0">
      <selection activeCell="D16" sqref="D16"/>
    </sheetView>
  </sheetViews>
  <sheetFormatPr defaultColWidth="9.140625" defaultRowHeight="12.75"/>
  <cols>
    <col min="1" max="1" width="5.7109375" style="169" customWidth="1"/>
    <col min="2" max="2" width="50.7109375" style="169" customWidth="1"/>
    <col min="3" max="3" width="15.7109375" style="169" customWidth="1"/>
    <col min="4" max="4" width="25.7109375" style="169" customWidth="1"/>
    <col min="5" max="6" width="12.85546875" style="169" customWidth="1"/>
    <col min="7" max="7" width="26.140625" style="169" customWidth="1"/>
    <col min="8" max="9" width="10.7109375" style="169" customWidth="1"/>
    <col min="10" max="31" width="9.140625" style="169" customWidth="1"/>
    <col min="32" max="16384" width="9.140625" style="169"/>
  </cols>
  <sheetData>
    <row r="1" spans="1:31" ht="15" customHeight="1">
      <c r="A1" s="67"/>
      <c r="B1" s="67"/>
      <c r="C1" s="67"/>
      <c r="D1" s="67"/>
      <c r="E1" s="67"/>
      <c r="F1" s="67"/>
      <c r="G1" s="67"/>
    </row>
    <row r="2" spans="1:31" ht="20.100000000000001" customHeight="1">
      <c r="A2" s="67"/>
      <c r="B2" s="318" t="s">
        <v>246</v>
      </c>
      <c r="C2" s="318"/>
      <c r="D2" s="318"/>
      <c r="E2" s="67"/>
      <c r="F2" s="67"/>
      <c r="G2" s="67"/>
    </row>
    <row r="3" spans="1:31" ht="15" hidden="1" customHeight="1">
      <c r="A3" s="67"/>
      <c r="B3" s="67"/>
      <c r="C3" s="67"/>
      <c r="D3" s="67"/>
      <c r="E3" s="67"/>
      <c r="F3" s="67"/>
      <c r="G3" s="67"/>
    </row>
    <row r="4" spans="1:31" ht="42" hidden="1" customHeight="1">
      <c r="A4" s="67"/>
      <c r="B4" s="323" t="s">
        <v>278</v>
      </c>
      <c r="C4" s="323"/>
      <c r="D4" s="323"/>
      <c r="E4" s="67"/>
      <c r="F4" s="67"/>
      <c r="G4" s="67"/>
    </row>
    <row r="5" spans="1:31" ht="15" customHeight="1">
      <c r="A5" s="67"/>
      <c r="B5" s="67"/>
      <c r="C5" s="67"/>
      <c r="D5" s="67"/>
      <c r="E5" s="67"/>
      <c r="F5" s="67"/>
      <c r="G5" s="67"/>
    </row>
    <row r="6" spans="1:31" ht="24.95" customHeight="1">
      <c r="A6" s="67"/>
      <c r="B6" s="170" t="s">
        <v>157</v>
      </c>
      <c r="C6" s="170" t="s">
        <v>255</v>
      </c>
      <c r="D6" s="170" t="s">
        <v>236</v>
      </c>
      <c r="E6" s="67"/>
      <c r="F6" s="67"/>
      <c r="G6" s="67"/>
    </row>
    <row r="7" spans="1:31" ht="15" customHeight="1">
      <c r="A7" s="67"/>
      <c r="B7" s="171" t="s">
        <v>247</v>
      </c>
      <c r="C7" s="91" t="s">
        <v>248</v>
      </c>
      <c r="D7" s="172">
        <f>'Dane finansowe'!G44</f>
        <v>0</v>
      </c>
      <c r="E7" s="67"/>
      <c r="F7" s="67"/>
      <c r="G7" s="67"/>
    </row>
    <row r="8" spans="1:31" ht="15" customHeight="1">
      <c r="A8" s="67"/>
      <c r="B8" s="171" t="s">
        <v>249</v>
      </c>
      <c r="C8" s="91" t="s">
        <v>250</v>
      </c>
      <c r="D8" s="172">
        <f>'Dane finansowe'!G45</f>
        <v>0</v>
      </c>
      <c r="E8" s="67"/>
      <c r="F8" s="67"/>
      <c r="G8" s="67"/>
    </row>
    <row r="9" spans="1:31" ht="15" customHeight="1">
      <c r="A9" s="67"/>
      <c r="B9" s="171" t="s">
        <v>251</v>
      </c>
      <c r="C9" s="91" t="s">
        <v>252</v>
      </c>
      <c r="D9" s="184">
        <v>5.7299999999999997E-2</v>
      </c>
      <c r="E9" s="67"/>
      <c r="F9" s="67"/>
      <c r="G9" s="67"/>
    </row>
    <row r="10" spans="1:31" ht="15" customHeight="1">
      <c r="A10" s="67"/>
      <c r="B10" s="171" t="s">
        <v>258</v>
      </c>
      <c r="C10" s="91"/>
      <c r="D10" s="91" t="str">
        <f>'Dane finansowe'!F9</f>
        <v>Zła/trudności finansowe</v>
      </c>
      <c r="E10" s="67"/>
      <c r="F10" s="67"/>
      <c r="G10" s="67"/>
    </row>
    <row r="11" spans="1:31" ht="15" customHeight="1">
      <c r="A11" s="67"/>
      <c r="B11" s="171" t="s">
        <v>253</v>
      </c>
      <c r="C11" s="91" t="s">
        <v>254</v>
      </c>
      <c r="D11" s="147">
        <f>VLOOKUP(D10,D24:E28,2,0)</f>
        <v>0.04</v>
      </c>
      <c r="E11" s="67"/>
      <c r="F11" s="67"/>
      <c r="G11" s="67"/>
    </row>
    <row r="12" spans="1:31" ht="15" customHeight="1">
      <c r="A12" s="67"/>
      <c r="B12" s="171" t="s">
        <v>256</v>
      </c>
      <c r="C12" s="91" t="s">
        <v>257</v>
      </c>
      <c r="D12" s="147">
        <f>D9+D11</f>
        <v>9.7299999999999998E-2</v>
      </c>
      <c r="E12" s="67"/>
      <c r="F12" s="67"/>
      <c r="G12" s="67"/>
    </row>
    <row r="13" spans="1:31" ht="15" customHeight="1">
      <c r="A13" s="67"/>
      <c r="B13" s="171" t="s">
        <v>261</v>
      </c>
      <c r="C13" s="91" t="s">
        <v>262</v>
      </c>
      <c r="D13" s="173">
        <v>0.4</v>
      </c>
      <c r="E13" s="67"/>
      <c r="F13" s="67"/>
      <c r="G13" s="67"/>
    </row>
    <row r="14" spans="1:31" ht="15" customHeight="1">
      <c r="A14" s="67"/>
      <c r="B14" s="171" t="s">
        <v>259</v>
      </c>
      <c r="C14" s="91" t="s">
        <v>260</v>
      </c>
      <c r="D14" s="174" t="str">
        <f>IFERROR(D13*(1+(1-D16)*D8/D7),"")</f>
        <v/>
      </c>
      <c r="E14" s="67"/>
      <c r="F14" s="67"/>
      <c r="G14" s="67"/>
    </row>
    <row r="15" spans="1:31" ht="15" customHeight="1">
      <c r="A15" s="67"/>
      <c r="B15" s="171" t="s">
        <v>272</v>
      </c>
      <c r="C15" s="91" t="s">
        <v>273</v>
      </c>
      <c r="D15" s="147">
        <v>0.05</v>
      </c>
      <c r="E15" s="67"/>
      <c r="F15" s="67"/>
      <c r="G15" s="67"/>
    </row>
    <row r="16" spans="1:31" ht="15" customHeight="1">
      <c r="A16" s="67"/>
      <c r="B16" s="171" t="s">
        <v>263</v>
      </c>
      <c r="C16" s="91" t="s">
        <v>264</v>
      </c>
      <c r="D16" s="147">
        <v>0.19</v>
      </c>
      <c r="E16" s="67"/>
      <c r="F16" s="67"/>
      <c r="G16" s="67"/>
      <c r="W16" s="169">
        <v>17</v>
      </c>
      <c r="X16" s="169">
        <v>18</v>
      </c>
      <c r="Y16" s="169">
        <v>19</v>
      </c>
      <c r="Z16" s="169">
        <v>20</v>
      </c>
      <c r="AA16" s="169">
        <v>21</v>
      </c>
      <c r="AB16" s="169">
        <v>22</v>
      </c>
      <c r="AC16" s="169">
        <v>23</v>
      </c>
      <c r="AD16" s="169">
        <v>24</v>
      </c>
      <c r="AE16" s="169">
        <v>25</v>
      </c>
    </row>
    <row r="17" spans="1:31" ht="15" customHeight="1">
      <c r="A17" s="67"/>
      <c r="B17" s="171" t="s">
        <v>316</v>
      </c>
      <c r="C17" s="91" t="s">
        <v>265</v>
      </c>
      <c r="D17" s="147">
        <f>inflacja!D5</f>
        <v>2.7733333333333339E-2</v>
      </c>
      <c r="E17" s="67"/>
      <c r="F17" s="67"/>
      <c r="G17" s="67"/>
      <c r="W17" s="169">
        <v>2.5</v>
      </c>
      <c r="X17" s="169">
        <v>2.5</v>
      </c>
      <c r="Y17" s="169">
        <v>2.5</v>
      </c>
      <c r="Z17" s="169">
        <v>2.5</v>
      </c>
      <c r="AA17" s="169">
        <v>2.5</v>
      </c>
      <c r="AB17" s="169">
        <v>2.5</v>
      </c>
      <c r="AC17" s="169">
        <v>2.5</v>
      </c>
      <c r="AD17" s="169">
        <v>2.5</v>
      </c>
      <c r="AE17" s="169">
        <v>2.5</v>
      </c>
    </row>
    <row r="18" spans="1:31" ht="15" customHeight="1">
      <c r="A18" s="67"/>
      <c r="B18" s="171" t="s">
        <v>270</v>
      </c>
      <c r="C18" s="91" t="s">
        <v>271</v>
      </c>
      <c r="D18" s="147" t="str">
        <f>IFERROR(D9+D14*D15,"")</f>
        <v/>
      </c>
      <c r="E18" s="67"/>
      <c r="F18" s="67"/>
      <c r="G18" s="67"/>
    </row>
    <row r="19" spans="1:31" ht="15" customHeight="1">
      <c r="A19" s="67"/>
      <c r="B19" s="171" t="s">
        <v>319</v>
      </c>
      <c r="C19" s="91" t="s">
        <v>274</v>
      </c>
      <c r="D19" s="126" t="str">
        <f>IFERROR(D12*D8/(D7+D8)+D18/(1-D16)*D7/(D7+D8),"")</f>
        <v/>
      </c>
      <c r="E19" s="67"/>
      <c r="F19" s="67"/>
      <c r="G19" s="67"/>
    </row>
    <row r="20" spans="1:31" ht="15" customHeight="1">
      <c r="A20" s="67"/>
      <c r="B20" s="171" t="s">
        <v>320</v>
      </c>
      <c r="C20" s="91" t="s">
        <v>275</v>
      </c>
      <c r="D20" s="126" t="str">
        <f>IFERROR((1+D19)/(1+D17)-1,"")</f>
        <v/>
      </c>
      <c r="E20" s="67"/>
      <c r="F20" s="67"/>
      <c r="G20" s="67"/>
    </row>
    <row r="21" spans="1:31" ht="16.5" customHeight="1">
      <c r="A21" s="67"/>
      <c r="B21" s="67"/>
      <c r="C21" s="67"/>
      <c r="D21" s="67"/>
      <c r="E21" s="67"/>
      <c r="F21" s="67"/>
      <c r="G21" s="67"/>
    </row>
    <row r="22" spans="1:31" ht="15" hidden="1" customHeight="1">
      <c r="A22" s="67"/>
      <c r="B22" s="67"/>
      <c r="C22" s="67" t="s">
        <v>305</v>
      </c>
      <c r="D22" s="67"/>
      <c r="E22" s="67"/>
      <c r="F22" s="67"/>
      <c r="G22" s="67"/>
    </row>
    <row r="23" spans="1:31" ht="15" hidden="1" customHeight="1">
      <c r="A23" s="67"/>
      <c r="B23" s="67"/>
      <c r="C23" s="175">
        <f>AVERAGE(C26:C40)</f>
        <v>2.7133333333333343E-2</v>
      </c>
      <c r="D23" s="67"/>
      <c r="E23" s="67"/>
      <c r="F23" s="67"/>
      <c r="G23" s="67"/>
    </row>
    <row r="24" spans="1:31" ht="15" hidden="1" customHeight="1">
      <c r="A24" s="67"/>
      <c r="B24" s="176" t="s">
        <v>304</v>
      </c>
      <c r="C24" s="177"/>
      <c r="D24" s="67" t="s">
        <v>266</v>
      </c>
      <c r="E24" s="67">
        <v>6.0000000000000001E-3</v>
      </c>
      <c r="F24" s="67"/>
      <c r="G24" s="67"/>
    </row>
    <row r="25" spans="1:31" ht="15" hidden="1" customHeight="1">
      <c r="A25" s="67"/>
      <c r="B25" s="67">
        <v>2024</v>
      </c>
      <c r="C25" s="178">
        <v>3.6999999999999998E-2</v>
      </c>
      <c r="D25" s="67" t="s">
        <v>267</v>
      </c>
      <c r="E25" s="67">
        <v>7.4999999999999997E-3</v>
      </c>
      <c r="F25" s="67"/>
      <c r="G25" s="67"/>
    </row>
    <row r="26" spans="1:31" ht="15" hidden="1" customHeight="1">
      <c r="A26" s="67"/>
      <c r="B26" s="67">
        <v>2025</v>
      </c>
      <c r="C26" s="178">
        <v>0.05</v>
      </c>
      <c r="D26" s="67" t="s">
        <v>276</v>
      </c>
      <c r="E26" s="67">
        <v>0.01</v>
      </c>
      <c r="F26" s="67"/>
      <c r="G26" s="67"/>
    </row>
    <row r="27" spans="1:31" ht="15" hidden="1" customHeight="1">
      <c r="A27" s="67"/>
      <c r="B27" s="67">
        <v>2026</v>
      </c>
      <c r="C27" s="178">
        <v>3.1E-2</v>
      </c>
      <c r="D27" s="67" t="s">
        <v>268</v>
      </c>
      <c r="E27" s="67">
        <v>2.1999999999999999E-2</v>
      </c>
      <c r="F27" s="67"/>
      <c r="G27" s="67"/>
    </row>
    <row r="28" spans="1:31" ht="15" hidden="1" customHeight="1">
      <c r="A28" s="67"/>
      <c r="B28" s="67">
        <v>2027</v>
      </c>
      <c r="C28" s="178">
        <v>2.5999999999999999E-2</v>
      </c>
      <c r="D28" s="67" t="s">
        <v>269</v>
      </c>
      <c r="E28" s="67">
        <v>0.04</v>
      </c>
      <c r="F28" s="67"/>
      <c r="G28" s="67"/>
    </row>
    <row r="29" spans="1:31" ht="15" hidden="1" customHeight="1">
      <c r="A29" s="67"/>
      <c r="B29" s="67">
        <v>2028</v>
      </c>
      <c r="C29" s="178">
        <v>2.5000000000000001E-2</v>
      </c>
      <c r="D29" s="67"/>
      <c r="E29" s="67"/>
      <c r="F29" s="67"/>
      <c r="G29" s="67"/>
    </row>
    <row r="30" spans="1:31" ht="15" hidden="1" customHeight="1">
      <c r="A30" s="67"/>
      <c r="B30" s="67">
        <v>2029</v>
      </c>
      <c r="C30" s="178">
        <v>2.5000000000000001E-2</v>
      </c>
      <c r="D30" s="67"/>
      <c r="E30" s="67"/>
      <c r="F30" s="67"/>
      <c r="G30" s="67"/>
    </row>
    <row r="31" spans="1:31" ht="15" hidden="1" customHeight="1">
      <c r="A31" s="67"/>
      <c r="B31" s="67">
        <v>2030</v>
      </c>
      <c r="C31" s="178">
        <v>2.5000000000000001E-2</v>
      </c>
      <c r="D31" s="67"/>
      <c r="E31" s="67"/>
      <c r="F31" s="67"/>
      <c r="G31" s="67"/>
    </row>
    <row r="32" spans="1:31" ht="15" hidden="1" customHeight="1">
      <c r="A32" s="67"/>
      <c r="B32" s="67">
        <v>2031</v>
      </c>
      <c r="C32" s="178">
        <v>2.5000000000000001E-2</v>
      </c>
      <c r="D32" s="67"/>
      <c r="E32" s="67"/>
      <c r="F32" s="67"/>
      <c r="G32" s="67"/>
    </row>
    <row r="33" spans="1:7" ht="15" hidden="1" customHeight="1">
      <c r="A33" s="67"/>
      <c r="B33" s="67">
        <v>2032</v>
      </c>
      <c r="C33" s="178">
        <v>2.5000000000000001E-2</v>
      </c>
      <c r="D33" s="67"/>
      <c r="E33" s="67"/>
      <c r="F33" s="67"/>
      <c r="G33" s="67"/>
    </row>
    <row r="34" spans="1:7" ht="15" hidden="1" customHeight="1">
      <c r="A34" s="67"/>
      <c r="B34" s="67">
        <v>2033</v>
      </c>
      <c r="C34" s="178">
        <v>2.5000000000000001E-2</v>
      </c>
      <c r="D34" s="67"/>
      <c r="E34" s="67"/>
      <c r="F34" s="67"/>
      <c r="G34" s="67"/>
    </row>
    <row r="35" spans="1:7" ht="15" hidden="1" customHeight="1">
      <c r="A35" s="67"/>
      <c r="B35" s="67">
        <v>2034</v>
      </c>
      <c r="C35" s="178">
        <v>2.5000000000000001E-2</v>
      </c>
      <c r="D35" s="67"/>
      <c r="E35" s="67"/>
      <c r="F35" s="67"/>
      <c r="G35" s="67"/>
    </row>
    <row r="36" spans="1:7" ht="15" hidden="1" customHeight="1">
      <c r="A36" s="67"/>
      <c r="B36" s="67">
        <v>2035</v>
      </c>
      <c r="C36" s="178">
        <v>2.5000000000000001E-2</v>
      </c>
      <c r="D36" s="67"/>
      <c r="E36" s="67"/>
      <c r="F36" s="67"/>
      <c r="G36" s="67"/>
    </row>
    <row r="37" spans="1:7" ht="15" hidden="1" customHeight="1">
      <c r="A37" s="67"/>
      <c r="B37" s="67">
        <v>2036</v>
      </c>
      <c r="C37" s="178">
        <v>2.5000000000000001E-2</v>
      </c>
      <c r="D37" s="67"/>
      <c r="E37" s="67"/>
      <c r="F37" s="67"/>
      <c r="G37" s="67"/>
    </row>
    <row r="38" spans="1:7" ht="15" hidden="1" customHeight="1">
      <c r="A38" s="67"/>
      <c r="B38" s="67">
        <v>2037</v>
      </c>
      <c r="C38" s="178">
        <v>2.5000000000000001E-2</v>
      </c>
      <c r="D38" s="67"/>
      <c r="E38" s="67"/>
      <c r="F38" s="67"/>
      <c r="G38" s="67"/>
    </row>
    <row r="39" spans="1:7" ht="15" hidden="1" customHeight="1">
      <c r="A39" s="67"/>
      <c r="B39" s="67">
        <v>2038</v>
      </c>
      <c r="C39" s="178">
        <v>2.5000000000000001E-2</v>
      </c>
      <c r="D39" s="67"/>
      <c r="E39" s="67"/>
      <c r="F39" s="67"/>
      <c r="G39" s="67"/>
    </row>
    <row r="40" spans="1:7" ht="15" hidden="1" customHeight="1">
      <c r="A40" s="67"/>
      <c r="B40" s="67">
        <v>2039</v>
      </c>
      <c r="C40" s="178">
        <v>2.5000000000000001E-2</v>
      </c>
      <c r="D40" s="67"/>
      <c r="E40" s="67"/>
      <c r="F40" s="67"/>
      <c r="G40" s="67"/>
    </row>
    <row r="41" spans="1:7" ht="15" hidden="1" customHeight="1">
      <c r="A41" s="67"/>
      <c r="B41" s="67">
        <v>2040</v>
      </c>
      <c r="C41" s="178">
        <v>2.5000000000000001E-2</v>
      </c>
      <c r="D41" s="67"/>
      <c r="E41" s="67"/>
      <c r="F41" s="67"/>
      <c r="G41" s="67"/>
    </row>
    <row r="42" spans="1:7" ht="15" hidden="1" customHeight="1">
      <c r="A42" s="67"/>
      <c r="B42" s="67">
        <v>2041</v>
      </c>
      <c r="C42" s="178">
        <v>2.5000000000000001E-2</v>
      </c>
      <c r="D42" s="67"/>
      <c r="E42" s="67"/>
      <c r="F42" s="67"/>
      <c r="G42" s="67"/>
    </row>
    <row r="43" spans="1:7" ht="15" hidden="1" customHeight="1">
      <c r="A43" s="67"/>
      <c r="B43" s="67">
        <v>2042</v>
      </c>
      <c r="C43" s="178">
        <v>2.5000000000000001E-2</v>
      </c>
      <c r="D43" s="67"/>
      <c r="E43" s="67"/>
      <c r="F43" s="67"/>
      <c r="G43" s="67"/>
    </row>
    <row r="44" spans="1:7" ht="15" hidden="1" customHeight="1">
      <c r="A44" s="67"/>
      <c r="B44" s="67">
        <v>2043</v>
      </c>
      <c r="C44" s="178">
        <v>2.5000000000000001E-2</v>
      </c>
      <c r="D44" s="67"/>
      <c r="E44" s="67"/>
      <c r="F44" s="67"/>
      <c r="G44" s="67"/>
    </row>
    <row r="45" spans="1:7" ht="15" hidden="1" customHeight="1">
      <c r="A45" s="67"/>
      <c r="B45" s="67">
        <v>2044</v>
      </c>
      <c r="C45" s="178">
        <v>2.5000000000000001E-2</v>
      </c>
      <c r="D45" s="67"/>
      <c r="E45" s="67"/>
      <c r="F45" s="67"/>
      <c r="G45" s="67"/>
    </row>
    <row r="46" spans="1:7" ht="15" hidden="1" customHeight="1">
      <c r="A46" s="67"/>
      <c r="B46" s="67">
        <v>2045</v>
      </c>
      <c r="C46" s="178">
        <v>2.5000000000000001E-2</v>
      </c>
      <c r="D46" s="67"/>
      <c r="E46" s="67"/>
      <c r="F46" s="67"/>
      <c r="G46" s="67"/>
    </row>
    <row r="47" spans="1:7" ht="15" hidden="1" customHeight="1">
      <c r="A47" s="67"/>
      <c r="B47" s="67">
        <v>2046</v>
      </c>
      <c r="C47" s="178">
        <v>2.5000000000000001E-2</v>
      </c>
      <c r="D47" s="67"/>
      <c r="E47" s="67"/>
      <c r="F47" s="67"/>
      <c r="G47" s="67"/>
    </row>
    <row r="48" spans="1:7" ht="15" hidden="1" customHeight="1">
      <c r="A48" s="67"/>
      <c r="B48" s="67">
        <v>2047</v>
      </c>
      <c r="C48" s="178">
        <v>2.5000000000000001E-2</v>
      </c>
      <c r="D48" s="67"/>
      <c r="E48" s="67"/>
      <c r="F48" s="67"/>
      <c r="G48" s="67"/>
    </row>
    <row r="49" spans="1:7" ht="15" hidden="1" customHeight="1">
      <c r="A49" s="67"/>
      <c r="B49" s="67">
        <v>2048</v>
      </c>
      <c r="C49" s="178">
        <v>2.5000000000000001E-2</v>
      </c>
      <c r="D49" s="67"/>
      <c r="E49" s="67"/>
      <c r="F49" s="67"/>
      <c r="G49" s="67"/>
    </row>
    <row r="50" spans="1:7" ht="13.5" hidden="1" customHeight="1">
      <c r="A50" s="67"/>
      <c r="B50" s="67"/>
      <c r="C50" s="178"/>
      <c r="D50" s="67"/>
      <c r="E50" s="67"/>
      <c r="F50" s="67"/>
      <c r="G50" s="67"/>
    </row>
    <row r="51" spans="1:7" ht="15" customHeight="1">
      <c r="A51" s="67"/>
      <c r="B51" s="321" t="s">
        <v>279</v>
      </c>
      <c r="C51" s="321"/>
      <c r="D51" s="321"/>
      <c r="E51" s="67"/>
      <c r="F51" s="67"/>
      <c r="G51" s="67"/>
    </row>
    <row r="52" spans="1:7" ht="39" customHeight="1">
      <c r="A52" s="67"/>
      <c r="B52" s="179"/>
      <c r="C52" s="179"/>
      <c r="D52" s="179"/>
      <c r="E52" s="67"/>
      <c r="F52" s="67"/>
      <c r="G52" s="67"/>
    </row>
    <row r="53" spans="1:7" ht="111.75" customHeight="1">
      <c r="A53" s="67"/>
      <c r="B53" s="322" t="s">
        <v>280</v>
      </c>
      <c r="C53" s="322"/>
      <c r="D53" s="322"/>
      <c r="E53" s="67"/>
      <c r="F53" s="67"/>
      <c r="G53" s="67"/>
    </row>
    <row r="54" spans="1:7" customFormat="1" ht="23.25" customHeight="1">
      <c r="A54" s="180"/>
      <c r="B54" s="181"/>
      <c r="C54" s="181"/>
      <c r="D54" s="181"/>
      <c r="E54" s="180"/>
      <c r="F54" s="180"/>
      <c r="G54" s="180"/>
    </row>
    <row r="55" spans="1:7" ht="57.75" customHeight="1">
      <c r="A55" s="67"/>
      <c r="B55" s="319" t="s">
        <v>327</v>
      </c>
      <c r="C55" s="319"/>
      <c r="D55" s="319"/>
      <c r="E55" s="67"/>
      <c r="F55" s="67"/>
      <c r="G55" s="67"/>
    </row>
    <row r="56" spans="1:7" ht="23.25" customHeight="1">
      <c r="A56" s="67"/>
      <c r="B56"/>
      <c r="C56" s="179"/>
      <c r="D56" s="179"/>
      <c r="E56" s="67"/>
      <c r="F56" s="67"/>
      <c r="G56" s="67"/>
    </row>
    <row r="57" spans="1:7" ht="59.25" customHeight="1">
      <c r="A57" s="67"/>
      <c r="B57" s="319" t="s">
        <v>281</v>
      </c>
      <c r="C57" s="320"/>
      <c r="D57" s="320"/>
      <c r="E57" s="67"/>
      <c r="F57" s="67"/>
      <c r="G57" s="67"/>
    </row>
    <row r="58" spans="1:7" ht="36.75" customHeight="1">
      <c r="A58" s="67"/>
      <c r="B58"/>
      <c r="C58" s="179"/>
      <c r="D58" s="179"/>
      <c r="E58" s="67"/>
      <c r="F58" s="67"/>
      <c r="G58" s="67"/>
    </row>
    <row r="59" spans="1:7" ht="91.5" customHeight="1">
      <c r="A59" s="67"/>
      <c r="B59" s="319" t="s">
        <v>282</v>
      </c>
      <c r="C59" s="320"/>
      <c r="D59" s="320"/>
      <c r="E59" s="67"/>
      <c r="F59" s="67"/>
      <c r="G59" s="67"/>
    </row>
    <row r="60" spans="1:7" ht="20.25" customHeight="1">
      <c r="A60" s="67"/>
      <c r="B60" s="182" t="s">
        <v>283</v>
      </c>
      <c r="C60" s="183"/>
      <c r="D60" s="183"/>
      <c r="E60" s="67"/>
      <c r="F60" s="67"/>
      <c r="G60" s="67"/>
    </row>
    <row r="61" spans="1:7" ht="30.75" customHeight="1">
      <c r="A61" s="67"/>
      <c r="B61"/>
      <c r="C61" s="183"/>
      <c r="D61" s="183"/>
      <c r="E61" s="67"/>
      <c r="F61" s="67"/>
      <c r="G61" s="67"/>
    </row>
    <row r="62" spans="1:7" ht="43.5" customHeight="1">
      <c r="A62" s="67"/>
      <c r="B62" s="319" t="s">
        <v>317</v>
      </c>
      <c r="C62" s="319"/>
      <c r="D62" s="319"/>
      <c r="E62" s="67"/>
      <c r="F62" s="67"/>
      <c r="G62" s="67"/>
    </row>
    <row r="63" spans="1:7" ht="4.5" customHeight="1">
      <c r="A63" s="67"/>
      <c r="B63" s="321"/>
      <c r="C63" s="321"/>
      <c r="D63" s="321"/>
      <c r="E63" s="67"/>
      <c r="F63" s="67"/>
      <c r="G63" s="67"/>
    </row>
    <row r="64" spans="1:7" ht="13.5" customHeight="1">
      <c r="A64" s="67"/>
      <c r="B64" s="67"/>
      <c r="C64" s="178"/>
      <c r="D64" s="67"/>
      <c r="E64" s="67"/>
      <c r="F64" s="67"/>
      <c r="G64" s="67"/>
    </row>
    <row r="65" spans="1:7" ht="13.5" hidden="1" customHeight="1">
      <c r="A65" s="67"/>
      <c r="B65" s="67"/>
      <c r="C65" s="178"/>
      <c r="D65" s="67"/>
      <c r="E65" s="67"/>
      <c r="F65" s="67"/>
      <c r="G65" s="67"/>
    </row>
    <row r="66" spans="1:7" ht="13.5" hidden="1" customHeight="1">
      <c r="A66" s="67"/>
      <c r="B66" s="67"/>
      <c r="C66" s="178"/>
      <c r="D66" s="67"/>
      <c r="E66" s="67"/>
      <c r="F66" s="67"/>
      <c r="G66" s="67"/>
    </row>
    <row r="67" spans="1:7" ht="13.5" hidden="1" customHeight="1">
      <c r="A67" s="67"/>
      <c r="B67" s="67"/>
      <c r="C67" s="178"/>
      <c r="D67" s="67"/>
      <c r="E67" s="67"/>
      <c r="F67" s="67"/>
      <c r="G67" s="67"/>
    </row>
    <row r="68" spans="1:7" ht="13.5" hidden="1" customHeight="1">
      <c r="A68" s="67"/>
      <c r="B68" s="67"/>
      <c r="C68" s="178"/>
      <c r="D68" s="67"/>
      <c r="E68" s="67"/>
      <c r="F68" s="67"/>
      <c r="G68" s="67"/>
    </row>
    <row r="69" spans="1:7" ht="13.5" hidden="1" customHeight="1">
      <c r="A69" s="67"/>
      <c r="B69" s="67"/>
      <c r="C69" s="178"/>
      <c r="D69" s="67"/>
      <c r="E69" s="67"/>
      <c r="F69" s="67"/>
      <c r="G69" s="67"/>
    </row>
    <row r="70" spans="1:7" ht="13.5" hidden="1" customHeight="1">
      <c r="A70" s="67"/>
      <c r="B70" s="67"/>
      <c r="C70" s="178"/>
      <c r="D70" s="67"/>
      <c r="E70" s="67"/>
      <c r="F70" s="67"/>
      <c r="G70" s="67"/>
    </row>
    <row r="71" spans="1:7" ht="13.5" hidden="1" customHeight="1">
      <c r="A71" s="67"/>
      <c r="B71" s="67"/>
      <c r="C71" s="178"/>
      <c r="D71" s="67"/>
      <c r="E71" s="67"/>
      <c r="F71" s="67"/>
      <c r="G71" s="67"/>
    </row>
    <row r="72" spans="1:7" ht="13.5" hidden="1" customHeight="1">
      <c r="A72" s="67"/>
      <c r="B72" s="67"/>
      <c r="C72" s="178"/>
      <c r="D72" s="67"/>
      <c r="E72" s="67"/>
      <c r="F72" s="67"/>
      <c r="G72" s="67"/>
    </row>
    <row r="73" spans="1:7" ht="13.5" hidden="1" customHeight="1">
      <c r="A73" s="67"/>
      <c r="B73" s="67"/>
      <c r="C73" s="178"/>
      <c r="D73" s="67"/>
      <c r="E73" s="67"/>
      <c r="F73" s="67"/>
      <c r="G73" s="67"/>
    </row>
    <row r="74" spans="1:7" ht="13.5" hidden="1" customHeight="1">
      <c r="A74" s="67"/>
      <c r="B74" s="67"/>
      <c r="C74" s="178"/>
      <c r="D74" s="67"/>
      <c r="E74" s="67"/>
      <c r="F74" s="67"/>
      <c r="G74" s="67"/>
    </row>
    <row r="75" spans="1:7" ht="13.5" hidden="1" customHeight="1">
      <c r="A75" s="67"/>
      <c r="B75" s="67"/>
      <c r="C75" s="178"/>
      <c r="D75" s="67"/>
      <c r="E75" s="67"/>
      <c r="F75" s="67"/>
      <c r="G75" s="67"/>
    </row>
    <row r="76" spans="1:7" ht="15" hidden="1" customHeight="1">
      <c r="A76" s="67"/>
      <c r="B76" s="67"/>
      <c r="C76" s="178"/>
      <c r="D76" s="67"/>
      <c r="E76" s="67"/>
      <c r="F76" s="67"/>
      <c r="G76" s="67"/>
    </row>
    <row r="77" spans="1:7" ht="15" hidden="1" customHeight="1">
      <c r="A77" s="67"/>
      <c r="B77" s="67"/>
      <c r="C77" s="178"/>
      <c r="D77" s="67"/>
      <c r="E77" s="67"/>
      <c r="F77" s="67"/>
      <c r="G77" s="67"/>
    </row>
    <row r="78" spans="1:7" ht="15" hidden="1" customHeight="1">
      <c r="A78" s="67"/>
      <c r="B78" s="67"/>
      <c r="C78" s="67"/>
      <c r="D78" s="67"/>
      <c r="E78" s="67"/>
      <c r="F78" s="67"/>
      <c r="G78" s="67"/>
    </row>
  </sheetData>
  <sheetProtection algorithmName="SHA-512" hashValue="imcT8x5W0laGeLkdKQS/SGFIGBPjclp7nTomIX1zhKEN00HSf6j2O0hmXSvMpZT3i/N0FQ6pr/i7qSn6vupszA==" saltValue="Pr9hz20yq9GsgJ+x+fRDTA==" spinCount="100000" sheet="1" objects="1" scenarios="1"/>
  <mergeCells count="9">
    <mergeCell ref="B2:D2"/>
    <mergeCell ref="B57:D57"/>
    <mergeCell ref="B59:D59"/>
    <mergeCell ref="B62:D62"/>
    <mergeCell ref="B63:D63"/>
    <mergeCell ref="B51:D51"/>
    <mergeCell ref="B53:D53"/>
    <mergeCell ref="B55:D55"/>
    <mergeCell ref="B4:D4"/>
  </mergeCells>
  <pageMargins left="0.7" right="0.7" top="0.75" bottom="0.75" header="0.3" footer="0.3"/>
  <pageSetup scale="85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3A409-0932-41BE-A5A9-6A09BAB39C4B}">
  <dimension ref="A1:K38"/>
  <sheetViews>
    <sheetView zoomScale="120" zoomScaleNormal="120" workbookViewId="0">
      <selection activeCell="G20" sqref="G20"/>
    </sheetView>
  </sheetViews>
  <sheetFormatPr defaultColWidth="0" defaultRowHeight="12.75" zeroHeight="1"/>
  <cols>
    <col min="1" max="1" width="6.42578125" style="156" customWidth="1"/>
    <col min="2" max="2" width="14.28515625" style="156" customWidth="1"/>
    <col min="3" max="3" width="10.5703125" style="156" customWidth="1"/>
    <col min="4" max="4" width="10.42578125" style="156" customWidth="1"/>
    <col min="5" max="5" width="12.7109375" style="156" customWidth="1"/>
    <col min="6" max="7" width="9.140625" style="156" customWidth="1"/>
    <col min="8" max="8" width="9.42578125" style="156" customWidth="1"/>
    <col min="9" max="9" width="7.140625" style="156" customWidth="1"/>
    <col min="10" max="11" width="0" style="156" hidden="1" customWidth="1"/>
    <col min="12" max="16384" width="9.140625" style="156" hidden="1"/>
  </cols>
  <sheetData>
    <row r="1" spans="1:11">
      <c r="A1" s="155"/>
      <c r="B1" s="155"/>
      <c r="C1" s="155"/>
      <c r="D1" s="155"/>
      <c r="E1" s="155"/>
      <c r="F1" s="155"/>
      <c r="G1" s="155"/>
      <c r="H1" s="155"/>
      <c r="I1" s="155"/>
    </row>
    <row r="2" spans="1:11" ht="16.5" customHeight="1">
      <c r="A2" s="155"/>
      <c r="B2" s="328" t="s">
        <v>313</v>
      </c>
      <c r="C2" s="329"/>
      <c r="D2" s="155"/>
      <c r="E2" s="155"/>
      <c r="F2" s="155"/>
      <c r="G2" s="155"/>
      <c r="H2" s="155"/>
      <c r="I2" s="155"/>
    </row>
    <row r="3" spans="1:11" ht="16.5" customHeight="1">
      <c r="A3" s="155"/>
      <c r="B3" s="164" t="s">
        <v>314</v>
      </c>
      <c r="C3" s="163"/>
      <c r="D3" s="167">
        <v>2025</v>
      </c>
      <c r="E3" s="155"/>
      <c r="F3" s="155"/>
      <c r="G3" s="155"/>
      <c r="H3" s="155"/>
      <c r="I3" s="155"/>
    </row>
    <row r="4" spans="1:11" ht="16.5" customHeight="1">
      <c r="A4" s="155"/>
      <c r="B4" s="164" t="s">
        <v>315</v>
      </c>
      <c r="C4" s="163"/>
      <c r="D4" s="167">
        <v>2039</v>
      </c>
      <c r="E4" s="155"/>
      <c r="F4" s="155"/>
      <c r="G4" s="155"/>
      <c r="H4" s="155"/>
      <c r="I4" s="155"/>
    </row>
    <row r="5" spans="1:11" ht="27" customHeight="1">
      <c r="A5" s="155"/>
      <c r="B5" s="330" t="s">
        <v>312</v>
      </c>
      <c r="C5" s="329"/>
      <c r="D5" s="162">
        <f>AVERAGEIF(J12:J37,1,C12:C37)</f>
        <v>2.7733333333333339E-2</v>
      </c>
      <c r="E5" s="165"/>
      <c r="F5" s="155"/>
      <c r="G5" s="155"/>
      <c r="H5" s="155"/>
      <c r="I5" s="155"/>
      <c r="K5" s="166"/>
    </row>
    <row r="6" spans="1:11" ht="11.25" customHeight="1">
      <c r="A6" s="155"/>
      <c r="B6" s="155"/>
      <c r="C6" s="155"/>
      <c r="D6" s="155"/>
      <c r="E6" s="155"/>
      <c r="F6" s="155"/>
      <c r="G6" s="155"/>
      <c r="H6" s="155"/>
      <c r="I6" s="155"/>
    </row>
    <row r="7" spans="1:11" ht="42" customHeight="1">
      <c r="A7" s="155"/>
      <c r="B7" s="324" t="s">
        <v>311</v>
      </c>
      <c r="C7" s="324"/>
      <c r="D7" s="324"/>
      <c r="E7" s="324"/>
      <c r="F7" s="324"/>
      <c r="G7" s="324"/>
      <c r="H7" s="324"/>
      <c r="I7" s="155"/>
    </row>
    <row r="8" spans="1:11">
      <c r="A8" s="155"/>
      <c r="B8" s="325" t="s">
        <v>308</v>
      </c>
      <c r="C8" s="326"/>
      <c r="D8" s="326"/>
      <c r="E8" s="326"/>
      <c r="F8" s="326"/>
      <c r="G8" s="326"/>
      <c r="H8" s="326"/>
      <c r="I8" s="155"/>
    </row>
    <row r="9" spans="1:11" ht="31.5" customHeight="1">
      <c r="A9" s="155"/>
      <c r="B9" s="327" t="s">
        <v>326</v>
      </c>
      <c r="C9" s="327"/>
      <c r="D9" s="327"/>
      <c r="E9" s="327"/>
      <c r="F9" s="327"/>
      <c r="G9" s="327"/>
      <c r="H9" s="327"/>
      <c r="I9" s="155"/>
    </row>
    <row r="10" spans="1:11" ht="7.5" customHeight="1">
      <c r="A10" s="155"/>
      <c r="B10" s="157"/>
      <c r="C10" s="158"/>
      <c r="D10" s="158"/>
      <c r="E10" s="158"/>
      <c r="F10" s="158"/>
      <c r="G10" s="158"/>
      <c r="H10" s="158"/>
      <c r="I10" s="155"/>
    </row>
    <row r="11" spans="1:11" ht="24.75" customHeight="1">
      <c r="A11" s="155"/>
      <c r="B11" s="159" t="s">
        <v>309</v>
      </c>
      <c r="C11" s="71" t="s">
        <v>310</v>
      </c>
      <c r="D11" s="155"/>
      <c r="E11" s="160"/>
      <c r="F11" s="155"/>
      <c r="G11" s="155"/>
      <c r="H11" s="155"/>
      <c r="I11" s="155"/>
    </row>
    <row r="12" spans="1:11" ht="14.25" customHeight="1">
      <c r="A12" s="155"/>
      <c r="B12" s="161">
        <v>2025</v>
      </c>
      <c r="C12" s="168">
        <v>4.4999999999999998E-2</v>
      </c>
      <c r="D12" s="155"/>
      <c r="E12" s="155"/>
      <c r="F12" s="155"/>
      <c r="G12" s="155"/>
      <c r="H12" s="155"/>
      <c r="I12" s="155"/>
      <c r="J12" s="156">
        <f t="shared" ref="J12:J37" si="0">IF(AND(B12&gt;=$D$3,B12&lt;=$D$4),1,0)</f>
        <v>1</v>
      </c>
    </row>
    <row r="13" spans="1:11" ht="14.25" customHeight="1">
      <c r="A13" s="155"/>
      <c r="B13" s="161">
        <v>2026</v>
      </c>
      <c r="C13" s="168">
        <v>3.7999999999999999E-2</v>
      </c>
      <c r="D13" s="155"/>
      <c r="E13" s="155"/>
      <c r="F13" s="155"/>
      <c r="G13" s="155"/>
      <c r="H13" s="155"/>
      <c r="I13" s="155"/>
      <c r="J13" s="156">
        <f t="shared" si="0"/>
        <v>1</v>
      </c>
    </row>
    <row r="14" spans="1:11" ht="14.25" customHeight="1">
      <c r="A14" s="155"/>
      <c r="B14" s="161">
        <v>2027</v>
      </c>
      <c r="C14" s="168">
        <v>0.03</v>
      </c>
      <c r="D14" s="155"/>
      <c r="E14" s="155"/>
      <c r="F14" s="155"/>
      <c r="G14" s="155"/>
      <c r="H14" s="155"/>
      <c r="I14" s="155"/>
      <c r="J14" s="156">
        <f t="shared" si="0"/>
        <v>1</v>
      </c>
    </row>
    <row r="15" spans="1:11" ht="14.25" customHeight="1">
      <c r="A15" s="155"/>
      <c r="B15" s="161">
        <v>2028</v>
      </c>
      <c r="C15" s="168">
        <v>2.8000000000000001E-2</v>
      </c>
      <c r="D15" s="155"/>
      <c r="E15" s="155"/>
      <c r="F15" s="155"/>
      <c r="G15" s="155"/>
      <c r="H15" s="155"/>
      <c r="I15" s="155"/>
      <c r="J15" s="156">
        <f t="shared" si="0"/>
        <v>1</v>
      </c>
    </row>
    <row r="16" spans="1:11" ht="14.25" customHeight="1">
      <c r="A16" s="155"/>
      <c r="B16" s="161">
        <v>2029</v>
      </c>
      <c r="C16" s="168">
        <v>2.5000000000000001E-2</v>
      </c>
      <c r="D16" s="155"/>
      <c r="E16" s="155"/>
      <c r="F16" s="155"/>
      <c r="G16" s="155"/>
      <c r="H16" s="155"/>
      <c r="I16" s="155"/>
      <c r="J16" s="156">
        <f t="shared" si="0"/>
        <v>1</v>
      </c>
    </row>
    <row r="17" spans="1:10" ht="14.25" customHeight="1">
      <c r="A17" s="155"/>
      <c r="B17" s="161">
        <v>2030</v>
      </c>
      <c r="C17" s="168">
        <v>2.5000000000000001E-2</v>
      </c>
      <c r="D17" s="155"/>
      <c r="E17" s="155"/>
      <c r="F17" s="155"/>
      <c r="G17" s="155"/>
      <c r="H17" s="155"/>
      <c r="I17" s="155"/>
      <c r="J17" s="156">
        <f t="shared" si="0"/>
        <v>1</v>
      </c>
    </row>
    <row r="18" spans="1:10" ht="14.25" customHeight="1">
      <c r="A18" s="155"/>
      <c r="B18" s="161">
        <v>2031</v>
      </c>
      <c r="C18" s="168">
        <v>2.5000000000000001E-2</v>
      </c>
      <c r="D18" s="155"/>
      <c r="E18" s="155"/>
      <c r="F18" s="155"/>
      <c r="G18" s="155"/>
      <c r="H18" s="155"/>
      <c r="I18" s="155"/>
      <c r="J18" s="156">
        <f t="shared" si="0"/>
        <v>1</v>
      </c>
    </row>
    <row r="19" spans="1:10" ht="14.25" customHeight="1">
      <c r="A19" s="155"/>
      <c r="B19" s="161">
        <v>2032</v>
      </c>
      <c r="C19" s="168">
        <v>2.5000000000000001E-2</v>
      </c>
      <c r="D19" s="155"/>
      <c r="E19" s="155"/>
      <c r="F19" s="155"/>
      <c r="G19" s="155"/>
      <c r="H19" s="155"/>
      <c r="I19" s="155"/>
      <c r="J19" s="156">
        <f t="shared" si="0"/>
        <v>1</v>
      </c>
    </row>
    <row r="20" spans="1:10" ht="14.25" customHeight="1">
      <c r="A20" s="155"/>
      <c r="B20" s="161">
        <v>2033</v>
      </c>
      <c r="C20" s="168">
        <v>2.5000000000000001E-2</v>
      </c>
      <c r="D20" s="155"/>
      <c r="E20" s="155"/>
      <c r="F20" s="155"/>
      <c r="G20" s="155"/>
      <c r="H20" s="155"/>
      <c r="I20" s="155"/>
      <c r="J20" s="156">
        <f t="shared" si="0"/>
        <v>1</v>
      </c>
    </row>
    <row r="21" spans="1:10" ht="14.25" customHeight="1">
      <c r="A21" s="155"/>
      <c r="B21" s="161">
        <v>2034</v>
      </c>
      <c r="C21" s="168">
        <v>2.5000000000000001E-2</v>
      </c>
      <c r="D21" s="155"/>
      <c r="E21" s="155"/>
      <c r="F21" s="155"/>
      <c r="G21" s="155"/>
      <c r="H21" s="155"/>
      <c r="I21" s="155"/>
      <c r="J21" s="156">
        <f t="shared" si="0"/>
        <v>1</v>
      </c>
    </row>
    <row r="22" spans="1:10" ht="14.25" customHeight="1">
      <c r="A22" s="155"/>
      <c r="B22" s="161">
        <v>2035</v>
      </c>
      <c r="C22" s="168">
        <v>2.5000000000000001E-2</v>
      </c>
      <c r="D22" s="155"/>
      <c r="E22" s="155"/>
      <c r="F22" s="155"/>
      <c r="G22" s="155"/>
      <c r="H22" s="155"/>
      <c r="I22" s="155"/>
      <c r="J22" s="156">
        <f t="shared" si="0"/>
        <v>1</v>
      </c>
    </row>
    <row r="23" spans="1:10" ht="14.25" customHeight="1">
      <c r="A23" s="155"/>
      <c r="B23" s="161">
        <v>2036</v>
      </c>
      <c r="C23" s="168">
        <v>2.5000000000000001E-2</v>
      </c>
      <c r="D23" s="155"/>
      <c r="E23" s="155"/>
      <c r="F23" s="155"/>
      <c r="G23" s="155"/>
      <c r="H23" s="155"/>
      <c r="I23" s="155"/>
      <c r="J23" s="156">
        <f t="shared" si="0"/>
        <v>1</v>
      </c>
    </row>
    <row r="24" spans="1:10" ht="14.25" customHeight="1">
      <c r="A24" s="155"/>
      <c r="B24" s="161">
        <v>2037</v>
      </c>
      <c r="C24" s="168">
        <v>2.5000000000000001E-2</v>
      </c>
      <c r="D24" s="155"/>
      <c r="E24" s="155"/>
      <c r="F24" s="155"/>
      <c r="G24" s="155"/>
      <c r="H24" s="155"/>
      <c r="I24" s="155"/>
      <c r="J24" s="156">
        <f t="shared" si="0"/>
        <v>1</v>
      </c>
    </row>
    <row r="25" spans="1:10" ht="14.25" customHeight="1">
      <c r="A25" s="155"/>
      <c r="B25" s="161">
        <v>2038</v>
      </c>
      <c r="C25" s="168">
        <v>2.5000000000000001E-2</v>
      </c>
      <c r="D25" s="155"/>
      <c r="E25" s="155"/>
      <c r="F25" s="155"/>
      <c r="G25" s="155"/>
      <c r="H25" s="155"/>
      <c r="I25" s="155"/>
      <c r="J25" s="156">
        <f t="shared" si="0"/>
        <v>1</v>
      </c>
    </row>
    <row r="26" spans="1:10" ht="14.25" customHeight="1">
      <c r="A26" s="155"/>
      <c r="B26" s="161">
        <v>2039</v>
      </c>
      <c r="C26" s="168">
        <v>2.5000000000000001E-2</v>
      </c>
      <c r="D26" s="155"/>
      <c r="E26" s="155"/>
      <c r="F26" s="155"/>
      <c r="G26" s="155"/>
      <c r="H26" s="155"/>
      <c r="I26" s="155"/>
      <c r="J26" s="156">
        <f t="shared" si="0"/>
        <v>1</v>
      </c>
    </row>
    <row r="27" spans="1:10" ht="14.25" customHeight="1">
      <c r="A27" s="155"/>
      <c r="B27" s="161">
        <v>2040</v>
      </c>
      <c r="C27" s="168">
        <v>2.5000000000000001E-2</v>
      </c>
      <c r="D27" s="155"/>
      <c r="E27" s="155"/>
      <c r="F27" s="155"/>
      <c r="G27" s="155"/>
      <c r="H27" s="155"/>
      <c r="I27" s="155"/>
      <c r="J27" s="156">
        <f t="shared" si="0"/>
        <v>0</v>
      </c>
    </row>
    <row r="28" spans="1:10" ht="14.25" customHeight="1">
      <c r="A28" s="155"/>
      <c r="B28" s="161">
        <v>2041</v>
      </c>
      <c r="C28" s="168">
        <v>2.5000000000000001E-2</v>
      </c>
      <c r="D28" s="155"/>
      <c r="E28" s="155"/>
      <c r="F28" s="155"/>
      <c r="G28" s="155"/>
      <c r="H28" s="155"/>
      <c r="I28" s="155"/>
      <c r="J28" s="156">
        <f t="shared" si="0"/>
        <v>0</v>
      </c>
    </row>
    <row r="29" spans="1:10" ht="14.25" customHeight="1">
      <c r="A29" s="155"/>
      <c r="B29" s="161">
        <v>2042</v>
      </c>
      <c r="C29" s="168">
        <v>2.5000000000000001E-2</v>
      </c>
      <c r="D29" s="155"/>
      <c r="E29" s="155"/>
      <c r="F29" s="155"/>
      <c r="G29" s="155"/>
      <c r="H29" s="155"/>
      <c r="I29" s="155"/>
      <c r="J29" s="156">
        <f t="shared" si="0"/>
        <v>0</v>
      </c>
    </row>
    <row r="30" spans="1:10" ht="14.25" customHeight="1">
      <c r="A30" s="155"/>
      <c r="B30" s="161">
        <v>2043</v>
      </c>
      <c r="C30" s="168">
        <v>2.5000000000000001E-2</v>
      </c>
      <c r="D30" s="155"/>
      <c r="E30" s="155"/>
      <c r="F30" s="155"/>
      <c r="G30" s="155"/>
      <c r="H30" s="155"/>
      <c r="I30" s="155"/>
      <c r="J30" s="156">
        <f t="shared" si="0"/>
        <v>0</v>
      </c>
    </row>
    <row r="31" spans="1:10" ht="14.25" customHeight="1">
      <c r="A31" s="155"/>
      <c r="B31" s="161">
        <v>2044</v>
      </c>
      <c r="C31" s="168">
        <v>2.5000000000000001E-2</v>
      </c>
      <c r="D31" s="155"/>
      <c r="E31" s="155"/>
      <c r="F31" s="155"/>
      <c r="G31" s="155"/>
      <c r="H31" s="155"/>
      <c r="I31" s="155"/>
      <c r="J31" s="156">
        <f t="shared" si="0"/>
        <v>0</v>
      </c>
    </row>
    <row r="32" spans="1:10" ht="14.25" customHeight="1">
      <c r="A32" s="155"/>
      <c r="B32" s="161">
        <v>2045</v>
      </c>
      <c r="C32" s="168">
        <v>2.5000000000000001E-2</v>
      </c>
      <c r="D32" s="155"/>
      <c r="E32" s="155"/>
      <c r="F32" s="155"/>
      <c r="G32" s="155"/>
      <c r="H32" s="155"/>
      <c r="I32" s="155"/>
      <c r="J32" s="156">
        <f t="shared" si="0"/>
        <v>0</v>
      </c>
    </row>
    <row r="33" spans="1:10" ht="14.25" customHeight="1">
      <c r="A33" s="155"/>
      <c r="B33" s="161">
        <v>2046</v>
      </c>
      <c r="C33" s="168">
        <v>2.5000000000000001E-2</v>
      </c>
      <c r="D33" s="155"/>
      <c r="E33" s="155"/>
      <c r="F33" s="155"/>
      <c r="G33" s="155"/>
      <c r="H33" s="155"/>
      <c r="I33" s="155"/>
      <c r="J33" s="156">
        <f t="shared" si="0"/>
        <v>0</v>
      </c>
    </row>
    <row r="34" spans="1:10" ht="14.25" customHeight="1">
      <c r="A34" s="155"/>
      <c r="B34" s="161">
        <v>2047</v>
      </c>
      <c r="C34" s="168">
        <v>2.5000000000000001E-2</v>
      </c>
      <c r="D34" s="155"/>
      <c r="E34" s="155"/>
      <c r="F34" s="155"/>
      <c r="G34" s="155"/>
      <c r="H34" s="155"/>
      <c r="I34" s="155"/>
      <c r="J34" s="156">
        <f t="shared" si="0"/>
        <v>0</v>
      </c>
    </row>
    <row r="35" spans="1:10" ht="14.25" customHeight="1">
      <c r="A35" s="155"/>
      <c r="B35" s="161">
        <v>2048</v>
      </c>
      <c r="C35" s="168">
        <v>2.5000000000000001E-2</v>
      </c>
      <c r="D35" s="155"/>
      <c r="E35" s="155"/>
      <c r="F35" s="155"/>
      <c r="G35" s="155"/>
      <c r="H35" s="155"/>
      <c r="I35" s="155"/>
      <c r="J35" s="156">
        <f t="shared" si="0"/>
        <v>0</v>
      </c>
    </row>
    <row r="36" spans="1:10" ht="14.25" customHeight="1">
      <c r="A36" s="155"/>
      <c r="B36" s="161">
        <v>2049</v>
      </c>
      <c r="C36" s="168">
        <v>2.5000000000000001E-2</v>
      </c>
      <c r="D36" s="155"/>
      <c r="E36" s="155"/>
      <c r="F36" s="155"/>
      <c r="G36" s="155"/>
      <c r="H36" s="155"/>
      <c r="I36" s="155"/>
      <c r="J36" s="156">
        <f t="shared" si="0"/>
        <v>0</v>
      </c>
    </row>
    <row r="37" spans="1:10" ht="14.25" customHeight="1">
      <c r="A37" s="155"/>
      <c r="B37" s="161">
        <v>2050</v>
      </c>
      <c r="C37" s="168">
        <v>2.5000000000000001E-2</v>
      </c>
      <c r="D37" s="155"/>
      <c r="E37" s="155"/>
      <c r="F37" s="155"/>
      <c r="G37" s="155"/>
      <c r="H37" s="155"/>
      <c r="I37" s="155"/>
      <c r="J37" s="156">
        <f t="shared" si="0"/>
        <v>0</v>
      </c>
    </row>
    <row r="38" spans="1:10">
      <c r="A38" s="155"/>
      <c r="B38" s="155"/>
      <c r="C38" s="155"/>
      <c r="D38" s="155"/>
      <c r="E38" s="155"/>
      <c r="F38" s="155"/>
      <c r="G38" s="155"/>
      <c r="H38" s="155"/>
      <c r="I38" s="155"/>
    </row>
  </sheetData>
  <sheetProtection algorithmName="SHA-512" hashValue="9zi7GRmGjQ415rBLAudgqSwEDEsCiIxs0E3BlfKQ+CXhdfzeCcyW6cY1F+3c+HgFZG9zEBILlTMHVz1ridDchA==" saltValue="zki3cfMVEQXiMxqyixJl6g==" spinCount="100000" sheet="1" objects="1" scenarios="1"/>
  <mergeCells count="5">
    <mergeCell ref="B7:H7"/>
    <mergeCell ref="B8:H8"/>
    <mergeCell ref="B9:H9"/>
    <mergeCell ref="B2:C2"/>
    <mergeCell ref="B5:C5"/>
  </mergeCells>
  <hyperlinks>
    <hyperlink ref="B8" r:id="rId1" xr:uid="{A61AAE28-ECE3-41AB-B609-C0F4CA0E6D0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Instrukcja</vt:lpstr>
      <vt:lpstr>Dane finansowe</vt:lpstr>
      <vt:lpstr>Wyniki</vt:lpstr>
      <vt:lpstr>WACC</vt:lpstr>
      <vt:lpstr>inflacja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Kalkulator ratingu</dc:title>
  <dc:creator>NF</dc:creator>
  <dc:description>Wersja z 18-02-2020 r.</dc:description>
  <cp:lastModifiedBy>Ruciński Piotr</cp:lastModifiedBy>
  <cp:lastPrinted>2023-12-01T08:24:17Z</cp:lastPrinted>
  <dcterms:created xsi:type="dcterms:W3CDTF">2009-08-21T08:15:19Z</dcterms:created>
  <dcterms:modified xsi:type="dcterms:W3CDTF">2025-07-21T17:18:08Z</dcterms:modified>
</cp:coreProperties>
</file>