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doch_wyd" sheetId="4" r:id="rId1"/>
  </sheets>
  <calcPr calcId="152511"/>
</workbook>
</file>

<file path=xl/calcChain.xml><?xml version="1.0" encoding="utf-8"?>
<calcChain xmlns="http://schemas.openxmlformats.org/spreadsheetml/2006/main">
  <c r="C100" i="4" l="1"/>
  <c r="C99" i="4"/>
  <c r="C98" i="4"/>
  <c r="C97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K74" i="4" s="1"/>
  <c r="D73" i="4"/>
  <c r="C73" i="4"/>
  <c r="D72" i="4"/>
  <c r="C72" i="4"/>
  <c r="D71" i="4"/>
  <c r="C71" i="4"/>
  <c r="D70" i="4"/>
  <c r="C70" i="4"/>
  <c r="I63" i="4"/>
  <c r="H63" i="4"/>
  <c r="G63" i="4"/>
  <c r="F63" i="4"/>
  <c r="E63" i="4"/>
  <c r="D63" i="4"/>
  <c r="C63" i="4"/>
  <c r="I62" i="4"/>
  <c r="H62" i="4"/>
  <c r="G62" i="4"/>
  <c r="G64" i="4" s="1"/>
  <c r="F62" i="4"/>
  <c r="E62" i="4"/>
  <c r="D62" i="4"/>
  <c r="C62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D39" i="4"/>
  <c r="C39" i="4"/>
  <c r="D37" i="4"/>
  <c r="K37" i="4" s="1"/>
  <c r="C37" i="4"/>
  <c r="D36" i="4"/>
  <c r="C36" i="4"/>
  <c r="D35" i="4"/>
  <c r="C35" i="4"/>
  <c r="D34" i="4"/>
  <c r="C34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C38" i="4" s="1"/>
  <c r="K8" i="4"/>
  <c r="K13" i="4"/>
  <c r="C12" i="4"/>
  <c r="C11" i="4" s="1"/>
  <c r="K15" i="4"/>
  <c r="K17" i="4"/>
  <c r="K19" i="4"/>
  <c r="K21" i="4"/>
  <c r="K23" i="4"/>
  <c r="K25" i="4"/>
  <c r="K27" i="4"/>
  <c r="K29" i="4"/>
  <c r="K31" i="4"/>
  <c r="K34" i="4"/>
  <c r="C33" i="4"/>
  <c r="K36" i="4"/>
  <c r="K39" i="4"/>
  <c r="E51" i="4"/>
  <c r="E57" i="4" s="1"/>
  <c r="I51" i="4"/>
  <c r="I57" i="4" s="1"/>
  <c r="K50" i="4"/>
  <c r="K55" i="4"/>
  <c r="E64" i="4"/>
  <c r="I64" i="4"/>
  <c r="K70" i="4"/>
  <c r="K76" i="4"/>
  <c r="K78" i="4"/>
  <c r="K80" i="4"/>
  <c r="K82" i="4"/>
  <c r="D97" i="4"/>
  <c r="B65" i="4" s="1"/>
  <c r="J5" i="4"/>
  <c r="D58" i="4"/>
  <c r="J25" i="4"/>
  <c r="J26" i="4"/>
  <c r="J16" i="4"/>
  <c r="J9" i="4"/>
  <c r="D38" i="4"/>
  <c r="D40" i="4" s="1"/>
  <c r="J40" i="4" s="1"/>
  <c r="J13" i="4"/>
  <c r="J22" i="4"/>
  <c r="J34" i="4"/>
  <c r="J27" i="4"/>
  <c r="J20" i="4"/>
  <c r="J35" i="4"/>
  <c r="J28" i="4"/>
  <c r="J29" i="4"/>
  <c r="J18" i="4"/>
  <c r="J7" i="4"/>
  <c r="J24" i="4"/>
  <c r="J8" i="4"/>
  <c r="J30" i="4"/>
  <c r="J21" i="4"/>
  <c r="J31" i="4"/>
  <c r="J19" i="4"/>
  <c r="J14" i="4"/>
  <c r="J17" i="4"/>
  <c r="J23" i="4"/>
  <c r="J15" i="4"/>
  <c r="J37" i="4"/>
  <c r="J32" i="4"/>
  <c r="J36" i="4"/>
  <c r="D12" i="4"/>
  <c r="J12" i="4" s="1"/>
  <c r="D33" i="4"/>
  <c r="J33" i="4" s="1"/>
  <c r="F51" i="4"/>
  <c r="F57" i="4"/>
  <c r="K49" i="4"/>
  <c r="K54" i="4"/>
  <c r="F64" i="4"/>
  <c r="K63" i="4"/>
  <c r="J78" i="4"/>
  <c r="J73" i="4"/>
  <c r="J74" i="4"/>
  <c r="J70" i="4"/>
  <c r="J75" i="4"/>
  <c r="J76" i="4"/>
  <c r="J71" i="4"/>
  <c r="J77" i="4"/>
  <c r="J72" i="4"/>
  <c r="K7" i="4"/>
  <c r="K9" i="4"/>
  <c r="K14" i="4"/>
  <c r="K16" i="4"/>
  <c r="K18" i="4"/>
  <c r="K20" i="4"/>
  <c r="K22" i="4"/>
  <c r="K24" i="4"/>
  <c r="K26" i="4"/>
  <c r="K28" i="4"/>
  <c r="K30" i="4"/>
  <c r="K32" i="4"/>
  <c r="K35" i="4"/>
  <c r="K48" i="4"/>
  <c r="C51" i="4"/>
  <c r="G51" i="4"/>
  <c r="G57" i="4" s="1"/>
  <c r="K53" i="4"/>
  <c r="K62" i="4"/>
  <c r="C64" i="4"/>
  <c r="K71" i="4"/>
  <c r="K73" i="4"/>
  <c r="K75" i="4"/>
  <c r="K77" i="4"/>
  <c r="K79" i="4"/>
  <c r="K81" i="4"/>
  <c r="K83" i="4"/>
  <c r="J53" i="4"/>
  <c r="J54" i="4"/>
  <c r="D51" i="4"/>
  <c r="D57" i="4" s="1"/>
  <c r="J57" i="4" s="1"/>
  <c r="J50" i="4"/>
  <c r="J56" i="4"/>
  <c r="J52" i="4"/>
  <c r="J48" i="4"/>
  <c r="J49" i="4"/>
  <c r="J55" i="4"/>
  <c r="H51" i="4"/>
  <c r="H57" i="4"/>
  <c r="K52" i="4"/>
  <c r="K56" i="4"/>
  <c r="J63" i="4"/>
  <c r="J62" i="4"/>
  <c r="D64" i="4"/>
  <c r="H64" i="4"/>
  <c r="J80" i="4"/>
  <c r="J79" i="4"/>
  <c r="J82" i="4"/>
  <c r="J81" i="4"/>
  <c r="J83" i="4"/>
  <c r="J38" i="4" l="1"/>
  <c r="J39" i="4"/>
  <c r="B41" i="4"/>
  <c r="B1" i="4"/>
  <c r="K72" i="4"/>
  <c r="K64" i="4"/>
  <c r="J64" i="4"/>
  <c r="J51" i="4"/>
  <c r="K51" i="4"/>
  <c r="D59" i="4"/>
  <c r="C57" i="4"/>
  <c r="K57" i="4" s="1"/>
  <c r="K33" i="4"/>
  <c r="K12" i="4"/>
  <c r="D11" i="4"/>
  <c r="C40" i="4"/>
  <c r="K38" i="4"/>
  <c r="C58" i="4"/>
  <c r="C6" i="4"/>
  <c r="K5" i="4"/>
  <c r="J11" i="4" l="1"/>
  <c r="D6" i="4"/>
  <c r="K11" i="4"/>
  <c r="C10" i="4"/>
  <c r="C59" i="4"/>
  <c r="K40" i="4"/>
  <c r="L7" i="4" l="1"/>
  <c r="D10" i="4"/>
  <c r="J10" i="4" s="1"/>
  <c r="L6" i="4"/>
  <c r="L9" i="4"/>
  <c r="L8" i="4"/>
  <c r="J6" i="4"/>
  <c r="K6" i="4"/>
  <c r="L10" i="4" l="1"/>
  <c r="K10" i="4"/>
</calcChain>
</file>

<file path=xl/sharedStrings.xml><?xml version="1.0" encoding="utf-8"?>
<sst xmlns="http://schemas.openxmlformats.org/spreadsheetml/2006/main" count="368" uniqueCount="100">
  <si>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</si>
  <si>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</si>
  <si>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</si>
  <si>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</si>
  <si>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</si>
  <si>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</si>
  <si>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</si>
  <si>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</si>
  <si>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</si>
  <si>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</si>
  <si>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</si>
  <si>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</si>
  <si>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</si>
  <si>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</si>
  <si>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</si>
  <si>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</si>
  <si>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</si>
  <si>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</si>
  <si>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</si>
  <si>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</si>
  <si>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</si>
  <si>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</si>
  <si>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</si>
  <si>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</si>
  <si>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</si>
  <si>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</si>
  <si>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</si>
  <si>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</si>
  <si>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</si>
  <si>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</si>
  <si>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</si>
  <si>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</si>
  <si>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</si>
  <si>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</si>
  <si>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</si>
  <si>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</si>
  <si>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</si>
  <si>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</si>
  <si>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</si>
  <si>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</si>
  <si>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</si>
  <si>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</si>
  <si>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</si>
  <si>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</si>
  <si>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</si>
  <si>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</si>
  <si>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</si>
  <si>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</si>
  <si>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</si>
  <si>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</si>
  <si>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</si>
  <si>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</si>
  <si>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</si>
  <si>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</si>
  <si>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</si>
  <si>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</si>
  <si>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</si>
  <si>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</si>
  <si>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</si>
  <si>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UE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</si>
  <si>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</si>
  <si>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</si>
  <si>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</si>
  <si>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</si>
  <si>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</si>
  <si>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</si>
  <si>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</si>
  <si>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</si>
  <si>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</si>
  <si>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</si>
  <si>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</si>
  <si>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</si>
  <si>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</si>
  <si>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</si>
  <si>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</si>
  <si>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</si>
  <si>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</si>
  <si>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</si>
  <si>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</si>
  <si>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</si>
  <si>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</si>
  <si>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</si>
  <si>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</si>
  <si>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</si>
  <si>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</si>
  <si>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</si>
  <si>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</si>
  <si>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</si>
  <si>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</si>
  <si>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</si>
  <si>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</si>
  <si>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</si>
  <si>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</si>
  <si>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</si>
  <si>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</si>
  <si>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</si>
  <si>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</si>
  <si>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</si>
  <si>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</si>
  <si>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FINANSOWANIE DEFICYTU (E1+E2+E3+E4+E5+E6+E7)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</si>
</sst>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5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4" fontId="6" fillId="0" borderId="0" xfId="0" applyNumberFormat="1" applyFont="1"/>
    <xf numFmtId="164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4" fontId="12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8" applyNumberFormat="1" applyFont="1" applyFill="1" applyBorder="1" applyAlignment="1">
      <alignment horizontal="right" vertical="center"/>
    </xf>
    <xf numFmtId="4" fontId="11" fillId="20" borderId="15" xfId="0" applyNumberFormat="1" applyFont="1" applyFill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20" borderId="15" xfId="0" applyNumberFormat="1" applyFont="1" applyFill="1" applyBorder="1" applyAlignment="1">
      <alignment horizontal="right" vertical="center"/>
    </xf>
    <xf numFmtId="4" fontId="6" fillId="21" borderId="15" xfId="0" applyNumberFormat="1" applyFont="1" applyFill="1" applyBorder="1" applyAlignment="1">
      <alignment horizontal="right" vertical="center"/>
    </xf>
    <xf numFmtId="4" fontId="11" fillId="22" borderId="15" xfId="0" applyNumberFormat="1" applyFont="1" applyFill="1" applyBorder="1" applyAlignment="1">
      <alignment horizontal="right" vertical="center"/>
    </xf>
    <xf numFmtId="0" fontId="34" fillId="22" borderId="10" xfId="38" applyFont="1" applyFill="1" applyBorder="1" applyAlignment="1">
      <alignment horizontal="left" vertical="center" wrapText="1"/>
    </xf>
    <xf numFmtId="164" fontId="11" fillId="21" borderId="10" xfId="28" applyNumberFormat="1" applyFont="1" applyFill="1" applyBorder="1" applyAlignment="1">
      <alignment horizontal="right" vertical="center"/>
    </xf>
    <xf numFmtId="164" fontId="11" fillId="21" borderId="10" xfId="0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4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5" xfId="0" applyNumberFormat="1" applyFont="1" applyFill="1" applyBorder="1" applyAlignment="1">
      <alignment horizontal="right" vertical="center"/>
    </xf>
    <xf numFmtId="164" fontId="11" fillId="0" borderId="10" xfId="28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4" fontId="4" fillId="21" borderId="10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vertical="center" wrapText="1"/>
    </xf>
    <xf numFmtId="0" fontId="6" fillId="19" borderId="15" xfId="0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7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vertical="center" wrapText="1"/>
    </xf>
    <xf numFmtId="164" fontId="11" fillId="22" borderId="17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/>
    <xf numFmtId="4" fontId="4" fillId="0" borderId="19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4" fontId="12" fillId="0" borderId="20" xfId="0" applyNumberFormat="1" applyFont="1" applyFill="1" applyBorder="1" applyAlignment="1">
      <alignment horizontal="right" vertical="center" wrapText="1"/>
    </xf>
    <xf numFmtId="4" fontId="4" fillId="20" borderId="1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5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4" fontId="4" fillId="22" borderId="15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1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38" applyFont="1" applyFill="1" applyBorder="1" applyAlignment="1">
      <alignment horizontal="left" vertical="center" wrapText="1" indent="1"/>
    </xf>
    <xf numFmtId="4" fontId="11" fillId="2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7" xfId="0" applyFont="1" applyBorder="1"/>
    <xf numFmtId="165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4" fontId="12" fillId="0" borderId="2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5" fontId="6" fillId="0" borderId="15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y" xfId="0" builtinId="0"/>
    <cellStyle name="Normalny 2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0"/>
  <sheetViews>
    <sheetView tabSelected="1" topLeftCell="B1" zoomScaleNormal="100" workbookViewId="0">
      <selection activeCell="B2" sqref="B2:B3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2" t="str">
        <f>CONCATENATE("Informacja z wykonania budżetów województw za ",$D$97," ",$C$98," rok    ",$C$100,"")</f>
        <v xml:space="preserve">Informacja z wykonania budżetów województw za II Kwartały 2022 rok    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7" ht="60" customHeight="1" x14ac:dyDescent="0.2">
      <c r="B2" s="128" t="s">
        <v>0</v>
      </c>
      <c r="C2" s="13" t="s">
        <v>27</v>
      </c>
      <c r="D2" s="13" t="s">
        <v>28</v>
      </c>
      <c r="E2" s="13" t="s">
        <v>92</v>
      </c>
      <c r="F2" s="13" t="s">
        <v>93</v>
      </c>
      <c r="G2" s="13" t="s">
        <v>94</v>
      </c>
      <c r="H2" s="13" t="s">
        <v>95</v>
      </c>
      <c r="I2" s="13" t="s">
        <v>96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8"/>
      <c r="C3" s="135" t="s">
        <v>62</v>
      </c>
      <c r="D3" s="137"/>
      <c r="E3" s="129" t="s">
        <v>90</v>
      </c>
      <c r="F3" s="130"/>
      <c r="G3" s="130"/>
      <c r="H3" s="130"/>
      <c r="I3" s="131"/>
      <c r="J3" s="135" t="s">
        <v>4</v>
      </c>
      <c r="K3" s="136"/>
      <c r="L3" s="137"/>
    </row>
    <row r="4" spans="2:17" ht="9" customHeight="1" x14ac:dyDescent="0.2">
      <c r="B4" s="14">
        <v>1</v>
      </c>
      <c r="C4" s="16">
        <v>2</v>
      </c>
      <c r="D4" s="16">
        <v>3</v>
      </c>
      <c r="E4" s="132"/>
      <c r="F4" s="133"/>
      <c r="G4" s="133"/>
      <c r="H4" s="133"/>
      <c r="I4" s="134"/>
      <c r="J4" s="16">
        <v>4</v>
      </c>
      <c r="K4" s="16">
        <v>5</v>
      </c>
      <c r="L4" s="16">
        <v>6</v>
      </c>
    </row>
    <row r="5" spans="2:17" ht="12.95" customHeight="1" x14ac:dyDescent="0.2">
      <c r="B5" s="100" t="s">
        <v>5</v>
      </c>
      <c r="C5" s="56">
        <f>25250412216.99</f>
        <v>25250412216.990002</v>
      </c>
      <c r="D5" s="56">
        <f>12226426452.37</f>
        <v>12226426452.370001</v>
      </c>
      <c r="E5" s="95" t="s">
        <v>90</v>
      </c>
      <c r="F5" s="95" t="s">
        <v>90</v>
      </c>
      <c r="G5" s="95" t="s">
        <v>90</v>
      </c>
      <c r="H5" s="95" t="s">
        <v>90</v>
      </c>
      <c r="I5" s="95" t="s">
        <v>90</v>
      </c>
      <c r="J5" s="57">
        <f t="shared" ref="J5:J37" si="0">IF($D$5=0,"",100*$D5/$D$5)</f>
        <v>100</v>
      </c>
      <c r="K5" s="57">
        <f t="shared" ref="K5:K40" si="1">IF(C5=0,"",100*D5/C5)</f>
        <v>48.42070041194544</v>
      </c>
      <c r="L5" s="57"/>
      <c r="M5" s="35"/>
      <c r="N5" s="35"/>
      <c r="O5" s="35"/>
      <c r="P5" s="35"/>
      <c r="Q5" s="35"/>
    </row>
    <row r="6" spans="2:17" ht="27" customHeight="1" x14ac:dyDescent="0.2">
      <c r="B6" s="97" t="s">
        <v>42</v>
      </c>
      <c r="C6" s="22">
        <f>C5-C11-C33</f>
        <v>13303372240.510002</v>
      </c>
      <c r="D6" s="22">
        <f>D5-D11-D33</f>
        <v>6694386749.4300003</v>
      </c>
      <c r="E6" s="95" t="s">
        <v>90</v>
      </c>
      <c r="F6" s="95" t="s">
        <v>90</v>
      </c>
      <c r="G6" s="95" t="s">
        <v>90</v>
      </c>
      <c r="H6" s="95" t="s">
        <v>90</v>
      </c>
      <c r="I6" s="95" t="s">
        <v>90</v>
      </c>
      <c r="J6" s="29">
        <f t="shared" si="0"/>
        <v>54.753421005794735</v>
      </c>
      <c r="K6" s="29">
        <f t="shared" si="1"/>
        <v>50.320975978143132</v>
      </c>
      <c r="L6" s="29">
        <f>IF($D$6=0,"",100*$D6/$D$6)</f>
        <v>100</v>
      </c>
      <c r="M6" s="35"/>
      <c r="N6" s="35"/>
      <c r="O6" s="35"/>
      <c r="P6" s="35"/>
      <c r="Q6" s="35"/>
    </row>
    <row r="7" spans="2:17" ht="22.5" outlineLevel="1" x14ac:dyDescent="0.2">
      <c r="B7" s="28" t="s">
        <v>26</v>
      </c>
      <c r="C7" s="20">
        <f>9788100000</f>
        <v>9788100000</v>
      </c>
      <c r="D7" s="20">
        <f>4893414588.27</f>
        <v>4893414588.2700005</v>
      </c>
      <c r="E7" s="112" t="s">
        <v>90</v>
      </c>
      <c r="F7" s="112" t="s">
        <v>90</v>
      </c>
      <c r="G7" s="112" t="s">
        <v>90</v>
      </c>
      <c r="H7" s="112" t="s">
        <v>90</v>
      </c>
      <c r="I7" s="112" t="s">
        <v>90</v>
      </c>
      <c r="J7" s="30">
        <f t="shared" si="0"/>
        <v>40.023261149388823</v>
      </c>
      <c r="K7" s="30">
        <f t="shared" si="1"/>
        <v>49.993508324087415</v>
      </c>
      <c r="L7" s="30">
        <f>IF($D$6=0,"",100*$D7/$D$6)</f>
        <v>73.097279428719219</v>
      </c>
      <c r="M7" s="35"/>
      <c r="N7" s="35"/>
      <c r="O7" s="35"/>
      <c r="P7" s="35"/>
      <c r="Q7" s="35"/>
    </row>
    <row r="8" spans="2:17" ht="22.5" outlineLevel="1" x14ac:dyDescent="0.2">
      <c r="B8" s="61" t="s">
        <v>19</v>
      </c>
      <c r="C8" s="21">
        <f>1720495999</f>
        <v>1720495999</v>
      </c>
      <c r="D8" s="21">
        <f>860248008</f>
        <v>860248008</v>
      </c>
      <c r="E8" s="112" t="s">
        <v>90</v>
      </c>
      <c r="F8" s="112" t="s">
        <v>90</v>
      </c>
      <c r="G8" s="112" t="s">
        <v>90</v>
      </c>
      <c r="H8" s="112" t="s">
        <v>90</v>
      </c>
      <c r="I8" s="112" t="s">
        <v>90</v>
      </c>
      <c r="J8" s="30">
        <f t="shared" si="0"/>
        <v>7.0359725415372489</v>
      </c>
      <c r="K8" s="30">
        <f t="shared" si="1"/>
        <v>50.000000494043576</v>
      </c>
      <c r="L8" s="30">
        <f>IF($D$6=0,"",100*$D8/$D$6)</f>
        <v>12.850288461049052</v>
      </c>
      <c r="M8" s="35"/>
      <c r="N8" s="35"/>
      <c r="O8" s="35"/>
      <c r="P8" s="35"/>
      <c r="Q8" s="35"/>
    </row>
    <row r="9" spans="2:17" ht="12.75" customHeight="1" outlineLevel="1" x14ac:dyDescent="0.2">
      <c r="B9" s="61" t="s">
        <v>20</v>
      </c>
      <c r="C9" s="21">
        <f>176907117.5</f>
        <v>176907117.5</v>
      </c>
      <c r="D9" s="58">
        <f>121199180.04</f>
        <v>121199180.04000001</v>
      </c>
      <c r="E9" s="112" t="s">
        <v>90</v>
      </c>
      <c r="F9" s="112" t="s">
        <v>90</v>
      </c>
      <c r="G9" s="112" t="s">
        <v>90</v>
      </c>
      <c r="H9" s="112" t="s">
        <v>90</v>
      </c>
      <c r="I9" s="112" t="s">
        <v>90</v>
      </c>
      <c r="J9" s="30">
        <f t="shared" si="0"/>
        <v>0.99128866895123269</v>
      </c>
      <c r="K9" s="30">
        <f t="shared" si="1"/>
        <v>68.510064350576513</v>
      </c>
      <c r="L9" s="30">
        <f>IF($D$6=0,"",100*$D9/$D$6)</f>
        <v>1.8104597863324765</v>
      </c>
      <c r="M9" s="35"/>
      <c r="N9" s="35"/>
      <c r="O9" s="35"/>
      <c r="P9" s="35"/>
      <c r="Q9" s="35"/>
    </row>
    <row r="10" spans="2:17" ht="12.75" customHeight="1" outlineLevel="1" x14ac:dyDescent="0.2">
      <c r="B10" s="61" t="s">
        <v>21</v>
      </c>
      <c r="C10" s="21">
        <f>C6-C7-C8-C9</f>
        <v>1617869124.0100021</v>
      </c>
      <c r="D10" s="21">
        <f>D6-D7-D8-D9</f>
        <v>819524973.11999989</v>
      </c>
      <c r="E10" s="112" t="s">
        <v>90</v>
      </c>
      <c r="F10" s="112" t="s">
        <v>90</v>
      </c>
      <c r="G10" s="112" t="s">
        <v>90</v>
      </c>
      <c r="H10" s="112" t="s">
        <v>90</v>
      </c>
      <c r="I10" s="112" t="s">
        <v>90</v>
      </c>
      <c r="J10" s="30">
        <f t="shared" si="0"/>
        <v>6.7028986459174345</v>
      </c>
      <c r="K10" s="30">
        <f t="shared" si="1"/>
        <v>50.654590099893227</v>
      </c>
      <c r="L10" s="30">
        <f>IF($D$6=0,"",100*$D10/$D$6)</f>
        <v>12.241972323899258</v>
      </c>
      <c r="M10" s="35"/>
      <c r="N10" s="35"/>
      <c r="O10" s="35"/>
      <c r="P10" s="35"/>
      <c r="Q10" s="35"/>
    </row>
    <row r="11" spans="2:17" ht="27" customHeight="1" x14ac:dyDescent="0.2">
      <c r="B11" s="97" t="s">
        <v>91</v>
      </c>
      <c r="C11" s="56">
        <f>C12+C29+C31</f>
        <v>7707044487.4800005</v>
      </c>
      <c r="D11" s="56">
        <f>D12+D29+D31</f>
        <v>3190217864.9400001</v>
      </c>
      <c r="E11" s="95" t="s">
        <v>90</v>
      </c>
      <c r="F11" s="95" t="s">
        <v>90</v>
      </c>
      <c r="G11" s="95" t="s">
        <v>90</v>
      </c>
      <c r="H11" s="95" t="s">
        <v>90</v>
      </c>
      <c r="I11" s="95" t="s">
        <v>90</v>
      </c>
      <c r="J11" s="57">
        <f t="shared" si="0"/>
        <v>26.092807063192208</v>
      </c>
      <c r="K11" s="57">
        <f t="shared" si="1"/>
        <v>41.393531205411747</v>
      </c>
      <c r="L11" s="59"/>
      <c r="M11" s="35"/>
      <c r="N11" s="35"/>
      <c r="O11" s="35"/>
      <c r="P11" s="35"/>
      <c r="Q11" s="35"/>
    </row>
    <row r="12" spans="2:17" ht="27" customHeight="1" outlineLevel="1" x14ac:dyDescent="0.2">
      <c r="B12" s="104" t="s">
        <v>43</v>
      </c>
      <c r="C12" s="56">
        <f>C13+C15+C17+C19+C21+C23+C25+C27</f>
        <v>1901591035.95</v>
      </c>
      <c r="D12" s="56">
        <f>D13+D15+D17+D19+D21+D23+D25+D27</f>
        <v>1143250005.24</v>
      </c>
      <c r="E12" s="95" t="s">
        <v>90</v>
      </c>
      <c r="F12" s="95" t="s">
        <v>90</v>
      </c>
      <c r="G12" s="95" t="s">
        <v>90</v>
      </c>
      <c r="H12" s="95" t="s">
        <v>90</v>
      </c>
      <c r="I12" s="95" t="s">
        <v>90</v>
      </c>
      <c r="J12" s="57">
        <f t="shared" si="0"/>
        <v>9.3506472205407949</v>
      </c>
      <c r="K12" s="57">
        <f t="shared" si="1"/>
        <v>60.120708586999264</v>
      </c>
      <c r="L12" s="26"/>
      <c r="M12" s="35"/>
      <c r="N12" s="35"/>
      <c r="O12" s="35"/>
      <c r="P12" s="35"/>
      <c r="Q12" s="35"/>
    </row>
    <row r="13" spans="2:17" ht="22.5" outlineLevel="1" x14ac:dyDescent="0.2">
      <c r="B13" s="105" t="s">
        <v>9</v>
      </c>
      <c r="C13" s="21">
        <f>1298900460.89</f>
        <v>1298900460.8900001</v>
      </c>
      <c r="D13" s="21">
        <f>890383502.02</f>
        <v>890383502.01999998</v>
      </c>
      <c r="E13" s="112" t="s">
        <v>90</v>
      </c>
      <c r="F13" s="112" t="s">
        <v>90</v>
      </c>
      <c r="G13" s="112" t="s">
        <v>90</v>
      </c>
      <c r="H13" s="112" t="s">
        <v>90</v>
      </c>
      <c r="I13" s="112" t="s">
        <v>90</v>
      </c>
      <c r="J13" s="30">
        <f t="shared" si="0"/>
        <v>7.2824508901978131</v>
      </c>
      <c r="K13" s="30">
        <f t="shared" si="1"/>
        <v>68.549017328850098</v>
      </c>
      <c r="L13" s="26"/>
      <c r="M13" s="35"/>
      <c r="N13" s="35"/>
      <c r="O13" s="35"/>
      <c r="P13" s="35"/>
      <c r="Q13" s="35"/>
    </row>
    <row r="14" spans="2:17" ht="12.75" customHeight="1" outlineLevel="1" x14ac:dyDescent="0.2">
      <c r="B14" s="115" t="s">
        <v>6</v>
      </c>
      <c r="C14" s="21">
        <f>284000</f>
        <v>284000</v>
      </c>
      <c r="D14" s="21">
        <f>0</f>
        <v>0</v>
      </c>
      <c r="E14" s="112" t="s">
        <v>90</v>
      </c>
      <c r="F14" s="112" t="s">
        <v>90</v>
      </c>
      <c r="G14" s="112" t="s">
        <v>90</v>
      </c>
      <c r="H14" s="112" t="s">
        <v>90</v>
      </c>
      <c r="I14" s="112" t="s">
        <v>90</v>
      </c>
      <c r="J14" s="30">
        <f t="shared" si="0"/>
        <v>0</v>
      </c>
      <c r="K14" s="30">
        <f t="shared" si="1"/>
        <v>0</v>
      </c>
      <c r="L14" s="26"/>
      <c r="M14" s="35"/>
      <c r="N14" s="35"/>
      <c r="O14" s="35"/>
      <c r="P14" s="35"/>
      <c r="Q14" s="35"/>
    </row>
    <row r="15" spans="2:17" ht="12.75" customHeight="1" outlineLevel="1" x14ac:dyDescent="0.2">
      <c r="B15" s="105" t="s">
        <v>7</v>
      </c>
      <c r="C15" s="21">
        <f>65206012.56</f>
        <v>65206012.560000002</v>
      </c>
      <c r="D15" s="21">
        <f>18008429.45</f>
        <v>18008429.449999999</v>
      </c>
      <c r="E15" s="112" t="s">
        <v>90</v>
      </c>
      <c r="F15" s="112" t="s">
        <v>90</v>
      </c>
      <c r="G15" s="112" t="s">
        <v>90</v>
      </c>
      <c r="H15" s="112" t="s">
        <v>90</v>
      </c>
      <c r="I15" s="112" t="s">
        <v>90</v>
      </c>
      <c r="J15" s="30">
        <f t="shared" si="0"/>
        <v>0.14729102996819812</v>
      </c>
      <c r="K15" s="30">
        <f t="shared" si="1"/>
        <v>27.61774373709687</v>
      </c>
      <c r="L15" s="26"/>
      <c r="M15" s="35"/>
      <c r="N15" s="35"/>
      <c r="O15" s="35"/>
      <c r="P15" s="35"/>
      <c r="Q15" s="35"/>
    </row>
    <row r="16" spans="2:17" ht="12.75" customHeight="1" outlineLevel="1" x14ac:dyDescent="0.2">
      <c r="B16" s="115" t="s">
        <v>6</v>
      </c>
      <c r="C16" s="21">
        <f>39478563.56</f>
        <v>39478563.560000002</v>
      </c>
      <c r="D16" s="21">
        <f>4960402.89</f>
        <v>4960402.8899999997</v>
      </c>
      <c r="E16" s="112" t="s">
        <v>90</v>
      </c>
      <c r="F16" s="112" t="s">
        <v>90</v>
      </c>
      <c r="G16" s="112" t="s">
        <v>90</v>
      </c>
      <c r="H16" s="112" t="s">
        <v>90</v>
      </c>
      <c r="I16" s="112" t="s">
        <v>90</v>
      </c>
      <c r="J16" s="30">
        <f t="shared" si="0"/>
        <v>4.0571158787271508E-2</v>
      </c>
      <c r="K16" s="30">
        <f t="shared" si="1"/>
        <v>12.564800850621422</v>
      </c>
      <c r="L16" s="26"/>
      <c r="M16" s="35"/>
      <c r="N16" s="35"/>
      <c r="O16" s="35"/>
      <c r="P16" s="35"/>
      <c r="Q16" s="35"/>
    </row>
    <row r="17" spans="2:17" ht="33.75" outlineLevel="1" x14ac:dyDescent="0.2">
      <c r="B17" s="105" t="s">
        <v>10</v>
      </c>
      <c r="C17" s="21">
        <f>51273751</f>
        <v>51273751</v>
      </c>
      <c r="D17" s="21">
        <f>19827492.96</f>
        <v>19827492.960000001</v>
      </c>
      <c r="E17" s="112" t="s">
        <v>90</v>
      </c>
      <c r="F17" s="112" t="s">
        <v>90</v>
      </c>
      <c r="G17" s="112" t="s">
        <v>90</v>
      </c>
      <c r="H17" s="112" t="s">
        <v>90</v>
      </c>
      <c r="I17" s="112" t="s">
        <v>90</v>
      </c>
      <c r="J17" s="30">
        <f t="shared" si="0"/>
        <v>0.16216915905265672</v>
      </c>
      <c r="K17" s="30">
        <f t="shared" si="1"/>
        <v>38.669870203176671</v>
      </c>
      <c r="L17" s="26"/>
      <c r="M17" s="35"/>
      <c r="N17" s="35"/>
      <c r="O17" s="35"/>
      <c r="P17" s="35"/>
      <c r="Q17" s="35"/>
    </row>
    <row r="18" spans="2:17" ht="12.75" customHeight="1" outlineLevel="1" x14ac:dyDescent="0.2">
      <c r="B18" s="115" t="s">
        <v>6</v>
      </c>
      <c r="C18" s="21">
        <f>7488322</f>
        <v>7488322</v>
      </c>
      <c r="D18" s="21">
        <f>0</f>
        <v>0</v>
      </c>
      <c r="E18" s="112" t="s">
        <v>90</v>
      </c>
      <c r="F18" s="112" t="s">
        <v>90</v>
      </c>
      <c r="G18" s="112" t="s">
        <v>90</v>
      </c>
      <c r="H18" s="112" t="s">
        <v>90</v>
      </c>
      <c r="I18" s="112" t="s">
        <v>90</v>
      </c>
      <c r="J18" s="30">
        <f t="shared" si="0"/>
        <v>0</v>
      </c>
      <c r="K18" s="30">
        <f t="shared" si="1"/>
        <v>0</v>
      </c>
      <c r="L18" s="26"/>
      <c r="M18" s="35"/>
      <c r="N18" s="35"/>
      <c r="O18" s="35"/>
      <c r="P18" s="35"/>
      <c r="Q18" s="35"/>
    </row>
    <row r="19" spans="2:17" ht="24" customHeight="1" outlineLevel="1" x14ac:dyDescent="0.2">
      <c r="B19" s="105" t="s">
        <v>11</v>
      </c>
      <c r="C19" s="21">
        <f>71589195.13</f>
        <v>71589195.129999995</v>
      </c>
      <c r="D19" s="21">
        <f>39890557.81</f>
        <v>39890557.810000002</v>
      </c>
      <c r="E19" s="112" t="s">
        <v>90</v>
      </c>
      <c r="F19" s="112" t="s">
        <v>90</v>
      </c>
      <c r="G19" s="112" t="s">
        <v>90</v>
      </c>
      <c r="H19" s="112" t="s">
        <v>90</v>
      </c>
      <c r="I19" s="112" t="s">
        <v>90</v>
      </c>
      <c r="J19" s="30">
        <f t="shared" si="0"/>
        <v>0.3262650617120223</v>
      </c>
      <c r="K19" s="30">
        <f t="shared" si="1"/>
        <v>55.72147827275063</v>
      </c>
      <c r="L19" s="26"/>
      <c r="M19" s="35"/>
      <c r="N19" s="35"/>
      <c r="O19" s="35"/>
      <c r="P19" s="35"/>
      <c r="Q19" s="35"/>
    </row>
    <row r="20" spans="2:17" ht="12.75" customHeight="1" outlineLevel="1" x14ac:dyDescent="0.2">
      <c r="B20" s="115" t="s">
        <v>6</v>
      </c>
      <c r="C20" s="21">
        <f>24399675.5</f>
        <v>24399675.5</v>
      </c>
      <c r="D20" s="21">
        <f>15202789.61</f>
        <v>15202789.609999999</v>
      </c>
      <c r="E20" s="112" t="s">
        <v>90</v>
      </c>
      <c r="F20" s="112" t="s">
        <v>90</v>
      </c>
      <c r="G20" s="112" t="s">
        <v>90</v>
      </c>
      <c r="H20" s="112" t="s">
        <v>90</v>
      </c>
      <c r="I20" s="112" t="s">
        <v>90</v>
      </c>
      <c r="J20" s="30">
        <f t="shared" si="0"/>
        <v>0.12434368839680913</v>
      </c>
      <c r="K20" s="30">
        <f t="shared" si="1"/>
        <v>62.307343431678014</v>
      </c>
      <c r="L20" s="26"/>
      <c r="M20" s="35"/>
      <c r="N20" s="35"/>
      <c r="O20" s="35"/>
      <c r="P20" s="35"/>
      <c r="Q20" s="35"/>
    </row>
    <row r="21" spans="2:17" ht="33.75" customHeight="1" outlineLevel="1" x14ac:dyDescent="0.2">
      <c r="B21" s="105" t="s">
        <v>63</v>
      </c>
      <c r="C21" s="21">
        <f>232497099.65</f>
        <v>232497099.65000001</v>
      </c>
      <c r="D21" s="21">
        <f>102235764.99</f>
        <v>102235764.98999999</v>
      </c>
      <c r="E21" s="112" t="s">
        <v>90</v>
      </c>
      <c r="F21" s="112" t="s">
        <v>90</v>
      </c>
      <c r="G21" s="112" t="s">
        <v>90</v>
      </c>
      <c r="H21" s="112" t="s">
        <v>90</v>
      </c>
      <c r="I21" s="112" t="s">
        <v>90</v>
      </c>
      <c r="J21" s="30">
        <f t="shared" si="0"/>
        <v>0.83618680722675398</v>
      </c>
      <c r="K21" s="30">
        <f t="shared" si="1"/>
        <v>43.972920584345019</v>
      </c>
      <c r="L21" s="26"/>
      <c r="M21" s="35"/>
      <c r="N21" s="35"/>
      <c r="O21" s="35"/>
      <c r="P21" s="35"/>
      <c r="Q21" s="35"/>
    </row>
    <row r="22" spans="2:17" ht="12.75" customHeight="1" outlineLevel="1" x14ac:dyDescent="0.2">
      <c r="B22" s="115" t="s">
        <v>6</v>
      </c>
      <c r="C22" s="21">
        <f>174773142.8</f>
        <v>174773142.80000001</v>
      </c>
      <c r="D22" s="21">
        <f>73120251.2</f>
        <v>73120251.200000003</v>
      </c>
      <c r="E22" s="112" t="s">
        <v>90</v>
      </c>
      <c r="F22" s="112" t="s">
        <v>90</v>
      </c>
      <c r="G22" s="112" t="s">
        <v>90</v>
      </c>
      <c r="H22" s="112" t="s">
        <v>90</v>
      </c>
      <c r="I22" s="112" t="s">
        <v>90</v>
      </c>
      <c r="J22" s="30">
        <f t="shared" si="0"/>
        <v>0.59805088170980814</v>
      </c>
      <c r="K22" s="30">
        <f t="shared" si="1"/>
        <v>41.837235417614743</v>
      </c>
      <c r="L22" s="26"/>
      <c r="M22" s="35"/>
      <c r="N22" s="35"/>
      <c r="O22" s="35"/>
      <c r="P22" s="35"/>
      <c r="Q22" s="35"/>
    </row>
    <row r="23" spans="2:17" outlineLevel="1" x14ac:dyDescent="0.2">
      <c r="B23" s="105" t="s">
        <v>8</v>
      </c>
      <c r="C23" s="21">
        <f>66185758.72</f>
        <v>66185758.719999999</v>
      </c>
      <c r="D23" s="21">
        <f>48331035.01</f>
        <v>48331035.009999998</v>
      </c>
      <c r="E23" s="112" t="s">
        <v>90</v>
      </c>
      <c r="F23" s="112" t="s">
        <v>90</v>
      </c>
      <c r="G23" s="112" t="s">
        <v>90</v>
      </c>
      <c r="H23" s="112" t="s">
        <v>90</v>
      </c>
      <c r="I23" s="112" t="s">
        <v>90</v>
      </c>
      <c r="J23" s="30">
        <f t="shared" si="0"/>
        <v>0.39529976480275142</v>
      </c>
      <c r="K23" s="30">
        <f t="shared" si="1"/>
        <v>73.023314901420534</v>
      </c>
      <c r="L23" s="26"/>
      <c r="M23" s="35"/>
      <c r="N23" s="35"/>
      <c r="O23" s="35"/>
      <c r="P23" s="35"/>
      <c r="Q23" s="35"/>
    </row>
    <row r="24" spans="2:17" ht="12.75" customHeight="1" outlineLevel="1" x14ac:dyDescent="0.2">
      <c r="B24" s="115" t="s">
        <v>6</v>
      </c>
      <c r="C24" s="21">
        <f>13750000</f>
        <v>13750000</v>
      </c>
      <c r="D24" s="21">
        <f>13750000</f>
        <v>13750000</v>
      </c>
      <c r="E24" s="112" t="s">
        <v>90</v>
      </c>
      <c r="F24" s="112" t="s">
        <v>90</v>
      </c>
      <c r="G24" s="112" t="s">
        <v>90</v>
      </c>
      <c r="H24" s="112" t="s">
        <v>90</v>
      </c>
      <c r="I24" s="112" t="s">
        <v>90</v>
      </c>
      <c r="J24" s="30">
        <f t="shared" si="0"/>
        <v>0.11246131527936902</v>
      </c>
      <c r="K24" s="30">
        <f t="shared" si="1"/>
        <v>100</v>
      </c>
      <c r="L24" s="26"/>
      <c r="M24" s="35"/>
      <c r="N24" s="35"/>
      <c r="O24" s="35"/>
      <c r="P24" s="35"/>
      <c r="Q24" s="35"/>
    </row>
    <row r="25" spans="2:17" ht="67.5" outlineLevel="1" x14ac:dyDescent="0.2">
      <c r="B25" s="105" t="s">
        <v>81</v>
      </c>
      <c r="C25" s="21">
        <f>0</f>
        <v>0</v>
      </c>
      <c r="D25" s="21">
        <f>0</f>
        <v>0</v>
      </c>
      <c r="E25" s="112" t="s">
        <v>90</v>
      </c>
      <c r="F25" s="112" t="s">
        <v>90</v>
      </c>
      <c r="G25" s="112" t="s">
        <v>90</v>
      </c>
      <c r="H25" s="112" t="s">
        <v>90</v>
      </c>
      <c r="I25" s="112" t="s">
        <v>90</v>
      </c>
      <c r="J25" s="30">
        <f t="shared" si="0"/>
        <v>0</v>
      </c>
      <c r="K25" s="30" t="str">
        <f t="shared" si="1"/>
        <v/>
      </c>
      <c r="L25" s="26"/>
      <c r="M25" s="35"/>
      <c r="N25" s="35"/>
      <c r="O25" s="35"/>
      <c r="P25" s="35"/>
      <c r="Q25" s="35"/>
    </row>
    <row r="26" spans="2:17" ht="12.75" customHeight="1" outlineLevel="1" x14ac:dyDescent="0.2">
      <c r="B26" s="115" t="s">
        <v>82</v>
      </c>
      <c r="C26" s="21">
        <f>0</f>
        <v>0</v>
      </c>
      <c r="D26" s="21">
        <f>0</f>
        <v>0</v>
      </c>
      <c r="E26" s="112" t="s">
        <v>90</v>
      </c>
      <c r="F26" s="112" t="s">
        <v>90</v>
      </c>
      <c r="G26" s="112" t="s">
        <v>90</v>
      </c>
      <c r="H26" s="112" t="s">
        <v>90</v>
      </c>
      <c r="I26" s="112" t="s">
        <v>90</v>
      </c>
      <c r="J26" s="30">
        <f t="shared" si="0"/>
        <v>0</v>
      </c>
      <c r="K26" s="30" t="str">
        <f t="shared" si="1"/>
        <v/>
      </c>
      <c r="L26" s="26"/>
      <c r="M26" s="35"/>
      <c r="N26" s="35"/>
      <c r="O26" s="35"/>
      <c r="P26" s="35"/>
      <c r="Q26" s="35"/>
    </row>
    <row r="27" spans="2:17" ht="45" outlineLevel="1" x14ac:dyDescent="0.2">
      <c r="B27" s="116" t="s">
        <v>80</v>
      </c>
      <c r="C27" s="68">
        <f>115938758</f>
        <v>115938758</v>
      </c>
      <c r="D27" s="68">
        <f>24573223</f>
        <v>24573223</v>
      </c>
      <c r="E27" s="112" t="s">
        <v>90</v>
      </c>
      <c r="F27" s="112" t="s">
        <v>90</v>
      </c>
      <c r="G27" s="112" t="s">
        <v>90</v>
      </c>
      <c r="H27" s="112" t="s">
        <v>90</v>
      </c>
      <c r="I27" s="112" t="s">
        <v>90</v>
      </c>
      <c r="J27" s="69">
        <f t="shared" si="0"/>
        <v>0.20098450758059944</v>
      </c>
      <c r="K27" s="69">
        <f t="shared" si="1"/>
        <v>21.195002796217636</v>
      </c>
      <c r="L27" s="26"/>
      <c r="M27" s="35"/>
      <c r="N27" s="35"/>
      <c r="O27" s="35"/>
      <c r="P27" s="35"/>
      <c r="Q27" s="35"/>
    </row>
    <row r="28" spans="2:17" ht="12.75" customHeight="1" outlineLevel="1" x14ac:dyDescent="0.2">
      <c r="B28" s="115" t="s">
        <v>6</v>
      </c>
      <c r="C28" s="21">
        <f>115744202</f>
        <v>115744202</v>
      </c>
      <c r="D28" s="21">
        <f>24378667</f>
        <v>24378667</v>
      </c>
      <c r="E28" s="112" t="s">
        <v>90</v>
      </c>
      <c r="F28" s="112" t="s">
        <v>90</v>
      </c>
      <c r="G28" s="112" t="s">
        <v>90</v>
      </c>
      <c r="H28" s="112" t="s">
        <v>90</v>
      </c>
      <c r="I28" s="112" t="s">
        <v>90</v>
      </c>
      <c r="J28" s="30">
        <f t="shared" si="0"/>
        <v>0.19939323313292723</v>
      </c>
      <c r="K28" s="30">
        <f t="shared" si="1"/>
        <v>21.062538406891431</v>
      </c>
      <c r="L28" s="26"/>
      <c r="M28" s="35"/>
      <c r="N28" s="35"/>
      <c r="O28" s="35"/>
      <c r="P28" s="35"/>
      <c r="Q28" s="35"/>
    </row>
    <row r="29" spans="2:17" ht="13.5" customHeight="1" outlineLevel="1" x14ac:dyDescent="0.2">
      <c r="B29" s="104" t="s">
        <v>54</v>
      </c>
      <c r="C29" s="56">
        <f>1139339072.22</f>
        <v>1139339072.22</v>
      </c>
      <c r="D29" s="56">
        <f>454269956.29</f>
        <v>454269956.29000002</v>
      </c>
      <c r="E29" s="95" t="s">
        <v>90</v>
      </c>
      <c r="F29" s="95" t="s">
        <v>90</v>
      </c>
      <c r="G29" s="95" t="s">
        <v>90</v>
      </c>
      <c r="H29" s="95" t="s">
        <v>90</v>
      </c>
      <c r="I29" s="95" t="s">
        <v>90</v>
      </c>
      <c r="J29" s="57">
        <f t="shared" si="0"/>
        <v>3.7154761291836276</v>
      </c>
      <c r="K29" s="57">
        <f t="shared" si="1"/>
        <v>39.871357646398963</v>
      </c>
      <c r="L29" s="26"/>
      <c r="M29" s="35"/>
      <c r="N29" s="35"/>
      <c r="O29" s="35"/>
      <c r="P29" s="35"/>
      <c r="Q29" s="35"/>
    </row>
    <row r="30" spans="2:17" ht="12.75" customHeight="1" outlineLevel="1" x14ac:dyDescent="0.2">
      <c r="B30" s="106" t="s">
        <v>55</v>
      </c>
      <c r="C30" s="20">
        <f>568201733</f>
        <v>568201733</v>
      </c>
      <c r="D30" s="20">
        <f>179959742.28</f>
        <v>179959742.28</v>
      </c>
      <c r="E30" s="112" t="s">
        <v>90</v>
      </c>
      <c r="F30" s="112" t="s">
        <v>90</v>
      </c>
      <c r="G30" s="112" t="s">
        <v>90</v>
      </c>
      <c r="H30" s="112" t="s">
        <v>90</v>
      </c>
      <c r="I30" s="112" t="s">
        <v>90</v>
      </c>
      <c r="J30" s="30">
        <f t="shared" si="0"/>
        <v>1.4718915864832782</v>
      </c>
      <c r="K30" s="30">
        <f t="shared" si="1"/>
        <v>31.671804541997059</v>
      </c>
      <c r="L30" s="26"/>
      <c r="M30" s="35"/>
      <c r="N30" s="35"/>
      <c r="O30" s="35"/>
      <c r="P30" s="35"/>
      <c r="Q30" s="35"/>
    </row>
    <row r="31" spans="2:17" ht="14.25" customHeight="1" outlineLevel="1" x14ac:dyDescent="0.2">
      <c r="B31" s="104" t="s">
        <v>69</v>
      </c>
      <c r="C31" s="56">
        <f>4666114379.31</f>
        <v>4666114379.3100004</v>
      </c>
      <c r="D31" s="56">
        <f>1592697903.41</f>
        <v>1592697903.4100001</v>
      </c>
      <c r="E31" s="95" t="s">
        <v>90</v>
      </c>
      <c r="F31" s="95" t="s">
        <v>90</v>
      </c>
      <c r="G31" s="95" t="s">
        <v>90</v>
      </c>
      <c r="H31" s="95" t="s">
        <v>90</v>
      </c>
      <c r="I31" s="95" t="s">
        <v>90</v>
      </c>
      <c r="J31" s="60">
        <f t="shared" si="0"/>
        <v>13.026683713467785</v>
      </c>
      <c r="K31" s="60">
        <f t="shared" si="1"/>
        <v>34.133280368611956</v>
      </c>
      <c r="L31" s="26"/>
      <c r="M31" s="35"/>
      <c r="N31" s="35"/>
      <c r="O31" s="35"/>
      <c r="P31" s="35"/>
      <c r="Q31" s="35"/>
    </row>
    <row r="32" spans="2:17" ht="12.75" customHeight="1" outlineLevel="1" x14ac:dyDescent="0.2">
      <c r="B32" s="106" t="s">
        <v>70</v>
      </c>
      <c r="C32" s="20">
        <f>2920064086.97</f>
        <v>2920064086.9699998</v>
      </c>
      <c r="D32" s="20">
        <f>797170340.9</f>
        <v>797170340.89999998</v>
      </c>
      <c r="E32" s="112" t="s">
        <v>90</v>
      </c>
      <c r="F32" s="112" t="s">
        <v>90</v>
      </c>
      <c r="G32" s="112" t="s">
        <v>90</v>
      </c>
      <c r="H32" s="112" t="s">
        <v>90</v>
      </c>
      <c r="I32" s="112" t="s">
        <v>90</v>
      </c>
      <c r="J32" s="30">
        <f t="shared" si="0"/>
        <v>6.5200600028594167</v>
      </c>
      <c r="K32" s="30">
        <f t="shared" si="1"/>
        <v>27.299754976514322</v>
      </c>
      <c r="L32" s="26"/>
      <c r="M32" s="35"/>
      <c r="N32" s="35"/>
      <c r="O32" s="35"/>
      <c r="P32" s="35"/>
      <c r="Q32" s="35"/>
    </row>
    <row r="33" spans="1:26" s="5" customFormat="1" ht="27" customHeight="1" x14ac:dyDescent="0.2">
      <c r="B33" s="97" t="s">
        <v>44</v>
      </c>
      <c r="C33" s="22">
        <f>C34+C35+C36+C37</f>
        <v>4239995489</v>
      </c>
      <c r="D33" s="22">
        <f>D34+D35+D36+D37</f>
        <v>2341821838</v>
      </c>
      <c r="E33" s="95" t="s">
        <v>90</v>
      </c>
      <c r="F33" s="95" t="s">
        <v>90</v>
      </c>
      <c r="G33" s="95" t="s">
        <v>90</v>
      </c>
      <c r="H33" s="95" t="s">
        <v>90</v>
      </c>
      <c r="I33" s="95" t="s">
        <v>90</v>
      </c>
      <c r="J33" s="29">
        <f t="shared" si="0"/>
        <v>19.153771931013051</v>
      </c>
      <c r="K33" s="29">
        <f t="shared" si="1"/>
        <v>55.231705884487084</v>
      </c>
      <c r="L33" s="27"/>
      <c r="M33" s="49"/>
      <c r="N33" s="49"/>
      <c r="O33" s="49"/>
      <c r="P33" s="49"/>
      <c r="Q33" s="49"/>
    </row>
    <row r="34" spans="1:26" ht="12.75" customHeight="1" outlineLevel="1" x14ac:dyDescent="0.2">
      <c r="B34" s="61" t="s">
        <v>30</v>
      </c>
      <c r="C34" s="21">
        <f>685549549</f>
        <v>685549549</v>
      </c>
      <c r="D34" s="21">
        <f>419491688</f>
        <v>419491688</v>
      </c>
      <c r="E34" s="112" t="s">
        <v>90</v>
      </c>
      <c r="F34" s="112" t="s">
        <v>90</v>
      </c>
      <c r="G34" s="112" t="s">
        <v>90</v>
      </c>
      <c r="H34" s="112" t="s">
        <v>90</v>
      </c>
      <c r="I34" s="112" t="s">
        <v>90</v>
      </c>
      <c r="J34" s="30">
        <f t="shared" si="0"/>
        <v>3.4310245077267423</v>
      </c>
      <c r="K34" s="30">
        <f t="shared" si="1"/>
        <v>61.190571653340847</v>
      </c>
      <c r="L34" s="27"/>
      <c r="M34" s="35"/>
      <c r="N34" s="35"/>
      <c r="O34" s="35"/>
      <c r="P34" s="35"/>
      <c r="Q34" s="35"/>
    </row>
    <row r="35" spans="1:26" ht="12.75" customHeight="1" outlineLevel="1" x14ac:dyDescent="0.2">
      <c r="B35" s="61" t="s">
        <v>41</v>
      </c>
      <c r="C35" s="21">
        <f>884998923</f>
        <v>884998923</v>
      </c>
      <c r="D35" s="21">
        <f>442499466</f>
        <v>442499466</v>
      </c>
      <c r="E35" s="112" t="s">
        <v>90</v>
      </c>
      <c r="F35" s="112" t="s">
        <v>90</v>
      </c>
      <c r="G35" s="112" t="s">
        <v>90</v>
      </c>
      <c r="H35" s="112" t="s">
        <v>90</v>
      </c>
      <c r="I35" s="112" t="s">
        <v>90</v>
      </c>
      <c r="J35" s="30">
        <f t="shared" si="0"/>
        <v>3.6192052332202498</v>
      </c>
      <c r="K35" s="30">
        <f t="shared" si="1"/>
        <v>50.000000508475196</v>
      </c>
      <c r="L35" s="27"/>
      <c r="M35" s="35"/>
      <c r="N35" s="35"/>
      <c r="O35" s="35"/>
      <c r="P35" s="35"/>
      <c r="Q35" s="35"/>
    </row>
    <row r="36" spans="1:26" ht="12.75" customHeight="1" outlineLevel="1" x14ac:dyDescent="0.2">
      <c r="B36" s="61" t="s">
        <v>31</v>
      </c>
      <c r="C36" s="21">
        <f>2319661345</f>
        <v>2319661345</v>
      </c>
      <c r="D36" s="21">
        <f>1159830684</f>
        <v>1159830684</v>
      </c>
      <c r="E36" s="112" t="s">
        <v>90</v>
      </c>
      <c r="F36" s="112" t="s">
        <v>90</v>
      </c>
      <c r="G36" s="112" t="s">
        <v>90</v>
      </c>
      <c r="H36" s="112" t="s">
        <v>90</v>
      </c>
      <c r="I36" s="112" t="s">
        <v>90</v>
      </c>
      <c r="J36" s="30">
        <f t="shared" si="0"/>
        <v>9.4862606708371082</v>
      </c>
      <c r="K36" s="30">
        <f t="shared" si="1"/>
        <v>50.000000495762023</v>
      </c>
      <c r="L36" s="27"/>
      <c r="M36" s="35"/>
      <c r="N36" s="35"/>
      <c r="O36" s="35"/>
      <c r="P36" s="35"/>
      <c r="Q36" s="35"/>
    </row>
    <row r="37" spans="1:26" s="5" customFormat="1" ht="12.75" customHeight="1" outlineLevel="1" x14ac:dyDescent="0.2">
      <c r="B37" s="61" t="s">
        <v>29</v>
      </c>
      <c r="C37" s="21">
        <f>349785672</f>
        <v>349785672</v>
      </c>
      <c r="D37" s="21">
        <f>320000000</f>
        <v>320000000</v>
      </c>
      <c r="E37" s="112" t="s">
        <v>90</v>
      </c>
      <c r="F37" s="112" t="s">
        <v>90</v>
      </c>
      <c r="G37" s="112" t="s">
        <v>90</v>
      </c>
      <c r="H37" s="112" t="s">
        <v>90</v>
      </c>
      <c r="I37" s="112" t="s">
        <v>90</v>
      </c>
      <c r="J37" s="30">
        <f t="shared" si="0"/>
        <v>2.617281519228952</v>
      </c>
      <c r="K37" s="30">
        <f t="shared" si="1"/>
        <v>91.484593456989856</v>
      </c>
      <c r="L37" s="27"/>
      <c r="M37" s="49"/>
      <c r="N37" s="49"/>
      <c r="O37" s="49"/>
      <c r="P37" s="49"/>
      <c r="Q37" s="49"/>
    </row>
    <row r="38" spans="1:26" s="5" customFormat="1" x14ac:dyDescent="0.2">
      <c r="B38" s="100" t="s">
        <v>97</v>
      </c>
      <c r="C38" s="56">
        <f>+C5</f>
        <v>25250412216.990002</v>
      </c>
      <c r="D38" s="56">
        <f>+D5</f>
        <v>12226426452.370001</v>
      </c>
      <c r="E38" s="95" t="s">
        <v>90</v>
      </c>
      <c r="F38" s="95" t="s">
        <v>90</v>
      </c>
      <c r="G38" s="95" t="s">
        <v>90</v>
      </c>
      <c r="H38" s="95" t="s">
        <v>90</v>
      </c>
      <c r="I38" s="95" t="s">
        <v>90</v>
      </c>
      <c r="J38" s="60">
        <f>IF($D$5=0,"",100*$D38/$D$38)</f>
        <v>100</v>
      </c>
      <c r="K38" s="92">
        <f t="shared" si="1"/>
        <v>48.42070041194544</v>
      </c>
      <c r="L38" s="94"/>
      <c r="M38" s="49"/>
      <c r="N38" s="49"/>
      <c r="O38" s="49"/>
      <c r="P38" s="49"/>
      <c r="Q38" s="49"/>
    </row>
    <row r="39" spans="1:26" s="5" customFormat="1" x14ac:dyDescent="0.2">
      <c r="B39" s="101" t="s">
        <v>57</v>
      </c>
      <c r="C39" s="21">
        <f>4518401597.33</f>
        <v>4518401597.3299999</v>
      </c>
      <c r="D39" s="21">
        <f>1265797044.08</f>
        <v>1265797044.0799999</v>
      </c>
      <c r="E39" s="112" t="s">
        <v>90</v>
      </c>
      <c r="F39" s="112" t="s">
        <v>90</v>
      </c>
      <c r="G39" s="112" t="s">
        <v>90</v>
      </c>
      <c r="H39" s="112" t="s">
        <v>90</v>
      </c>
      <c r="I39" s="112" t="s">
        <v>90</v>
      </c>
      <c r="J39" s="30">
        <f>IF($D$5=0,"",100*$D39/$D$38)</f>
        <v>10.352960033016309</v>
      </c>
      <c r="K39" s="93">
        <f t="shared" si="1"/>
        <v>28.014266036644042</v>
      </c>
      <c r="L39" s="94"/>
      <c r="M39" s="49"/>
      <c r="N39" s="49"/>
      <c r="O39" s="49"/>
      <c r="P39" s="49"/>
      <c r="Q39" s="49"/>
    </row>
    <row r="40" spans="1:26" s="5" customFormat="1" x14ac:dyDescent="0.2">
      <c r="A40" s="2"/>
      <c r="B40" s="101" t="s">
        <v>58</v>
      </c>
      <c r="C40" s="21">
        <f>C38-C39</f>
        <v>20732010619.660004</v>
      </c>
      <c r="D40" s="21">
        <f>D38-D39</f>
        <v>10960629408.290001</v>
      </c>
      <c r="E40" s="112" t="s">
        <v>90</v>
      </c>
      <c r="F40" s="112" t="s">
        <v>90</v>
      </c>
      <c r="G40" s="112" t="s">
        <v>90</v>
      </c>
      <c r="H40" s="112" t="s">
        <v>90</v>
      </c>
      <c r="I40" s="112" t="s">
        <v>90</v>
      </c>
      <c r="J40" s="30">
        <f>IF($D$5=0,"",100*$D40/$D$38)</f>
        <v>89.647039966983698</v>
      </c>
      <c r="K40" s="93">
        <f t="shared" si="1"/>
        <v>52.86814486722345</v>
      </c>
      <c r="L40" s="94"/>
      <c r="M40" s="50"/>
      <c r="N40" s="50"/>
      <c r="O40" s="51"/>
      <c r="P40" s="51"/>
      <c r="Q40" s="19"/>
    </row>
    <row r="41" spans="1:26" ht="18" customHeight="1" x14ac:dyDescent="0.2">
      <c r="B41" s="102" t="str">
        <f>CONCATENATE("Informacja z wykonania budżetów województw za ",$D$97," ",$C$98," rok    ",$C$100,"")</f>
        <v xml:space="preserve">Informacja z wykonania budżetów województw za II Kwartały 2022 rok    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26" s="5" customFormat="1" ht="10.5" customHeight="1" x14ac:dyDescent="0.2">
      <c r="B42" s="6"/>
      <c r="C42" s="7"/>
      <c r="D42" s="8"/>
      <c r="E42" s="8"/>
      <c r="F42" s="4"/>
      <c r="G42" s="4"/>
      <c r="H42" s="4"/>
      <c r="I42" s="4"/>
      <c r="J42" s="4"/>
      <c r="K42" s="9"/>
      <c r="L42" s="9"/>
      <c r="M42" s="3"/>
    </row>
    <row r="43" spans="1:26" ht="29.25" customHeight="1" x14ac:dyDescent="0.2">
      <c r="B43" s="128" t="s">
        <v>0</v>
      </c>
      <c r="C43" s="119" t="s">
        <v>37</v>
      </c>
      <c r="D43" s="119" t="s">
        <v>39</v>
      </c>
      <c r="E43" s="119" t="s">
        <v>38</v>
      </c>
      <c r="F43" s="119" t="s">
        <v>12</v>
      </c>
      <c r="G43" s="119"/>
      <c r="H43" s="119"/>
      <c r="I43" s="147" t="s">
        <v>71</v>
      </c>
      <c r="J43" s="119" t="s">
        <v>2</v>
      </c>
      <c r="K43" s="151" t="s">
        <v>18</v>
      </c>
      <c r="M43" s="10"/>
      <c r="N43" s="5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" customHeight="1" x14ac:dyDescent="0.2">
      <c r="B44" s="128"/>
      <c r="C44" s="119"/>
      <c r="D44" s="119"/>
      <c r="E44" s="120"/>
      <c r="F44" s="121" t="s">
        <v>40</v>
      </c>
      <c r="G44" s="126" t="s">
        <v>25</v>
      </c>
      <c r="H44" s="120"/>
      <c r="I44" s="148"/>
      <c r="J44" s="119"/>
      <c r="K44" s="151"/>
      <c r="L44" s="11"/>
      <c r="M44" s="12"/>
      <c r="N44" s="5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55.5" customHeight="1" x14ac:dyDescent="0.2">
      <c r="B45" s="128"/>
      <c r="C45" s="119"/>
      <c r="D45" s="119"/>
      <c r="E45" s="120"/>
      <c r="F45" s="120"/>
      <c r="G45" s="15" t="s">
        <v>35</v>
      </c>
      <c r="H45" s="15" t="s">
        <v>36</v>
      </c>
      <c r="I45" s="149"/>
      <c r="J45" s="119"/>
      <c r="K45" s="151"/>
      <c r="L45" s="11"/>
      <c r="M45" s="10"/>
      <c r="N45" s="5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 x14ac:dyDescent="0.2">
      <c r="B46" s="128"/>
      <c r="C46" s="135" t="s">
        <v>62</v>
      </c>
      <c r="D46" s="136"/>
      <c r="E46" s="136"/>
      <c r="F46" s="136"/>
      <c r="G46" s="136"/>
      <c r="H46" s="136"/>
      <c r="I46" s="137"/>
      <c r="J46" s="150" t="s">
        <v>4</v>
      </c>
      <c r="K46" s="15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B47" s="14">
        <v>1</v>
      </c>
      <c r="C47" s="16">
        <v>2</v>
      </c>
      <c r="D47" s="16">
        <v>3</v>
      </c>
      <c r="E47" s="16">
        <v>4</v>
      </c>
      <c r="F47" s="14">
        <v>5</v>
      </c>
      <c r="G47" s="14">
        <v>6</v>
      </c>
      <c r="H47" s="16">
        <v>7</v>
      </c>
      <c r="I47" s="16">
        <v>8</v>
      </c>
      <c r="J47" s="14">
        <v>9</v>
      </c>
      <c r="K47" s="16">
        <v>10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7" customHeight="1" x14ac:dyDescent="0.2">
      <c r="B48" s="96" t="s">
        <v>45</v>
      </c>
      <c r="C48" s="62">
        <f>28266570823.07</f>
        <v>28266570823.07</v>
      </c>
      <c r="D48" s="73">
        <f>8856762764.96</f>
        <v>8856762764.9599991</v>
      </c>
      <c r="E48" s="73">
        <f>19659436969.82</f>
        <v>19659436969.82</v>
      </c>
      <c r="F48" s="62">
        <f>403818481.31</f>
        <v>403818481.31</v>
      </c>
      <c r="G48" s="62">
        <f>0</f>
        <v>0</v>
      </c>
      <c r="H48" s="62">
        <f>2329579.48</f>
        <v>2329579.48</v>
      </c>
      <c r="I48" s="74">
        <f>0</f>
        <v>0</v>
      </c>
      <c r="J48" s="48">
        <f>IF($D$48=0,"",100*$D48/$D$48)</f>
        <v>100</v>
      </c>
      <c r="K48" s="48">
        <f>IF(C48=0,"",100*D48/C48)</f>
        <v>31.332993380758719</v>
      </c>
      <c r="L48" s="35"/>
      <c r="O48" s="89"/>
    </row>
    <row r="49" spans="2:15" x14ac:dyDescent="0.2">
      <c r="B49" s="97" t="s">
        <v>14</v>
      </c>
      <c r="C49" s="23">
        <f>11404514149.21</f>
        <v>11404514149.209999</v>
      </c>
      <c r="D49" s="23">
        <f>1931535862.21</f>
        <v>1931535862.21</v>
      </c>
      <c r="E49" s="23">
        <f>7431961092.48</f>
        <v>7431961092.4799995</v>
      </c>
      <c r="F49" s="23">
        <f>144275493.86</f>
        <v>144275493.86000001</v>
      </c>
      <c r="G49" s="23">
        <f>0</f>
        <v>0</v>
      </c>
      <c r="H49" s="23">
        <f>2276492.23</f>
        <v>2276492.23</v>
      </c>
      <c r="I49" s="75">
        <f>0</f>
        <v>0</v>
      </c>
      <c r="J49" s="48">
        <f t="shared" ref="J49:J57" si="2">IF($D$48=0,"",100*$D49/$D$48)</f>
        <v>21.808598846654593</v>
      </c>
      <c r="K49" s="48">
        <f t="shared" ref="K49:K57" si="3">IF(C49=0,"",100*D49/C49)</f>
        <v>16.936590519674169</v>
      </c>
      <c r="L49" s="35"/>
      <c r="O49" s="82"/>
    </row>
    <row r="50" spans="2:15" ht="12.75" customHeight="1" outlineLevel="1" x14ac:dyDescent="0.2">
      <c r="B50" s="28" t="s">
        <v>13</v>
      </c>
      <c r="C50" s="20">
        <f>11054411158.21</f>
        <v>11054411158.209999</v>
      </c>
      <c r="D50" s="20">
        <f>1792465317.47</f>
        <v>1792465317.47</v>
      </c>
      <c r="E50" s="20">
        <f>7197670502.74</f>
        <v>7197670502.7399998</v>
      </c>
      <c r="F50" s="20">
        <f>144275493.86</f>
        <v>144275493.86000001</v>
      </c>
      <c r="G50" s="20">
        <f>0</f>
        <v>0</v>
      </c>
      <c r="H50" s="20">
        <f>2276492.23</f>
        <v>2276492.23</v>
      </c>
      <c r="I50" s="76">
        <f>0</f>
        <v>0</v>
      </c>
      <c r="J50" s="48">
        <f t="shared" si="2"/>
        <v>20.238380151284264</v>
      </c>
      <c r="K50" s="48">
        <f t="shared" si="3"/>
        <v>16.214932589500744</v>
      </c>
      <c r="L50" s="35"/>
      <c r="O50" s="88"/>
    </row>
    <row r="51" spans="2:15" ht="27" customHeight="1" x14ac:dyDescent="0.2">
      <c r="B51" s="97" t="s">
        <v>46</v>
      </c>
      <c r="C51" s="23">
        <f t="shared" ref="C51:I51" si="4">C48-C49</f>
        <v>16862056673.860001</v>
      </c>
      <c r="D51" s="23">
        <f>D48-D49</f>
        <v>6925226902.749999</v>
      </c>
      <c r="E51" s="23">
        <f>E48-E49</f>
        <v>12227475877.34</v>
      </c>
      <c r="F51" s="23">
        <f t="shared" si="4"/>
        <v>259542987.44999999</v>
      </c>
      <c r="G51" s="23">
        <f t="shared" si="4"/>
        <v>0</v>
      </c>
      <c r="H51" s="23">
        <f t="shared" si="4"/>
        <v>53087.25</v>
      </c>
      <c r="I51" s="75">
        <f t="shared" si="4"/>
        <v>0</v>
      </c>
      <c r="J51" s="48">
        <f t="shared" si="2"/>
        <v>78.191401153345396</v>
      </c>
      <c r="K51" s="48">
        <f t="shared" si="3"/>
        <v>41.069882735512721</v>
      </c>
      <c r="L51" s="35"/>
      <c r="O51" s="82"/>
    </row>
    <row r="52" spans="2:15" ht="22.5" outlineLevel="1" x14ac:dyDescent="0.2">
      <c r="B52" s="28" t="s">
        <v>83</v>
      </c>
      <c r="C52" s="20">
        <f>3998402673.86</f>
        <v>3998402673.8600001</v>
      </c>
      <c r="D52" s="20">
        <f>1872462216.46</f>
        <v>1872462216.46</v>
      </c>
      <c r="E52" s="20">
        <f>3445926546.71</f>
        <v>3445926546.71</v>
      </c>
      <c r="F52" s="20">
        <f>46813255.48</f>
        <v>46813255.479999997</v>
      </c>
      <c r="G52" s="20">
        <f>0</f>
        <v>0</v>
      </c>
      <c r="H52" s="20">
        <f>0</f>
        <v>0</v>
      </c>
      <c r="I52" s="76">
        <f>0</f>
        <v>0</v>
      </c>
      <c r="J52" s="48">
        <f t="shared" si="2"/>
        <v>21.141609707194824</v>
      </c>
      <c r="K52" s="48">
        <f t="shared" si="3"/>
        <v>46.830256209596619</v>
      </c>
      <c r="L52" s="35"/>
      <c r="O52" s="88"/>
    </row>
    <row r="53" spans="2:15" ht="12.75" customHeight="1" outlineLevel="1" x14ac:dyDescent="0.2">
      <c r="B53" s="61" t="s">
        <v>34</v>
      </c>
      <c r="C53" s="63">
        <f>6513066648.39</f>
        <v>6513066648.3900003</v>
      </c>
      <c r="D53" s="63">
        <f>3096860373.26</f>
        <v>3096860373.2600002</v>
      </c>
      <c r="E53" s="63">
        <f>5348738883.02</f>
        <v>5348738883.0200005</v>
      </c>
      <c r="F53" s="63">
        <f>13313001.71</f>
        <v>13313001.710000001</v>
      </c>
      <c r="G53" s="63">
        <f>0</f>
        <v>0</v>
      </c>
      <c r="H53" s="63">
        <f>0</f>
        <v>0</v>
      </c>
      <c r="I53" s="77">
        <f>0</f>
        <v>0</v>
      </c>
      <c r="J53" s="48">
        <f t="shared" si="2"/>
        <v>34.966053121712882</v>
      </c>
      <c r="K53" s="48">
        <f t="shared" si="3"/>
        <v>47.548421357326802</v>
      </c>
      <c r="L53" s="35"/>
      <c r="O53" s="82"/>
    </row>
    <row r="54" spans="2:15" ht="12.75" customHeight="1" outlineLevel="1" x14ac:dyDescent="0.2">
      <c r="B54" s="61" t="s">
        <v>33</v>
      </c>
      <c r="C54" s="21">
        <f>236342351.08</f>
        <v>236342351.08000001</v>
      </c>
      <c r="D54" s="21">
        <f>83437272.1</f>
        <v>83437272.099999994</v>
      </c>
      <c r="E54" s="21">
        <f>119792040.33</f>
        <v>119792040.33</v>
      </c>
      <c r="F54" s="21">
        <f>5237975.66</f>
        <v>5237975.66</v>
      </c>
      <c r="G54" s="21">
        <f>0</f>
        <v>0</v>
      </c>
      <c r="H54" s="21">
        <f>0</f>
        <v>0</v>
      </c>
      <c r="I54" s="78">
        <f>0</f>
        <v>0</v>
      </c>
      <c r="J54" s="48">
        <f t="shared" si="2"/>
        <v>0.94207414508270204</v>
      </c>
      <c r="K54" s="48">
        <f t="shared" si="3"/>
        <v>35.303563546153072</v>
      </c>
      <c r="L54" s="35"/>
      <c r="O54" s="88"/>
    </row>
    <row r="55" spans="2:15" ht="22.5" customHeight="1" outlineLevel="1" x14ac:dyDescent="0.2">
      <c r="B55" s="61" t="s">
        <v>52</v>
      </c>
      <c r="C55" s="63">
        <f>118930331.03</f>
        <v>118930331.03</v>
      </c>
      <c r="D55" s="63">
        <f>8463352.89</f>
        <v>8463352.8900000006</v>
      </c>
      <c r="E55" s="63">
        <f>22288438.05</f>
        <v>22288438.050000001</v>
      </c>
      <c r="F55" s="63">
        <f>0</f>
        <v>0</v>
      </c>
      <c r="G55" s="63">
        <f>0</f>
        <v>0</v>
      </c>
      <c r="H55" s="63">
        <f>0</f>
        <v>0</v>
      </c>
      <c r="I55" s="77">
        <f>0</f>
        <v>0</v>
      </c>
      <c r="J55" s="48">
        <f t="shared" si="2"/>
        <v>9.5558084986577196E-2</v>
      </c>
      <c r="K55" s="48">
        <f t="shared" si="3"/>
        <v>7.1162274725907659</v>
      </c>
      <c r="L55" s="35"/>
      <c r="O55" s="82"/>
    </row>
    <row r="56" spans="2:15" ht="22.5" outlineLevel="1" x14ac:dyDescent="0.2">
      <c r="B56" s="61" t="s">
        <v>53</v>
      </c>
      <c r="C56" s="63">
        <f>204855212.8</f>
        <v>204855212.80000001</v>
      </c>
      <c r="D56" s="63">
        <f>74365003.79</f>
        <v>74365003.790000007</v>
      </c>
      <c r="E56" s="63">
        <f>139310283.57</f>
        <v>139310283.56999999</v>
      </c>
      <c r="F56" s="63">
        <f>594742.52</f>
        <v>594742.52</v>
      </c>
      <c r="G56" s="63">
        <f>0</f>
        <v>0</v>
      </c>
      <c r="H56" s="63">
        <f>0</f>
        <v>0</v>
      </c>
      <c r="I56" s="70">
        <f>0</f>
        <v>0</v>
      </c>
      <c r="J56" s="48">
        <f t="shared" si="2"/>
        <v>0.83964091354247616</v>
      </c>
      <c r="K56" s="48">
        <f t="shared" si="3"/>
        <v>36.301250416606436</v>
      </c>
      <c r="L56" s="35"/>
      <c r="O56" s="82"/>
    </row>
    <row r="57" spans="2:15" ht="12.75" customHeight="1" outlineLevel="1" x14ac:dyDescent="0.2">
      <c r="B57" s="61" t="s">
        <v>32</v>
      </c>
      <c r="C57" s="21">
        <f t="shared" ref="C57:I57" si="5">C51-C52-C53-C54-C55-C56</f>
        <v>5790459456.6999998</v>
      </c>
      <c r="D57" s="21">
        <f>D51-D52-D53-D54-D55-D56</f>
        <v>1789638684.2499988</v>
      </c>
      <c r="E57" s="79">
        <f>E51-E52-E53-E54-E55-E56</f>
        <v>3151419685.6600003</v>
      </c>
      <c r="F57" s="79">
        <f t="shared" si="5"/>
        <v>193584012.07999998</v>
      </c>
      <c r="G57" s="79">
        <f t="shared" si="5"/>
        <v>0</v>
      </c>
      <c r="H57" s="79">
        <f t="shared" si="5"/>
        <v>53087.25</v>
      </c>
      <c r="I57" s="80">
        <f t="shared" si="5"/>
        <v>0</v>
      </c>
      <c r="J57" s="81">
        <f t="shared" si="2"/>
        <v>20.206465180825937</v>
      </c>
      <c r="K57" s="48">
        <f t="shared" si="3"/>
        <v>30.906678436013422</v>
      </c>
      <c r="L57" s="35"/>
      <c r="O57" s="88"/>
    </row>
    <row r="58" spans="2:15" x14ac:dyDescent="0.2">
      <c r="B58" s="17" t="s">
        <v>15</v>
      </c>
      <c r="C58" s="117">
        <f>C5-C48</f>
        <v>-3016158606.079998</v>
      </c>
      <c r="D58" s="117">
        <f>D5-D48</f>
        <v>3369663687.4100018</v>
      </c>
      <c r="E58" s="85"/>
      <c r="F58" s="86"/>
      <c r="G58" s="86"/>
      <c r="H58" s="86"/>
      <c r="I58" s="118"/>
      <c r="J58" s="118"/>
      <c r="K58" s="25"/>
      <c r="L58" s="25"/>
      <c r="M58" s="52"/>
    </row>
    <row r="59" spans="2:15" ht="38.25" x14ac:dyDescent="0.2">
      <c r="B59" s="98" t="s">
        <v>98</v>
      </c>
      <c r="C59" s="117">
        <f>+C40-C51</f>
        <v>3869953945.8000031</v>
      </c>
      <c r="D59" s="117">
        <f>+D40-D51</f>
        <v>4035402505.5400019</v>
      </c>
      <c r="E59" s="84"/>
      <c r="F59" s="83"/>
      <c r="G59" s="83"/>
      <c r="H59" s="83"/>
      <c r="I59" s="152"/>
      <c r="J59" s="153"/>
      <c r="K59" s="35"/>
      <c r="L59" s="53"/>
      <c r="M59" s="53"/>
    </row>
    <row r="60" spans="2:15" ht="13.5" customHeight="1" thickBot="1" x14ac:dyDescent="0.25">
      <c r="B60" s="54"/>
      <c r="C60" s="55"/>
      <c r="D60" s="55"/>
      <c r="E60" s="55"/>
      <c r="F60" s="18"/>
      <c r="G60" s="18"/>
      <c r="H60" s="18"/>
      <c r="I60" s="18"/>
      <c r="J60" s="35"/>
      <c r="K60" s="35"/>
      <c r="L60" s="53"/>
      <c r="M60" s="53"/>
    </row>
    <row r="61" spans="2:15" ht="12" customHeight="1" thickBot="1" x14ac:dyDescent="0.25">
      <c r="B61" s="33" t="s">
        <v>59</v>
      </c>
      <c r="C61" s="55"/>
      <c r="D61" s="55"/>
      <c r="E61" s="55"/>
      <c r="F61" s="18"/>
      <c r="G61" s="18"/>
      <c r="H61" s="18"/>
      <c r="I61" s="18"/>
      <c r="J61" s="35"/>
      <c r="K61" s="35"/>
      <c r="L61" s="53"/>
      <c r="M61" s="53"/>
    </row>
    <row r="62" spans="2:15" ht="27" customHeight="1" x14ac:dyDescent="0.2">
      <c r="B62" s="99" t="s">
        <v>72</v>
      </c>
      <c r="C62" s="117">
        <f>7825180326.68</f>
        <v>7825180326.6800003</v>
      </c>
      <c r="D62" s="117">
        <f>2096557225.82</f>
        <v>2096557225.8199999</v>
      </c>
      <c r="E62" s="23">
        <f>5398756056.20999</f>
        <v>5398756056.2099895</v>
      </c>
      <c r="F62" s="23">
        <f>105154875.18</f>
        <v>105154875.18000001</v>
      </c>
      <c r="G62" s="23">
        <f>0</f>
        <v>0</v>
      </c>
      <c r="H62" s="23">
        <f>2268102.23</f>
        <v>2268102.23</v>
      </c>
      <c r="I62" s="87">
        <f>0</f>
        <v>0</v>
      </c>
      <c r="J62" s="32">
        <f>IF($D$62=0,"",100*$D62/$D$62)</f>
        <v>100</v>
      </c>
      <c r="K62" s="32">
        <f>IF(C62=0,"",100*D62/C62)</f>
        <v>26.792446158355933</v>
      </c>
      <c r="L62" s="53"/>
    </row>
    <row r="63" spans="2:15" ht="12.75" customHeight="1" x14ac:dyDescent="0.2">
      <c r="B63" s="103" t="s">
        <v>60</v>
      </c>
      <c r="C63" s="63">
        <f>5004967684.35</f>
        <v>5004967684.3500004</v>
      </c>
      <c r="D63" s="63">
        <f>1045833033.09</f>
        <v>1045833033.09</v>
      </c>
      <c r="E63" s="63">
        <f>3543197751.79</f>
        <v>3543197751.79</v>
      </c>
      <c r="F63" s="63">
        <f>91165103.58</f>
        <v>91165103.579999998</v>
      </c>
      <c r="G63" s="63">
        <f>0</f>
        <v>0</v>
      </c>
      <c r="H63" s="63">
        <f>2268102.23</f>
        <v>2268102.23</v>
      </c>
      <c r="I63" s="70">
        <f>0</f>
        <v>0</v>
      </c>
      <c r="J63" s="32">
        <f>IF($D$62=0,"",100*$D63/$D$62)</f>
        <v>49.883352584423569</v>
      </c>
      <c r="K63" s="32">
        <f>IF(C63=0,"",100*D63/C63)</f>
        <v>20.895899814902066</v>
      </c>
      <c r="L63" s="35"/>
    </row>
    <row r="64" spans="2:15" ht="12.75" customHeight="1" x14ac:dyDescent="0.2">
      <c r="B64" s="103" t="s">
        <v>61</v>
      </c>
      <c r="C64" s="63">
        <f t="shared" ref="C64:I64" si="6">C62-C63</f>
        <v>2820212642.3299999</v>
      </c>
      <c r="D64" s="63">
        <f t="shared" si="6"/>
        <v>1050724192.7299999</v>
      </c>
      <c r="E64" s="63">
        <f t="shared" si="6"/>
        <v>1855558304.4199896</v>
      </c>
      <c r="F64" s="63">
        <f t="shared" si="6"/>
        <v>13989771.600000009</v>
      </c>
      <c r="G64" s="63">
        <f t="shared" si="6"/>
        <v>0</v>
      </c>
      <c r="H64" s="63">
        <f t="shared" si="6"/>
        <v>0</v>
      </c>
      <c r="I64" s="72">
        <f t="shared" si="6"/>
        <v>0</v>
      </c>
      <c r="J64" s="32">
        <f>IF($D$62=0,"",100*$D64/$D$62)</f>
        <v>50.116647415576431</v>
      </c>
      <c r="K64" s="32">
        <f>IF(C64=0,"",100*D64/C64)</f>
        <v>37.256913785831195</v>
      </c>
      <c r="L64" s="35"/>
    </row>
    <row r="65" spans="2:13" ht="18" customHeight="1" x14ac:dyDescent="0.2">
      <c r="B65" s="102" t="str">
        <f>CONCATENATE("Informacja z wykonania budżetów województw za ",$D$97," ",$C$98," rok    ",$C$100,"")</f>
        <v xml:space="preserve">Informacja z wykonania budżetów województw za II Kwartały 2022 rok    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</row>
    <row r="66" spans="2:13" ht="6" customHeight="1" x14ac:dyDescent="0.2"/>
    <row r="67" spans="2:13" x14ac:dyDescent="0.2">
      <c r="B67" s="38" t="s">
        <v>16</v>
      </c>
      <c r="C67" s="71" t="s">
        <v>17</v>
      </c>
      <c r="D67" s="71" t="s">
        <v>1</v>
      </c>
      <c r="E67" s="138" t="s">
        <v>90</v>
      </c>
      <c r="F67" s="139"/>
      <c r="G67" s="139"/>
      <c r="H67" s="139"/>
      <c r="I67" s="140"/>
      <c r="J67" s="16" t="s">
        <v>22</v>
      </c>
      <c r="K67" s="16" t="s">
        <v>23</v>
      </c>
    </row>
    <row r="68" spans="2:13" x14ac:dyDescent="0.2">
      <c r="B68" s="38"/>
      <c r="C68" s="121" t="s">
        <v>62</v>
      </c>
      <c r="D68" s="127"/>
      <c r="E68" s="141"/>
      <c r="F68" s="142"/>
      <c r="G68" s="142"/>
      <c r="H68" s="142"/>
      <c r="I68" s="143"/>
      <c r="J68" s="122" t="s">
        <v>4</v>
      </c>
      <c r="K68" s="123"/>
    </row>
    <row r="69" spans="2:13" x14ac:dyDescent="0.2">
      <c r="B69" s="36">
        <v>1</v>
      </c>
      <c r="C69" s="90">
        <v>2</v>
      </c>
      <c r="D69" s="90">
        <v>3</v>
      </c>
      <c r="E69" s="144"/>
      <c r="F69" s="145"/>
      <c r="G69" s="145"/>
      <c r="H69" s="145"/>
      <c r="I69" s="146"/>
      <c r="J69" s="37">
        <v>4</v>
      </c>
      <c r="K69" s="37">
        <v>5</v>
      </c>
    </row>
    <row r="70" spans="2:13" ht="27" customHeight="1" x14ac:dyDescent="0.2">
      <c r="B70" s="91" t="s">
        <v>47</v>
      </c>
      <c r="C70" s="40">
        <f>4197321412</f>
        <v>4197321412</v>
      </c>
      <c r="D70" s="40">
        <f>4359383512.53</f>
        <v>4359383512.5299997</v>
      </c>
      <c r="E70" s="110" t="s">
        <v>90</v>
      </c>
      <c r="F70" s="110" t="s">
        <v>90</v>
      </c>
      <c r="G70" s="110" t="s">
        <v>90</v>
      </c>
      <c r="H70" s="110" t="s">
        <v>90</v>
      </c>
      <c r="I70" s="110" t="s">
        <v>90</v>
      </c>
      <c r="J70" s="39">
        <f>IF($D$70=0,"",100*$D70/$D$70)</f>
        <v>100</v>
      </c>
      <c r="K70" s="31">
        <f t="shared" ref="K70:K83" si="7">IF(C70=0,"",100*D70/C70)</f>
        <v>103.86108388237007</v>
      </c>
    </row>
    <row r="71" spans="2:13" ht="23.25" customHeight="1" x14ac:dyDescent="0.2">
      <c r="B71" s="107" t="s">
        <v>73</v>
      </c>
      <c r="C71" s="41">
        <f>952581220</f>
        <v>952581220</v>
      </c>
      <c r="D71" s="41">
        <f>0</f>
        <v>0</v>
      </c>
      <c r="E71" s="111" t="s">
        <v>90</v>
      </c>
      <c r="F71" s="111" t="s">
        <v>90</v>
      </c>
      <c r="G71" s="111" t="s">
        <v>90</v>
      </c>
      <c r="H71" s="111" t="s">
        <v>90</v>
      </c>
      <c r="I71" s="111" t="s">
        <v>90</v>
      </c>
      <c r="J71" s="46">
        <f t="shared" ref="J71:J78" si="8">IF($D$70=0,"",100*$D71/$D$70)</f>
        <v>0</v>
      </c>
      <c r="K71" s="47">
        <f t="shared" si="7"/>
        <v>0</v>
      </c>
    </row>
    <row r="72" spans="2:13" ht="22.5" x14ac:dyDescent="0.2">
      <c r="B72" s="108" t="s">
        <v>74</v>
      </c>
      <c r="C72" s="65">
        <f>40107678</f>
        <v>40107678</v>
      </c>
      <c r="D72" s="65">
        <f>0</f>
        <v>0</v>
      </c>
      <c r="E72" s="111" t="s">
        <v>90</v>
      </c>
      <c r="F72" s="111" t="s">
        <v>90</v>
      </c>
      <c r="G72" s="111" t="s">
        <v>90</v>
      </c>
      <c r="H72" s="111" t="s">
        <v>90</v>
      </c>
      <c r="I72" s="111" t="s">
        <v>90</v>
      </c>
      <c r="J72" s="66">
        <f t="shared" si="8"/>
        <v>0</v>
      </c>
      <c r="K72" s="67">
        <f t="shared" si="7"/>
        <v>0</v>
      </c>
    </row>
    <row r="73" spans="2:13" ht="12.75" customHeight="1" x14ac:dyDescent="0.2">
      <c r="B73" s="64" t="s">
        <v>75</v>
      </c>
      <c r="C73" s="65">
        <f>73634763</f>
        <v>73634763</v>
      </c>
      <c r="D73" s="65">
        <f>6625908.03</f>
        <v>6625908.0300000003</v>
      </c>
      <c r="E73" s="111" t="s">
        <v>90</v>
      </c>
      <c r="F73" s="111" t="s">
        <v>90</v>
      </c>
      <c r="G73" s="111" t="s">
        <v>90</v>
      </c>
      <c r="H73" s="111" t="s">
        <v>90</v>
      </c>
      <c r="I73" s="111" t="s">
        <v>90</v>
      </c>
      <c r="J73" s="66">
        <f t="shared" si="8"/>
        <v>0.15199185873313098</v>
      </c>
      <c r="K73" s="67">
        <f t="shared" si="7"/>
        <v>8.9983423047073572</v>
      </c>
    </row>
    <row r="74" spans="2:13" ht="46.5" customHeight="1" x14ac:dyDescent="0.2">
      <c r="B74" s="64" t="s">
        <v>84</v>
      </c>
      <c r="C74" s="65">
        <f>224770102</f>
        <v>224770102</v>
      </c>
      <c r="D74" s="65">
        <f>791327447.72</f>
        <v>791327447.72000003</v>
      </c>
      <c r="E74" s="111" t="s">
        <v>90</v>
      </c>
      <c r="F74" s="111" t="s">
        <v>90</v>
      </c>
      <c r="G74" s="111" t="s">
        <v>90</v>
      </c>
      <c r="H74" s="111" t="s">
        <v>90</v>
      </c>
      <c r="I74" s="111" t="s">
        <v>90</v>
      </c>
      <c r="J74" s="66">
        <f t="shared" si="8"/>
        <v>18.152278767066939</v>
      </c>
      <c r="K74" s="67">
        <f t="shared" si="7"/>
        <v>352.06081266092946</v>
      </c>
    </row>
    <row r="75" spans="2:13" ht="35.25" customHeight="1" x14ac:dyDescent="0.2">
      <c r="B75" s="64" t="s">
        <v>85</v>
      </c>
      <c r="C75" s="65">
        <f>590246276.88</f>
        <v>590246276.88</v>
      </c>
      <c r="D75" s="65">
        <f>662683234.4</f>
        <v>662683234.39999998</v>
      </c>
      <c r="E75" s="111" t="s">
        <v>90</v>
      </c>
      <c r="F75" s="111" t="s">
        <v>90</v>
      </c>
      <c r="G75" s="111" t="s">
        <v>90</v>
      </c>
      <c r="H75" s="111" t="s">
        <v>90</v>
      </c>
      <c r="I75" s="111" t="s">
        <v>90</v>
      </c>
      <c r="J75" s="66">
        <f t="shared" si="8"/>
        <v>15.201306159352036</v>
      </c>
      <c r="K75" s="67">
        <f t="shared" si="7"/>
        <v>112.27232773121359</v>
      </c>
    </row>
    <row r="76" spans="2:13" ht="12.75" customHeight="1" x14ac:dyDescent="0.2">
      <c r="B76" s="64" t="s">
        <v>76</v>
      </c>
      <c r="C76" s="65">
        <f>0</f>
        <v>0</v>
      </c>
      <c r="D76" s="65">
        <f>0</f>
        <v>0</v>
      </c>
      <c r="E76" s="111" t="s">
        <v>90</v>
      </c>
      <c r="F76" s="111" t="s">
        <v>90</v>
      </c>
      <c r="G76" s="111" t="s">
        <v>90</v>
      </c>
      <c r="H76" s="111" t="s">
        <v>90</v>
      </c>
      <c r="I76" s="111" t="s">
        <v>90</v>
      </c>
      <c r="J76" s="66">
        <f t="shared" si="8"/>
        <v>0</v>
      </c>
      <c r="K76" s="67" t="str">
        <f t="shared" si="7"/>
        <v/>
      </c>
    </row>
    <row r="77" spans="2:13" ht="33.75" x14ac:dyDescent="0.2">
      <c r="B77" s="64" t="s">
        <v>79</v>
      </c>
      <c r="C77" s="65">
        <f>1901089050.12</f>
        <v>1901089050.1199999</v>
      </c>
      <c r="D77" s="65">
        <f>2743746922.38</f>
        <v>2743746922.3800001</v>
      </c>
      <c r="E77" s="111" t="s">
        <v>90</v>
      </c>
      <c r="F77" s="111" t="s">
        <v>90</v>
      </c>
      <c r="G77" s="111" t="s">
        <v>90</v>
      </c>
      <c r="H77" s="111" t="s">
        <v>90</v>
      </c>
      <c r="I77" s="111" t="s">
        <v>90</v>
      </c>
      <c r="J77" s="66">
        <f t="shared" si="8"/>
        <v>62.938874602194538</v>
      </c>
      <c r="K77" s="67">
        <f t="shared" si="7"/>
        <v>144.32500793199614</v>
      </c>
    </row>
    <row r="78" spans="2:13" ht="12.75" customHeight="1" x14ac:dyDescent="0.2">
      <c r="B78" s="64" t="s">
        <v>64</v>
      </c>
      <c r="C78" s="65">
        <f>455000000</f>
        <v>455000000</v>
      </c>
      <c r="D78" s="65">
        <f>155000000</f>
        <v>155000000</v>
      </c>
      <c r="E78" s="111" t="s">
        <v>90</v>
      </c>
      <c r="F78" s="111" t="s">
        <v>90</v>
      </c>
      <c r="G78" s="111" t="s">
        <v>90</v>
      </c>
      <c r="H78" s="111" t="s">
        <v>90</v>
      </c>
      <c r="I78" s="111" t="s">
        <v>90</v>
      </c>
      <c r="J78" s="66">
        <f t="shared" si="8"/>
        <v>3.5555486126533666</v>
      </c>
      <c r="K78" s="67">
        <f t="shared" si="7"/>
        <v>34.065934065934066</v>
      </c>
    </row>
    <row r="79" spans="2:13" ht="27" customHeight="1" x14ac:dyDescent="0.2">
      <c r="B79" s="91" t="s">
        <v>48</v>
      </c>
      <c r="C79" s="44">
        <f>1149038431.92</f>
        <v>1149038431.9200001</v>
      </c>
      <c r="D79" s="44">
        <f>1205747090.24</f>
        <v>1205747090.24</v>
      </c>
      <c r="E79" s="110" t="s">
        <v>90</v>
      </c>
      <c r="F79" s="110" t="s">
        <v>90</v>
      </c>
      <c r="G79" s="110" t="s">
        <v>90</v>
      </c>
      <c r="H79" s="110" t="s">
        <v>90</v>
      </c>
      <c r="I79" s="110" t="s">
        <v>90</v>
      </c>
      <c r="J79" s="39">
        <f>IF($D$79=0,"",100*$D79/$D$79)</f>
        <v>100</v>
      </c>
      <c r="K79" s="31">
        <f t="shared" si="7"/>
        <v>104.93531432410332</v>
      </c>
    </row>
    <row r="80" spans="2:13" ht="24.75" customHeight="1" x14ac:dyDescent="0.2">
      <c r="B80" s="107" t="s">
        <v>77</v>
      </c>
      <c r="C80" s="41">
        <f>704375291.92</f>
        <v>704375291.91999996</v>
      </c>
      <c r="D80" s="43">
        <f>371246285.76</f>
        <v>371246285.75999999</v>
      </c>
      <c r="E80" s="111" t="s">
        <v>90</v>
      </c>
      <c r="F80" s="111" t="s">
        <v>90</v>
      </c>
      <c r="G80" s="111" t="s">
        <v>90</v>
      </c>
      <c r="H80" s="111" t="s">
        <v>90</v>
      </c>
      <c r="I80" s="111" t="s">
        <v>90</v>
      </c>
      <c r="J80" s="46">
        <f>IF($D$79=0,"",100*$D80/$D$79)</f>
        <v>30.78973101117786</v>
      </c>
      <c r="K80" s="47">
        <f t="shared" si="7"/>
        <v>52.705750757958818</v>
      </c>
    </row>
    <row r="81" spans="2:11" ht="12.75" customHeight="1" x14ac:dyDescent="0.2">
      <c r="B81" s="64" t="s">
        <v>78</v>
      </c>
      <c r="C81" s="65">
        <f>2800000</f>
        <v>2800000</v>
      </c>
      <c r="D81" s="65">
        <f>0</f>
        <v>0</v>
      </c>
      <c r="E81" s="111" t="s">
        <v>90</v>
      </c>
      <c r="F81" s="111" t="s">
        <v>90</v>
      </c>
      <c r="G81" s="111" t="s">
        <v>90</v>
      </c>
      <c r="H81" s="111" t="s">
        <v>90</v>
      </c>
      <c r="I81" s="111" t="s">
        <v>90</v>
      </c>
      <c r="J81" s="66">
        <f>IF($D$79=0,"",100*$D81/$D$79)</f>
        <v>0</v>
      </c>
      <c r="K81" s="67">
        <f t="shared" si="7"/>
        <v>0</v>
      </c>
    </row>
    <row r="82" spans="2:11" ht="12.75" customHeight="1" x14ac:dyDescent="0.2">
      <c r="B82" s="64" t="s">
        <v>86</v>
      </c>
      <c r="C82" s="65">
        <f>80363281</f>
        <v>80363281</v>
      </c>
      <c r="D82" s="65">
        <f>34500804.48</f>
        <v>34500804.479999997</v>
      </c>
      <c r="E82" s="111" t="s">
        <v>90</v>
      </c>
      <c r="F82" s="111" t="s">
        <v>90</v>
      </c>
      <c r="G82" s="111" t="s">
        <v>90</v>
      </c>
      <c r="H82" s="111" t="s">
        <v>90</v>
      </c>
      <c r="I82" s="111" t="s">
        <v>90</v>
      </c>
      <c r="J82" s="66">
        <f>IF($D$79=0,"",100*$D82/$D$79)</f>
        <v>2.8613632791875721</v>
      </c>
      <c r="K82" s="67">
        <f t="shared" si="7"/>
        <v>42.931055141962155</v>
      </c>
    </row>
    <row r="83" spans="2:11" ht="12.75" customHeight="1" x14ac:dyDescent="0.2">
      <c r="B83" s="64" t="s">
        <v>24</v>
      </c>
      <c r="C83" s="65">
        <f>364299859</f>
        <v>364299859</v>
      </c>
      <c r="D83" s="65">
        <f>800000000</f>
        <v>800000000</v>
      </c>
      <c r="E83" s="111" t="s">
        <v>90</v>
      </c>
      <c r="F83" s="111" t="s">
        <v>90</v>
      </c>
      <c r="G83" s="111" t="s">
        <v>90</v>
      </c>
      <c r="H83" s="111" t="s">
        <v>90</v>
      </c>
      <c r="I83" s="111" t="s">
        <v>90</v>
      </c>
      <c r="J83" s="66">
        <f>IF($D$79=0,"",100*$D83/$D$79)</f>
        <v>66.348905709634565</v>
      </c>
      <c r="K83" s="67">
        <f t="shared" si="7"/>
        <v>219.59931639721003</v>
      </c>
    </row>
    <row r="85" spans="2:11" x14ac:dyDescent="0.2">
      <c r="B85" s="38" t="s">
        <v>16</v>
      </c>
      <c r="C85" s="71" t="s">
        <v>17</v>
      </c>
      <c r="D85" s="16" t="s">
        <v>1</v>
      </c>
    </row>
    <row r="86" spans="2:11" x14ac:dyDescent="0.2">
      <c r="B86" s="38"/>
      <c r="C86" s="121" t="s">
        <v>62</v>
      </c>
      <c r="D86" s="127"/>
    </row>
    <row r="87" spans="2:11" x14ac:dyDescent="0.2">
      <c r="B87" s="36">
        <v>1</v>
      </c>
      <c r="C87" s="90">
        <v>2</v>
      </c>
      <c r="D87" s="37">
        <v>3</v>
      </c>
    </row>
    <row r="88" spans="2:11" ht="33.75" x14ac:dyDescent="0.2">
      <c r="B88" s="45" t="s">
        <v>99</v>
      </c>
      <c r="C88" s="42">
        <f>3031723957.84</f>
        <v>3031723957.8400002</v>
      </c>
      <c r="D88" s="24">
        <f>0</f>
        <v>0</v>
      </c>
    </row>
    <row r="89" spans="2:11" ht="33.75" x14ac:dyDescent="0.2">
      <c r="B89" s="109" t="s">
        <v>65</v>
      </c>
      <c r="C89" s="65">
        <f>40107678</f>
        <v>40107678</v>
      </c>
      <c r="D89" s="58">
        <f>0</f>
        <v>0</v>
      </c>
    </row>
    <row r="90" spans="2:11" ht="12.75" customHeight="1" x14ac:dyDescent="0.2">
      <c r="B90" s="109" t="s">
        <v>66</v>
      </c>
      <c r="C90" s="65">
        <f>751351082</f>
        <v>751351082</v>
      </c>
      <c r="D90" s="58">
        <f>0</f>
        <v>0</v>
      </c>
    </row>
    <row r="91" spans="2:11" ht="22.5" x14ac:dyDescent="0.2">
      <c r="B91" s="109" t="s">
        <v>67</v>
      </c>
      <c r="C91" s="65">
        <f>0</f>
        <v>0</v>
      </c>
      <c r="D91" s="58">
        <f>0</f>
        <v>0</v>
      </c>
    </row>
    <row r="92" spans="2:11" ht="56.25" x14ac:dyDescent="0.2">
      <c r="B92" s="109" t="s">
        <v>87</v>
      </c>
      <c r="C92" s="65">
        <f>113436096</f>
        <v>113436096</v>
      </c>
      <c r="D92" s="58">
        <f>0</f>
        <v>0</v>
      </c>
    </row>
    <row r="93" spans="2:11" ht="81" customHeight="1" x14ac:dyDescent="0.2">
      <c r="B93" s="109" t="s">
        <v>68</v>
      </c>
      <c r="C93" s="65">
        <f>1570394661.78</f>
        <v>1570394661.78</v>
      </c>
      <c r="D93" s="58">
        <f>0</f>
        <v>0</v>
      </c>
    </row>
    <row r="94" spans="2:11" ht="151.5" customHeight="1" x14ac:dyDescent="0.2">
      <c r="B94" s="109" t="s">
        <v>88</v>
      </c>
      <c r="C94" s="65">
        <f>553251689.06</f>
        <v>553251689.05999994</v>
      </c>
      <c r="D94" s="58">
        <f>0</f>
        <v>0</v>
      </c>
    </row>
    <row r="95" spans="2:11" ht="23.25" customHeight="1" x14ac:dyDescent="0.2">
      <c r="B95" s="109" t="s">
        <v>89</v>
      </c>
      <c r="C95" s="65">
        <f>3182751</f>
        <v>3182751</v>
      </c>
      <c r="D95" s="58">
        <f>0</f>
        <v>0</v>
      </c>
    </row>
    <row r="97" spans="2:4" x14ac:dyDescent="0.2">
      <c r="B97" s="34" t="s">
        <v>49</v>
      </c>
      <c r="C97" s="34">
        <f>2</f>
        <v>2</v>
      </c>
      <c r="D97" s="34" t="str">
        <f>IF(C97=1,"I Kwartał",IF(C97=2,"II Kwartały",IF(C97=3,"III Kwartały",IF(C97=4,"IV Kwartały","-"))))</f>
        <v>II Kwartały</v>
      </c>
    </row>
    <row r="98" spans="2:4" x14ac:dyDescent="0.2">
      <c r="B98" s="34" t="s">
        <v>50</v>
      </c>
      <c r="C98" s="113">
        <f>2022</f>
        <v>2022</v>
      </c>
      <c r="D98" s="35"/>
    </row>
    <row r="99" spans="2:4" x14ac:dyDescent="0.2">
      <c r="B99" s="34" t="s">
        <v>51</v>
      </c>
      <c r="C99" s="124" t="str">
        <f>"Aug 18 2022 12:00AM"</f>
        <v>Aug 18 2022 12:00AM</v>
      </c>
      <c r="D99" s="125"/>
    </row>
    <row r="100" spans="2:4" hidden="1" x14ac:dyDescent="0.2">
      <c r="B100" s="34" t="s">
        <v>56</v>
      </c>
      <c r="C100" s="114" t="str">
        <f>""</f>
        <v/>
      </c>
      <c r="D100" s="35"/>
    </row>
  </sheetData>
  <mergeCells count="23">
    <mergeCell ref="J3:L3"/>
    <mergeCell ref="E67:I69"/>
    <mergeCell ref="C3:D3"/>
    <mergeCell ref="I43:I45"/>
    <mergeCell ref="C46:I46"/>
    <mergeCell ref="J43:J45"/>
    <mergeCell ref="J46:K46"/>
    <mergeCell ref="K43:K45"/>
    <mergeCell ref="I59:J59"/>
    <mergeCell ref="C99:D99"/>
    <mergeCell ref="F43:H43"/>
    <mergeCell ref="G44:H44"/>
    <mergeCell ref="C68:D68"/>
    <mergeCell ref="B2:B3"/>
    <mergeCell ref="C43:C45"/>
    <mergeCell ref="B43:B46"/>
    <mergeCell ref="C86:D86"/>
    <mergeCell ref="E3:I4"/>
    <mergeCell ref="I58:J58"/>
    <mergeCell ref="D43:D45"/>
    <mergeCell ref="E43:E45"/>
    <mergeCell ref="F44:F45"/>
    <mergeCell ref="J68:K68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2" max="16383" man="1"/>
    <brk id="40" max="16383" man="1"/>
    <brk id="64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2015-04-29T09:53:24Z</cp:lastPrinted>
  <dcterms:created xsi:type="dcterms:W3CDTF">2001-05-17T08:58:03Z</dcterms:created>
  <dcterms:modified xsi:type="dcterms:W3CDTF">2022-08-19T13:39:39Z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