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'doch_wyd'!$A$1:$L$92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<sst xmlns="http://schemas.openxmlformats.org/spreadsheetml/2006/main" count="108" uniqueCount="85">
  <si>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</si>
  <si>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</si>
  <si>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</si>
  <si>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</si>
  <si>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</si>
  <si>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</si>
  <si>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</si>
  <si>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</si>
  <si>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</si>
  <si>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</si>
  <si>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</si>
  <si>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</si>
  <si>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</si>
  <si>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</si>
  <si>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</si>
  <si>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</si>
  <si>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</si>
  <si>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</si>
  <si>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</si>
  <si>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</si>
  <si>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</si>
  <si>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</si>
  <si>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</si>
  <si>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</si>
  <si>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</si>
  <si>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>Wskaźnik 
(4:2)</t>
  </si>
  <si>
    <t>pozostałe wydatki</t>
  </si>
  <si>
    <t>wydatki na obsługę długu</t>
  </si>
  <si>
    <t>dotacje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</si>
  <si>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</si>
  <si>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</si>
  <si>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</si>
  <si>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</si>
  <si>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</si>
  <si>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</si>
  <si>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</si>
  <si>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</si>
  <si>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</si>
  <si>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Dotacje §§ 200 i 620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</si>
  <si>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</si>
  <si>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</si>
  <si>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</si>
  <si>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</si>
  <si>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</si>
  <si>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</si>
  <si>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</si>
  <si>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</si>
  <si>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</si>
  <si>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</si>
  <si>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</si>
  <si>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</si>
  <si>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</si>
  <si>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</si>
  <si>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</si>
  <si>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</si>
  <si>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</si>
  <si>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</si>
  <si>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</si>
  <si>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</si>
  <si>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</si>
  <si>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</si>
  <si>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</si>
  <si>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</si>
  <si>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</si>
  <si>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</si>
  <si>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</si>
  <si>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</si>
  <si>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</si>
  <si>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</si>
  <si>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</si>
  <si>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</si>
  <si>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</si>
  <si>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</si>
  <si>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</si>
  <si>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</si>
  <si>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środki, o których mowa w art. 217 ust. 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</si>
  <si>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</si>
  <si>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</si>
  <si>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</si>
  <si>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</si>
  <si>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</si>
  <si>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</si>
  <si>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podatek dochodowy od osób fizycznych</t>
  </si>
  <si>
    <t>wydatki na wynagrodzenia i pochodne od wynagrodzeń</t>
  </si>
  <si>
    <t xml:space="preserve">Informacja z wykonania budżetów związków jednostek samorządu terytorialnego za I Kwartał 2019 rok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</si>
</sst>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5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6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6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56" fillId="0" borderId="19" xfId="89" applyFont="1" applyFill="1" applyBorder="1" applyAlignment="1">
      <alignment horizontal="left" vertical="center" wrapText="1"/>
      <protection/>
    </xf>
    <xf numFmtId="4" fontId="6" fillId="40" borderId="2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4" fontId="9" fillId="51" borderId="19" xfId="0" applyNumberFormat="1" applyFont="1" applyFill="1" applyBorder="1" applyAlignment="1">
      <alignment horizontal="right" vertical="center"/>
    </xf>
    <xf numFmtId="4" fontId="10" fillId="29" borderId="19" xfId="0" applyNumberFormat="1" applyFont="1" applyFill="1" applyBorder="1" applyAlignment="1">
      <alignment horizontal="righ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4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13.5" customHeight="1">
      <c r="B1" s="93" t="s">
        <v>84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ht="13.5" customHeight="1"/>
    <row r="3" spans="2:8" ht="66.75" customHeight="1">
      <c r="B3" s="103" t="s">
        <v>0</v>
      </c>
      <c r="C3" s="49" t="s">
        <v>66</v>
      </c>
      <c r="D3" s="49" t="s">
        <v>67</v>
      </c>
      <c r="E3" s="49" t="s">
        <v>68</v>
      </c>
      <c r="F3" s="51" t="s">
        <v>2</v>
      </c>
      <c r="G3" s="49" t="s">
        <v>18</v>
      </c>
      <c r="H3" s="49" t="s">
        <v>3</v>
      </c>
    </row>
    <row r="4" spans="2:8" ht="12.75">
      <c r="B4" s="103"/>
      <c r="C4" s="112" t="s">
        <v>39</v>
      </c>
      <c r="D4" s="112"/>
      <c r="E4" s="112"/>
      <c r="F4" s="112" t="s">
        <v>4</v>
      </c>
      <c r="G4" s="112"/>
      <c r="H4" s="112"/>
    </row>
    <row r="5" spans="2:8" ht="12.75">
      <c r="B5" s="51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</row>
    <row r="6" spans="2:8" ht="18.75" customHeight="1">
      <c r="B6" s="64" t="s">
        <v>5</v>
      </c>
      <c r="C6" s="65">
        <f>2884671649.79</f>
        <v>2884671649.79</v>
      </c>
      <c r="D6" s="65">
        <f>649768942.82</f>
        <v>649768942.82</v>
      </c>
      <c r="E6" s="65">
        <f>634558914.95</f>
        <v>634558914.95</v>
      </c>
      <c r="F6" s="66">
        <f aca="true" t="shared" si="0" ref="F6:F32">IF($D$6=0,"",100*$D6/$D$6)</f>
        <v>100</v>
      </c>
      <c r="G6" s="66">
        <f>IF(C6=0,"",100*D6/C6)</f>
        <v>22.524883997362483</v>
      </c>
      <c r="H6" s="66"/>
    </row>
    <row r="7" spans="2:8" ht="22.5">
      <c r="B7" s="52" t="s">
        <v>29</v>
      </c>
      <c r="C7" s="15">
        <f>C6-C11</f>
        <v>2534775445.59</v>
      </c>
      <c r="D7" s="15">
        <f>D6-D11</f>
        <v>615848949.0200001</v>
      </c>
      <c r="E7" s="15">
        <f>E6-E11</f>
        <v>601073070.21</v>
      </c>
      <c r="F7" s="19">
        <f t="shared" si="0"/>
        <v>94.77968373606977</v>
      </c>
      <c r="G7" s="19">
        <f aca="true" t="shared" si="1" ref="G7:G32">IF(C7=0,"",100*D7/C7)</f>
        <v>24.295996321546095</v>
      </c>
      <c r="H7" s="19">
        <f>IF($D$7=0,"",100*$D7/$D$7)</f>
        <v>100</v>
      </c>
    </row>
    <row r="8" spans="2:8" ht="22.5">
      <c r="B8" s="67" t="s">
        <v>82</v>
      </c>
      <c r="C8" s="68">
        <f>372271962</f>
        <v>372271962</v>
      </c>
      <c r="D8" s="69">
        <f>79707201</f>
        <v>79707201</v>
      </c>
      <c r="E8" s="68">
        <f>70621400</f>
        <v>70621400</v>
      </c>
      <c r="F8" s="20">
        <f t="shared" si="0"/>
        <v>12.26700689233782</v>
      </c>
      <c r="G8" s="20">
        <f t="shared" si="1"/>
        <v>21.41101375773231</v>
      </c>
      <c r="H8" s="20">
        <f>IF($D$7=0,"",100*$D8/$D$7)</f>
        <v>12.942654384137214</v>
      </c>
    </row>
    <row r="9" spans="2:8" ht="12.75">
      <c r="B9" s="67" t="s">
        <v>19</v>
      </c>
      <c r="C9" s="68">
        <f>54996770.07</f>
        <v>54996770.07</v>
      </c>
      <c r="D9" s="69">
        <f>10228822.32</f>
        <v>10228822.32</v>
      </c>
      <c r="E9" s="68">
        <f>10228522.32</f>
        <v>10228522.32</v>
      </c>
      <c r="F9" s="20">
        <f t="shared" si="0"/>
        <v>1.5742245659829273</v>
      </c>
      <c r="G9" s="20">
        <f t="shared" si="1"/>
        <v>18.598951005633122</v>
      </c>
      <c r="H9" s="20">
        <f>IF($D$7=0,"",100*$D9/$D$7)</f>
        <v>1.6609303850038417</v>
      </c>
    </row>
    <row r="10" spans="2:8" ht="12.75">
      <c r="B10" s="67" t="s">
        <v>20</v>
      </c>
      <c r="C10" s="68">
        <f>C7-C8-C9</f>
        <v>2107506713.5200002</v>
      </c>
      <c r="D10" s="68">
        <f>D7-D8-D9</f>
        <v>525912925.7000001</v>
      </c>
      <c r="E10" s="68">
        <f>E7-E8-E9</f>
        <v>520223147.89000005</v>
      </c>
      <c r="F10" s="20">
        <f t="shared" si="0"/>
        <v>80.93845227774902</v>
      </c>
      <c r="G10" s="20">
        <f t="shared" si="1"/>
        <v>24.954270481141656</v>
      </c>
      <c r="H10" s="20">
        <f>IF($D$7=0,"",100*$D10/$D$7)</f>
        <v>85.39641523085893</v>
      </c>
    </row>
    <row r="11" spans="2:8" ht="22.5">
      <c r="B11" s="64" t="s">
        <v>69</v>
      </c>
      <c r="C11" s="65">
        <f>C12+C25+C27</f>
        <v>349896204.2</v>
      </c>
      <c r="D11" s="65">
        <f>D12+D25+D27</f>
        <v>33919993.8</v>
      </c>
      <c r="E11" s="65">
        <f>E12+E25+E27</f>
        <v>33485844.740000002</v>
      </c>
      <c r="F11" s="66">
        <f t="shared" si="0"/>
        <v>5.220316263930233</v>
      </c>
      <c r="G11" s="66">
        <f t="shared" si="1"/>
        <v>9.6943017365834</v>
      </c>
      <c r="H11" s="70"/>
    </row>
    <row r="12" spans="2:8" ht="22.5">
      <c r="B12" s="64" t="s">
        <v>30</v>
      </c>
      <c r="C12" s="65">
        <f>C13+C15+C17+C19+C21+C23</f>
        <v>15846545.46</v>
      </c>
      <c r="D12" s="65">
        <f>D13+D15+D17+D19+D21+D23</f>
        <v>3479579.8699999996</v>
      </c>
      <c r="E12" s="65">
        <f>E13+E15+E17+E19+E21+E23</f>
        <v>3479579.8699999996</v>
      </c>
      <c r="F12" s="66">
        <f t="shared" si="0"/>
        <v>0.5355103392443793</v>
      </c>
      <c r="G12" s="66">
        <f t="shared" si="1"/>
        <v>21.957971084506635</v>
      </c>
      <c r="H12" s="17"/>
    </row>
    <row r="13" spans="2:8" ht="22.5">
      <c r="B13" s="67" t="s">
        <v>9</v>
      </c>
      <c r="C13" s="68">
        <f>0</f>
        <v>0</v>
      </c>
      <c r="D13" s="68">
        <f>0</f>
        <v>0</v>
      </c>
      <c r="E13" s="68">
        <f>0</f>
        <v>0</v>
      </c>
      <c r="F13" s="20">
        <f t="shared" si="0"/>
        <v>0</v>
      </c>
      <c r="G13" s="20">
        <f t="shared" si="1"/>
      </c>
      <c r="H13" s="17"/>
    </row>
    <row r="14" spans="2:8" ht="12.75">
      <c r="B14" s="71" t="s">
        <v>6</v>
      </c>
      <c r="C14" s="68">
        <f>0</f>
        <v>0</v>
      </c>
      <c r="D14" s="68">
        <f>0</f>
        <v>0</v>
      </c>
      <c r="E14" s="68">
        <f>0</f>
        <v>0</v>
      </c>
      <c r="F14" s="20">
        <f t="shared" si="0"/>
        <v>0</v>
      </c>
      <c r="G14" s="20">
        <f t="shared" si="1"/>
      </c>
      <c r="H14" s="17"/>
    </row>
    <row r="15" spans="2:8" ht="12.75">
      <c r="B15" s="67" t="s">
        <v>7</v>
      </c>
      <c r="C15" s="68">
        <f>0</f>
        <v>0</v>
      </c>
      <c r="D15" s="68">
        <f>0</f>
        <v>0</v>
      </c>
      <c r="E15" s="68">
        <f>0</f>
        <v>0</v>
      </c>
      <c r="F15" s="20">
        <f t="shared" si="0"/>
        <v>0</v>
      </c>
      <c r="G15" s="20">
        <f t="shared" si="1"/>
      </c>
      <c r="H15" s="17"/>
    </row>
    <row r="16" spans="2:8" ht="12.75">
      <c r="B16" s="71" t="s">
        <v>6</v>
      </c>
      <c r="C16" s="68">
        <f>0</f>
        <v>0</v>
      </c>
      <c r="D16" s="68">
        <f>0</f>
        <v>0</v>
      </c>
      <c r="E16" s="68">
        <f>0</f>
        <v>0</v>
      </c>
      <c r="F16" s="20">
        <f t="shared" si="0"/>
        <v>0</v>
      </c>
      <c r="G16" s="20">
        <f t="shared" si="1"/>
      </c>
      <c r="H16" s="17"/>
    </row>
    <row r="17" spans="2:8" ht="33.75">
      <c r="B17" s="67" t="s">
        <v>10</v>
      </c>
      <c r="C17" s="68">
        <f>0</f>
        <v>0</v>
      </c>
      <c r="D17" s="68">
        <f>0</f>
        <v>0</v>
      </c>
      <c r="E17" s="68">
        <f>0</f>
        <v>0</v>
      </c>
      <c r="F17" s="20">
        <f t="shared" si="0"/>
        <v>0</v>
      </c>
      <c r="G17" s="20">
        <f t="shared" si="1"/>
      </c>
      <c r="H17" s="17"/>
    </row>
    <row r="18" spans="2:8" ht="12.75">
      <c r="B18" s="71" t="s">
        <v>6</v>
      </c>
      <c r="C18" s="68">
        <f>0</f>
        <v>0</v>
      </c>
      <c r="D18" s="68">
        <f>0</f>
        <v>0</v>
      </c>
      <c r="E18" s="68">
        <f>0</f>
        <v>0</v>
      </c>
      <c r="F18" s="20">
        <f t="shared" si="0"/>
        <v>0</v>
      </c>
      <c r="G18" s="20">
        <f t="shared" si="1"/>
      </c>
      <c r="H18" s="17"/>
    </row>
    <row r="19" spans="2:8" ht="22.5">
      <c r="B19" s="72" t="s">
        <v>11</v>
      </c>
      <c r="C19" s="68">
        <f>13995721.46</f>
        <v>13995721.46</v>
      </c>
      <c r="D19" s="68">
        <f>3302619.78</f>
        <v>3302619.78</v>
      </c>
      <c r="E19" s="68">
        <f>3302619.78</f>
        <v>3302619.78</v>
      </c>
      <c r="F19" s="20">
        <f t="shared" si="0"/>
        <v>0.5082760289629442</v>
      </c>
      <c r="G19" s="20">
        <f t="shared" si="1"/>
        <v>23.59735287272572</v>
      </c>
      <c r="H19" s="17"/>
    </row>
    <row r="20" spans="2:8" ht="13.5" customHeight="1">
      <c r="B20" s="71" t="s">
        <v>6</v>
      </c>
      <c r="C20" s="68">
        <f>156157</f>
        <v>156157</v>
      </c>
      <c r="D20" s="68">
        <f>0</f>
        <v>0</v>
      </c>
      <c r="E20" s="68">
        <f>0</f>
        <v>0</v>
      </c>
      <c r="F20" s="20">
        <f t="shared" si="0"/>
        <v>0</v>
      </c>
      <c r="G20" s="20">
        <f t="shared" si="1"/>
        <v>0</v>
      </c>
      <c r="H20" s="17"/>
    </row>
    <row r="21" spans="2:8" ht="34.5" customHeight="1">
      <c r="B21" s="72" t="s">
        <v>40</v>
      </c>
      <c r="C21" s="68">
        <f>1700824</f>
        <v>1700824</v>
      </c>
      <c r="D21" s="68">
        <f>176960.09</f>
        <v>176960.09</v>
      </c>
      <c r="E21" s="68">
        <f>176960.09</f>
        <v>176960.09</v>
      </c>
      <c r="F21" s="20">
        <f t="shared" si="0"/>
        <v>0.02723431028143519</v>
      </c>
      <c r="G21" s="20">
        <f t="shared" si="1"/>
        <v>10.40437399754472</v>
      </c>
      <c r="H21" s="17"/>
    </row>
    <row r="22" spans="2:8" ht="12.75">
      <c r="B22" s="71" t="s">
        <v>6</v>
      </c>
      <c r="C22" s="68">
        <f>1475280</f>
        <v>1475280</v>
      </c>
      <c r="D22" s="68">
        <f>141280</f>
        <v>141280</v>
      </c>
      <c r="E22" s="68">
        <f>141280</f>
        <v>141280</v>
      </c>
      <c r="F22" s="20">
        <f t="shared" si="0"/>
        <v>0.02174311369620779</v>
      </c>
      <c r="G22" s="20">
        <f t="shared" si="1"/>
        <v>9.576487175315872</v>
      </c>
      <c r="H22" s="17"/>
    </row>
    <row r="23" spans="2:8" ht="12.75">
      <c r="B23" s="67" t="s">
        <v>8</v>
      </c>
      <c r="C23" s="68">
        <f>150000</f>
        <v>150000</v>
      </c>
      <c r="D23" s="68">
        <f>0</f>
        <v>0</v>
      </c>
      <c r="E23" s="68">
        <f>0</f>
        <v>0</v>
      </c>
      <c r="F23" s="20">
        <f t="shared" si="0"/>
        <v>0</v>
      </c>
      <c r="G23" s="20">
        <f t="shared" si="1"/>
        <v>0</v>
      </c>
      <c r="H23" s="17"/>
    </row>
    <row r="24" spans="2:8" ht="13.5" customHeight="1">
      <c r="B24" s="71" t="s">
        <v>6</v>
      </c>
      <c r="C24" s="68">
        <f>0</f>
        <v>0</v>
      </c>
      <c r="D24" s="68">
        <f>0</f>
        <v>0</v>
      </c>
      <c r="E24" s="68">
        <f>0</f>
        <v>0</v>
      </c>
      <c r="F24" s="20">
        <f t="shared" si="0"/>
        <v>0</v>
      </c>
      <c r="G24" s="20">
        <f t="shared" si="1"/>
      </c>
      <c r="H24" s="17"/>
    </row>
    <row r="25" spans="1:13" s="5" customFormat="1" ht="13.5" customHeight="1">
      <c r="A25" s="2"/>
      <c r="B25" s="64" t="s">
        <v>38</v>
      </c>
      <c r="C25" s="15">
        <f>34863900.47</f>
        <v>34863900.47</v>
      </c>
      <c r="D25" s="15">
        <f>1427458.38</f>
        <v>1427458.38</v>
      </c>
      <c r="E25" s="15">
        <f>993309.32</f>
        <v>993309.32</v>
      </c>
      <c r="F25" s="19">
        <f t="shared" si="0"/>
        <v>0.21968707427055906</v>
      </c>
      <c r="G25" s="19">
        <f t="shared" si="1"/>
        <v>4.094373723985107</v>
      </c>
      <c r="H25" s="53"/>
      <c r="I25" s="12"/>
      <c r="J25" s="12"/>
      <c r="K25" s="9"/>
      <c r="L25" s="9"/>
      <c r="M25" s="3"/>
    </row>
    <row r="26" spans="1:13" s="5" customFormat="1" ht="12.75">
      <c r="A26" s="2"/>
      <c r="B26" s="18" t="s">
        <v>37</v>
      </c>
      <c r="C26" s="14">
        <f>34316932.97</f>
        <v>34316932.97</v>
      </c>
      <c r="D26" s="14">
        <f>1423849.35</f>
        <v>1423849.35</v>
      </c>
      <c r="E26" s="14">
        <f>989700.29</f>
        <v>989700.29</v>
      </c>
      <c r="F26" s="20">
        <f t="shared" si="0"/>
        <v>0.21913164144480154</v>
      </c>
      <c r="G26" s="20">
        <f t="shared" si="1"/>
        <v>4.149115980862086</v>
      </c>
      <c r="H26" s="53"/>
      <c r="I26" s="12"/>
      <c r="J26" s="12"/>
      <c r="K26" s="9"/>
      <c r="L26" s="9"/>
      <c r="M26" s="3"/>
    </row>
    <row r="27" spans="1:13" s="5" customFormat="1" ht="13.5" customHeight="1">
      <c r="A27" s="2"/>
      <c r="B27" s="64" t="s">
        <v>55</v>
      </c>
      <c r="C27" s="73">
        <f>299185758.27</f>
        <v>299185758.27</v>
      </c>
      <c r="D27" s="73">
        <f>29012955.55</f>
        <v>29012955.55</v>
      </c>
      <c r="E27" s="73">
        <f>29012955.55</f>
        <v>29012955.55</v>
      </c>
      <c r="F27" s="74">
        <f t="shared" si="0"/>
        <v>4.465118850415295</v>
      </c>
      <c r="G27" s="74">
        <f t="shared" si="1"/>
        <v>9.697305018047443</v>
      </c>
      <c r="H27" s="53"/>
      <c r="I27" s="12"/>
      <c r="J27" s="12"/>
      <c r="K27" s="9"/>
      <c r="L27" s="9"/>
      <c r="M27" s="3"/>
    </row>
    <row r="28" spans="1:13" s="5" customFormat="1" ht="13.5" customHeight="1">
      <c r="A28" s="2"/>
      <c r="B28" s="18" t="s">
        <v>56</v>
      </c>
      <c r="C28" s="14">
        <f>275524081.36</f>
        <v>275524081.36</v>
      </c>
      <c r="D28" s="14">
        <f>28711515.08</f>
        <v>28711515.08</v>
      </c>
      <c r="E28" s="14">
        <f>28711515.08</f>
        <v>28711515.08</v>
      </c>
      <c r="F28" s="20">
        <f t="shared" si="0"/>
        <v>4.4187269024265605</v>
      </c>
      <c r="G28" s="20">
        <f t="shared" si="1"/>
        <v>10.420691700804733</v>
      </c>
      <c r="H28" s="53"/>
      <c r="I28" s="12"/>
      <c r="J28" s="12"/>
      <c r="K28" s="9"/>
      <c r="L28" s="9"/>
      <c r="M28" s="3"/>
    </row>
    <row r="29" spans="1:13" s="5" customFormat="1" ht="8.25" customHeight="1">
      <c r="A29" s="2"/>
      <c r="B29" s="43"/>
      <c r="C29" s="45"/>
      <c r="D29" s="45"/>
      <c r="E29" s="45"/>
      <c r="F29" s="45">
        <f t="shared" si="0"/>
        <v>0</v>
      </c>
      <c r="G29" s="45">
        <f t="shared" si="1"/>
      </c>
      <c r="H29" s="53"/>
      <c r="I29" s="12"/>
      <c r="J29" s="12"/>
      <c r="K29" s="9"/>
      <c r="L29" s="9"/>
      <c r="M29" s="3"/>
    </row>
    <row r="30" spans="1:13" s="5" customFormat="1" ht="13.5" customHeight="1">
      <c r="A30" s="2"/>
      <c r="B30" s="64" t="s">
        <v>5</v>
      </c>
      <c r="C30" s="73">
        <f>+C6</f>
        <v>2884671649.79</v>
      </c>
      <c r="D30" s="73">
        <f>+D6</f>
        <v>649768942.82</v>
      </c>
      <c r="E30" s="73">
        <f>+E6</f>
        <v>634558914.95</v>
      </c>
      <c r="F30" s="74">
        <f t="shared" si="0"/>
        <v>100</v>
      </c>
      <c r="G30" s="74">
        <f t="shared" si="1"/>
        <v>22.524883997362483</v>
      </c>
      <c r="H30" s="53"/>
      <c r="I30" s="12"/>
      <c r="J30" s="12"/>
      <c r="K30" s="9"/>
      <c r="L30" s="9"/>
      <c r="M30" s="3"/>
    </row>
    <row r="31" spans="1:13" s="5" customFormat="1" ht="13.5" customHeight="1">
      <c r="A31" s="2"/>
      <c r="B31" s="46" t="s">
        <v>57</v>
      </c>
      <c r="C31" s="14">
        <f>454361836.77</f>
        <v>454361836.77</v>
      </c>
      <c r="D31" s="14">
        <f>62043775.25</f>
        <v>62043775.25</v>
      </c>
      <c r="E31" s="14">
        <f>61608648.69</f>
        <v>61608648.69</v>
      </c>
      <c r="F31" s="20">
        <f t="shared" si="0"/>
        <v>9.548590454435963</v>
      </c>
      <c r="G31" s="20">
        <f t="shared" si="1"/>
        <v>13.655146675843474</v>
      </c>
      <c r="H31" s="53"/>
      <c r="I31" s="12"/>
      <c r="J31" s="12"/>
      <c r="K31" s="9"/>
      <c r="L31" s="9"/>
      <c r="M31" s="3"/>
    </row>
    <row r="32" spans="1:13" s="5" customFormat="1" ht="13.5" customHeight="1">
      <c r="A32" s="2"/>
      <c r="B32" s="46" t="s">
        <v>58</v>
      </c>
      <c r="C32" s="14">
        <f>C30-C31</f>
        <v>2430309813.02</v>
      </c>
      <c r="D32" s="14">
        <f>D30-D31</f>
        <v>587725167.57</v>
      </c>
      <c r="E32" s="14">
        <f>E30-E31</f>
        <v>572950266.26</v>
      </c>
      <c r="F32" s="20">
        <f t="shared" si="0"/>
        <v>90.45140954556403</v>
      </c>
      <c r="G32" s="20">
        <f t="shared" si="1"/>
        <v>24.183137656826943</v>
      </c>
      <c r="H32" s="53"/>
      <c r="I32" s="12"/>
      <c r="J32" s="12"/>
      <c r="K32" s="9"/>
      <c r="L32" s="9"/>
      <c r="M32" s="3"/>
    </row>
    <row r="33" spans="1:13" s="5" customFormat="1" ht="6.75" customHeight="1">
      <c r="A33" s="2"/>
      <c r="B33" s="43"/>
      <c r="C33" s="7"/>
      <c r="D33" s="8"/>
      <c r="E33" s="8"/>
      <c r="F33" s="12"/>
      <c r="G33" s="12"/>
      <c r="H33" s="12"/>
      <c r="I33" s="12"/>
      <c r="J33" s="12"/>
      <c r="K33" s="9"/>
      <c r="L33" s="9"/>
      <c r="M33" s="3"/>
    </row>
    <row r="34" spans="2:13" ht="22.5" customHeight="1">
      <c r="B34" s="93" t="s">
        <v>84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63"/>
    </row>
    <row r="35" spans="2:13" s="5" customFormat="1" ht="6" customHeight="1" hidden="1">
      <c r="B35" s="6"/>
      <c r="C35" s="7"/>
      <c r="D35" s="8"/>
      <c r="E35" s="8"/>
      <c r="F35" s="4"/>
      <c r="G35" s="4"/>
      <c r="H35" s="4"/>
      <c r="I35" s="4"/>
      <c r="J35" s="4"/>
      <c r="K35" s="9"/>
      <c r="L35" s="9"/>
      <c r="M35" s="3"/>
    </row>
    <row r="36" spans="2:27" ht="29.25" customHeight="1">
      <c r="B36" s="103" t="s">
        <v>0</v>
      </c>
      <c r="C36" s="104" t="s">
        <v>59</v>
      </c>
      <c r="D36" s="104" t="s">
        <v>60</v>
      </c>
      <c r="E36" s="104" t="s">
        <v>61</v>
      </c>
      <c r="F36" s="104" t="s">
        <v>12</v>
      </c>
      <c r="G36" s="104"/>
      <c r="H36" s="104"/>
      <c r="I36" s="104" t="s">
        <v>62</v>
      </c>
      <c r="J36" s="104"/>
      <c r="K36" s="104" t="s">
        <v>2</v>
      </c>
      <c r="L36" s="102" t="s">
        <v>25</v>
      </c>
      <c r="M36" s="47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18" customHeight="1">
      <c r="B37" s="103"/>
      <c r="C37" s="104"/>
      <c r="D37" s="113"/>
      <c r="E37" s="104"/>
      <c r="F37" s="97" t="s">
        <v>63</v>
      </c>
      <c r="G37" s="114" t="s">
        <v>24</v>
      </c>
      <c r="H37" s="113"/>
      <c r="I37" s="104"/>
      <c r="J37" s="104"/>
      <c r="K37" s="104"/>
      <c r="L37" s="102"/>
      <c r="M37" s="57"/>
      <c r="N37" s="1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36" customHeight="1">
      <c r="B38" s="103"/>
      <c r="C38" s="104"/>
      <c r="D38" s="113"/>
      <c r="E38" s="104"/>
      <c r="F38" s="113"/>
      <c r="G38" s="48" t="s">
        <v>64</v>
      </c>
      <c r="H38" s="48" t="s">
        <v>65</v>
      </c>
      <c r="I38" s="104"/>
      <c r="J38" s="104"/>
      <c r="K38" s="104"/>
      <c r="L38" s="102"/>
      <c r="M38" s="57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3.5" customHeight="1">
      <c r="B39" s="103"/>
      <c r="C39" s="112" t="s">
        <v>39</v>
      </c>
      <c r="D39" s="112"/>
      <c r="E39" s="112"/>
      <c r="F39" s="112"/>
      <c r="G39" s="112"/>
      <c r="H39" s="112"/>
      <c r="I39" s="112"/>
      <c r="J39" s="112"/>
      <c r="K39" s="112" t="s">
        <v>4</v>
      </c>
      <c r="L39" s="112"/>
      <c r="M39" s="47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1.25" customHeight="1">
      <c r="B40" s="51">
        <v>1</v>
      </c>
      <c r="C40" s="50">
        <v>2</v>
      </c>
      <c r="D40" s="50">
        <v>3</v>
      </c>
      <c r="E40" s="50">
        <v>4</v>
      </c>
      <c r="F40" s="51">
        <v>5</v>
      </c>
      <c r="G40" s="51">
        <v>6</v>
      </c>
      <c r="H40" s="50">
        <v>7</v>
      </c>
      <c r="I40" s="113">
        <v>8</v>
      </c>
      <c r="J40" s="113"/>
      <c r="K40" s="51">
        <v>9</v>
      </c>
      <c r="L40" s="50">
        <v>10</v>
      </c>
      <c r="M40" s="47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13" ht="25.5" customHeight="1">
      <c r="B41" s="64" t="s">
        <v>31</v>
      </c>
      <c r="C41" s="75">
        <f>2868948988.13</f>
        <v>2868948988.13</v>
      </c>
      <c r="D41" s="75">
        <f>1176371129.4</f>
        <v>1176371129.4</v>
      </c>
      <c r="E41" s="75">
        <f>523363813.97</f>
        <v>523363813.97</v>
      </c>
      <c r="F41" s="75">
        <f>128430997.58</f>
        <v>128430997.58</v>
      </c>
      <c r="G41" s="75">
        <f>3302.56</f>
        <v>3302.56</v>
      </c>
      <c r="H41" s="75">
        <f>2278580.07</f>
        <v>2278580.07</v>
      </c>
      <c r="I41" s="120">
        <f>0</f>
        <v>0</v>
      </c>
      <c r="J41" s="120"/>
      <c r="K41" s="42">
        <f aca="true" t="shared" si="2" ref="K41:K50">IF($E$41=0,"",100*$E41/$E$41)</f>
        <v>100</v>
      </c>
      <c r="L41" s="42">
        <f aca="true" t="shared" si="3" ref="L41:L50">IF(C41=0,"",100*E41/C41)</f>
        <v>18.24235342403672</v>
      </c>
      <c r="M41" s="22"/>
    </row>
    <row r="42" spans="2:13" ht="12.75">
      <c r="B42" s="52" t="s">
        <v>14</v>
      </c>
      <c r="C42" s="16">
        <f>695601801.91</f>
        <v>695601801.91</v>
      </c>
      <c r="D42" s="16">
        <f>198101242.1</f>
        <v>198101242.1</v>
      </c>
      <c r="E42" s="16">
        <f>45659278.39</f>
        <v>45659278.39</v>
      </c>
      <c r="F42" s="16">
        <f>4511700.03</f>
        <v>4511700.03</v>
      </c>
      <c r="G42" s="16">
        <f>0</f>
        <v>0</v>
      </c>
      <c r="H42" s="16">
        <f>0</f>
        <v>0</v>
      </c>
      <c r="I42" s="116">
        <f>0</f>
        <v>0</v>
      </c>
      <c r="J42" s="121"/>
      <c r="K42" s="21">
        <f t="shared" si="2"/>
        <v>8.724194751572423</v>
      </c>
      <c r="L42" s="21">
        <f t="shared" si="3"/>
        <v>6.563996565941559</v>
      </c>
      <c r="M42" s="22"/>
    </row>
    <row r="43" spans="2:13" ht="12.75">
      <c r="B43" s="67" t="s">
        <v>13</v>
      </c>
      <c r="C43" s="68">
        <f>689639717.51</f>
        <v>689639717.51</v>
      </c>
      <c r="D43" s="68">
        <f>196257242.1</f>
        <v>196257242.1</v>
      </c>
      <c r="E43" s="68">
        <f>43815278.39</f>
        <v>43815278.39</v>
      </c>
      <c r="F43" s="68">
        <f>4511700.03</f>
        <v>4511700.03</v>
      </c>
      <c r="G43" s="68">
        <f>0</f>
        <v>0</v>
      </c>
      <c r="H43" s="68">
        <f>0</f>
        <v>0</v>
      </c>
      <c r="I43" s="115">
        <f>0</f>
        <v>0</v>
      </c>
      <c r="J43" s="115"/>
      <c r="K43" s="77">
        <f t="shared" si="2"/>
        <v>8.371858584879456</v>
      </c>
      <c r="L43" s="77">
        <f t="shared" si="3"/>
        <v>6.353357742822384</v>
      </c>
      <c r="M43" s="22"/>
    </row>
    <row r="44" spans="2:13" ht="22.5">
      <c r="B44" s="64" t="s">
        <v>32</v>
      </c>
      <c r="C44" s="76">
        <f aca="true" t="shared" si="4" ref="C44:I44">C41-C42</f>
        <v>2173347186.2200003</v>
      </c>
      <c r="D44" s="76">
        <f t="shared" si="4"/>
        <v>978269887.3000001</v>
      </c>
      <c r="E44" s="76">
        <f t="shared" si="4"/>
        <v>477704535.58000004</v>
      </c>
      <c r="F44" s="76">
        <f t="shared" si="4"/>
        <v>123919297.55</v>
      </c>
      <c r="G44" s="76">
        <f t="shared" si="4"/>
        <v>3302.56</v>
      </c>
      <c r="H44" s="76">
        <f t="shared" si="4"/>
        <v>2278580.07</v>
      </c>
      <c r="I44" s="116">
        <f t="shared" si="4"/>
        <v>0</v>
      </c>
      <c r="J44" s="116"/>
      <c r="K44" s="42">
        <f t="shared" si="2"/>
        <v>91.27580524842759</v>
      </c>
      <c r="L44" s="42">
        <f t="shared" si="3"/>
        <v>21.98012994006949</v>
      </c>
      <c r="M44" s="22"/>
    </row>
    <row r="45" spans="2:13" ht="22.5">
      <c r="B45" s="67" t="s">
        <v>83</v>
      </c>
      <c r="C45" s="68">
        <f>181071180.38</f>
        <v>181071180.38</v>
      </c>
      <c r="D45" s="68">
        <f>131758916.97</f>
        <v>131758916.97</v>
      </c>
      <c r="E45" s="68">
        <f>45571875.63</f>
        <v>45571875.63</v>
      </c>
      <c r="F45" s="68">
        <f>6986456.9</f>
        <v>6986456.9</v>
      </c>
      <c r="G45" s="68">
        <f>1763.56</f>
        <v>1763.56</v>
      </c>
      <c r="H45" s="68">
        <f>894.68</f>
        <v>894.68</v>
      </c>
      <c r="I45" s="115">
        <f>0</f>
        <v>0</v>
      </c>
      <c r="J45" s="115"/>
      <c r="K45" s="77">
        <f t="shared" si="2"/>
        <v>8.70749455991473</v>
      </c>
      <c r="L45" s="77">
        <f t="shared" si="3"/>
        <v>25.167934253458697</v>
      </c>
      <c r="M45" s="22"/>
    </row>
    <row r="46" spans="2:13" ht="12.75">
      <c r="B46" s="67" t="s">
        <v>28</v>
      </c>
      <c r="C46" s="79">
        <f>5664897.55</f>
        <v>5664897.55</v>
      </c>
      <c r="D46" s="79">
        <f>1446700.04</f>
        <v>1446700.04</v>
      </c>
      <c r="E46" s="79">
        <f>529233.55</f>
        <v>529233.55</v>
      </c>
      <c r="F46" s="79">
        <f>313792.45</f>
        <v>313792.45</v>
      </c>
      <c r="G46" s="79">
        <f>0</f>
        <v>0</v>
      </c>
      <c r="H46" s="79">
        <f>0</f>
        <v>0</v>
      </c>
      <c r="I46" s="117">
        <f>0</f>
        <v>0</v>
      </c>
      <c r="J46" s="117"/>
      <c r="K46" s="77">
        <f t="shared" si="2"/>
        <v>0.10112154028867126</v>
      </c>
      <c r="L46" s="77">
        <f t="shared" si="3"/>
        <v>9.342332236882203</v>
      </c>
      <c r="M46" s="22"/>
    </row>
    <row r="47" spans="2:13" ht="12.75">
      <c r="B47" s="67" t="s">
        <v>27</v>
      </c>
      <c r="C47" s="68">
        <f>12606710.22</f>
        <v>12606710.22</v>
      </c>
      <c r="D47" s="68">
        <f>4673648.16</f>
        <v>4673648.16</v>
      </c>
      <c r="E47" s="68">
        <f>2283865.95</f>
        <v>2283865.95</v>
      </c>
      <c r="F47" s="68">
        <f>121501.2</f>
        <v>121501.2</v>
      </c>
      <c r="G47" s="68">
        <f>0</f>
        <v>0</v>
      </c>
      <c r="H47" s="68">
        <f>0</f>
        <v>0</v>
      </c>
      <c r="I47" s="115">
        <f>0</f>
        <v>0</v>
      </c>
      <c r="J47" s="115"/>
      <c r="K47" s="77">
        <f t="shared" si="2"/>
        <v>0.4363820900561755</v>
      </c>
      <c r="L47" s="77">
        <f t="shared" si="3"/>
        <v>18.11627228788638</v>
      </c>
      <c r="M47" s="22"/>
    </row>
    <row r="48" spans="2:13" ht="22.5" customHeight="1">
      <c r="B48" s="67" t="s">
        <v>35</v>
      </c>
      <c r="C48" s="79">
        <f>0</f>
        <v>0</v>
      </c>
      <c r="D48" s="79">
        <f>0</f>
        <v>0</v>
      </c>
      <c r="E48" s="79">
        <f>0</f>
        <v>0</v>
      </c>
      <c r="F48" s="79">
        <f>0</f>
        <v>0</v>
      </c>
      <c r="G48" s="79">
        <f>0</f>
        <v>0</v>
      </c>
      <c r="H48" s="79">
        <f>0</f>
        <v>0</v>
      </c>
      <c r="I48" s="117">
        <f>0</f>
        <v>0</v>
      </c>
      <c r="J48" s="117"/>
      <c r="K48" s="77">
        <f t="shared" si="2"/>
        <v>0</v>
      </c>
      <c r="L48" s="77">
        <f t="shared" si="3"/>
      </c>
      <c r="M48" s="22"/>
    </row>
    <row r="49" spans="2:13" ht="22.5" customHeight="1">
      <c r="B49" s="67" t="s">
        <v>36</v>
      </c>
      <c r="C49" s="79">
        <f>1797052</f>
        <v>1797052</v>
      </c>
      <c r="D49" s="79">
        <f>921413.12</f>
        <v>921413.12</v>
      </c>
      <c r="E49" s="79">
        <f>271874.91</f>
        <v>271874.91</v>
      </c>
      <c r="F49" s="79">
        <f>42181.94</f>
        <v>42181.94</v>
      </c>
      <c r="G49" s="79">
        <f>0</f>
        <v>0</v>
      </c>
      <c r="H49" s="79">
        <f>0</f>
        <v>0</v>
      </c>
      <c r="I49" s="118">
        <f>0</f>
        <v>0</v>
      </c>
      <c r="J49" s="119"/>
      <c r="K49" s="77">
        <f t="shared" si="2"/>
        <v>0.05194759414826189</v>
      </c>
      <c r="L49" s="77">
        <f t="shared" si="3"/>
        <v>15.128939507593545</v>
      </c>
      <c r="M49" s="22"/>
    </row>
    <row r="50" spans="2:13" ht="12.75">
      <c r="B50" s="67" t="s">
        <v>26</v>
      </c>
      <c r="C50" s="68">
        <f aca="true" t="shared" si="5" ref="C50:I50">C44-C45-C46-C47-C48-C49</f>
        <v>1972207346.0700002</v>
      </c>
      <c r="D50" s="68">
        <f t="shared" si="5"/>
        <v>839469209.0100001</v>
      </c>
      <c r="E50" s="68">
        <f t="shared" si="5"/>
        <v>429047685.54</v>
      </c>
      <c r="F50" s="68">
        <f t="shared" si="5"/>
        <v>116455365.05999999</v>
      </c>
      <c r="G50" s="68">
        <f t="shared" si="5"/>
        <v>1539</v>
      </c>
      <c r="H50" s="68">
        <f t="shared" si="5"/>
        <v>2277685.3899999997</v>
      </c>
      <c r="I50" s="118">
        <f t="shared" si="5"/>
        <v>0</v>
      </c>
      <c r="J50" s="119"/>
      <c r="K50" s="77">
        <f t="shared" si="2"/>
        <v>81.97885946401973</v>
      </c>
      <c r="L50" s="77">
        <f t="shared" si="3"/>
        <v>21.754694626554326</v>
      </c>
      <c r="M50" s="22"/>
    </row>
    <row r="51" spans="2:13" ht="12.75">
      <c r="B51" s="64" t="s">
        <v>15</v>
      </c>
      <c r="C51" s="76">
        <f>C6-C41</f>
        <v>15722661.659999847</v>
      </c>
      <c r="D51" s="76"/>
      <c r="E51" s="76">
        <f>D6-E41</f>
        <v>126405128.85000002</v>
      </c>
      <c r="F51" s="76"/>
      <c r="G51" s="76"/>
      <c r="H51" s="76"/>
      <c r="I51" s="116"/>
      <c r="J51" s="116"/>
      <c r="K51" s="80"/>
      <c r="L51" s="80"/>
      <c r="M51" s="54"/>
    </row>
    <row r="52" spans="2:13" ht="7.5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2:13" ht="14.25" customHeight="1">
      <c r="B53" s="93" t="s">
        <v>84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63"/>
    </row>
    <row r="54" spans="2:13" ht="12.75">
      <c r="B54" s="58" t="s">
        <v>16</v>
      </c>
      <c r="C54" s="95" t="s">
        <v>17</v>
      </c>
      <c r="D54" s="96"/>
      <c r="E54" s="95" t="s">
        <v>1</v>
      </c>
      <c r="F54" s="96"/>
      <c r="G54" s="50" t="s">
        <v>21</v>
      </c>
      <c r="H54" s="50" t="s">
        <v>22</v>
      </c>
      <c r="I54" s="47"/>
      <c r="J54" s="47"/>
      <c r="K54" s="47"/>
      <c r="L54" s="47"/>
      <c r="M54" s="47"/>
    </row>
    <row r="55" spans="2:13" ht="12.75">
      <c r="B55" s="58"/>
      <c r="C55" s="97" t="s">
        <v>39</v>
      </c>
      <c r="D55" s="98"/>
      <c r="E55" s="98"/>
      <c r="F55" s="99"/>
      <c r="G55" s="100" t="s">
        <v>4</v>
      </c>
      <c r="H55" s="101"/>
      <c r="I55" s="47"/>
      <c r="J55" s="47"/>
      <c r="K55" s="47"/>
      <c r="L55" s="47"/>
      <c r="M55" s="47"/>
    </row>
    <row r="56" spans="2:13" ht="12.75">
      <c r="B56" s="59">
        <v>1</v>
      </c>
      <c r="C56" s="60">
        <v>2</v>
      </c>
      <c r="D56" s="61"/>
      <c r="E56" s="60">
        <v>3</v>
      </c>
      <c r="F56" s="61"/>
      <c r="G56" s="62">
        <v>4</v>
      </c>
      <c r="H56" s="62">
        <v>5</v>
      </c>
      <c r="I56" s="47"/>
      <c r="J56" s="47"/>
      <c r="K56" s="47"/>
      <c r="L56" s="47"/>
      <c r="M56" s="47"/>
    </row>
    <row r="57" spans="2:13" ht="22.5">
      <c r="B57" s="56" t="s">
        <v>33</v>
      </c>
      <c r="C57" s="29">
        <f>141571500.92</f>
        <v>141571500.92</v>
      </c>
      <c r="D57" s="30"/>
      <c r="E57" s="29">
        <f>520312646.25</f>
        <v>520312646.25</v>
      </c>
      <c r="F57" s="30"/>
      <c r="G57" s="26">
        <f>IF($E$57=0,"",100*$E57/$E$57)</f>
        <v>100</v>
      </c>
      <c r="H57" s="21">
        <f>IF(C57=0,"",100*E57/C57)</f>
        <v>367.52640387984667</v>
      </c>
      <c r="I57" s="47"/>
      <c r="J57" s="47"/>
      <c r="K57" s="47"/>
      <c r="L57" s="47"/>
      <c r="M57" s="47"/>
    </row>
    <row r="58" spans="2:13" ht="22.5">
      <c r="B58" s="23" t="s">
        <v>70</v>
      </c>
      <c r="C58" s="31">
        <f>41763525</f>
        <v>41763525</v>
      </c>
      <c r="D58" s="32"/>
      <c r="E58" s="31">
        <f>12820800.86</f>
        <v>12820800.86</v>
      </c>
      <c r="F58" s="32"/>
      <c r="G58" s="40">
        <f aca="true" t="shared" si="6" ref="G58:G64">IF($E$57=0,"",100*$E58/$E$57)</f>
        <v>2.4640571303431007</v>
      </c>
      <c r="H58" s="41">
        <f aca="true" t="shared" si="7" ref="H58:H69">IF(C58=0,"",100*E58/C58)</f>
        <v>30.698560190980047</v>
      </c>
      <c r="I58" s="47"/>
      <c r="J58" s="47"/>
      <c r="K58" s="47"/>
      <c r="L58" s="47"/>
      <c r="M58" s="47"/>
    </row>
    <row r="59" spans="2:13" ht="22.5">
      <c r="B59" s="81" t="s">
        <v>71</v>
      </c>
      <c r="C59" s="82">
        <f>0</f>
        <v>0</v>
      </c>
      <c r="D59" s="83"/>
      <c r="E59" s="82">
        <f>0</f>
        <v>0</v>
      </c>
      <c r="F59" s="83"/>
      <c r="G59" s="84">
        <f t="shared" si="6"/>
        <v>0</v>
      </c>
      <c r="H59" s="78">
        <f t="shared" si="7"/>
      </c>
      <c r="I59" s="47"/>
      <c r="J59" s="47"/>
      <c r="K59" s="47"/>
      <c r="L59" s="47"/>
      <c r="M59" s="47"/>
    </row>
    <row r="60" spans="2:13" ht="12.75">
      <c r="B60" s="85" t="s">
        <v>72</v>
      </c>
      <c r="C60" s="82">
        <f>0</f>
        <v>0</v>
      </c>
      <c r="D60" s="83"/>
      <c r="E60" s="82">
        <f>0</f>
        <v>0</v>
      </c>
      <c r="F60" s="83"/>
      <c r="G60" s="84">
        <f t="shared" si="6"/>
        <v>0</v>
      </c>
      <c r="H60" s="78">
        <f t="shared" si="7"/>
      </c>
      <c r="I60" s="47"/>
      <c r="J60" s="47"/>
      <c r="K60" s="47"/>
      <c r="L60" s="47"/>
      <c r="M60" s="47"/>
    </row>
    <row r="61" spans="2:13" ht="12.75">
      <c r="B61" s="85" t="s">
        <v>73</v>
      </c>
      <c r="C61" s="82">
        <f>50781909.15</f>
        <v>50781909.15</v>
      </c>
      <c r="D61" s="83"/>
      <c r="E61" s="82">
        <f>418719493.26</f>
        <v>418719493.26</v>
      </c>
      <c r="F61" s="83"/>
      <c r="G61" s="84">
        <f t="shared" si="6"/>
        <v>80.47459470335717</v>
      </c>
      <c r="H61" s="78">
        <f t="shared" si="7"/>
        <v>824.5446070630844</v>
      </c>
      <c r="I61" s="47"/>
      <c r="J61" s="47"/>
      <c r="K61" s="47"/>
      <c r="L61" s="47"/>
      <c r="M61" s="47"/>
    </row>
    <row r="62" spans="2:13" ht="12.75">
      <c r="B62" s="85" t="s">
        <v>74</v>
      </c>
      <c r="C62" s="82">
        <f>0</f>
        <v>0</v>
      </c>
      <c r="D62" s="83"/>
      <c r="E62" s="82">
        <f>0</f>
        <v>0</v>
      </c>
      <c r="F62" s="83"/>
      <c r="G62" s="84">
        <f t="shared" si="6"/>
        <v>0</v>
      </c>
      <c r="H62" s="78">
        <f t="shared" si="7"/>
      </c>
      <c r="I62" s="47"/>
      <c r="J62" s="47"/>
      <c r="K62" s="47"/>
      <c r="L62" s="47"/>
      <c r="M62" s="47"/>
    </row>
    <row r="63" spans="2:13" ht="33.75">
      <c r="B63" s="85" t="s">
        <v>75</v>
      </c>
      <c r="C63" s="82">
        <f>49026066.77</f>
        <v>49026066.77</v>
      </c>
      <c r="D63" s="83"/>
      <c r="E63" s="82">
        <f>86212452.13</f>
        <v>86212452.13</v>
      </c>
      <c r="F63" s="83"/>
      <c r="G63" s="84">
        <f t="shared" si="6"/>
        <v>16.56935551179677</v>
      </c>
      <c r="H63" s="78">
        <f t="shared" si="7"/>
        <v>175.85023194794624</v>
      </c>
      <c r="I63" s="47"/>
      <c r="J63" s="47"/>
      <c r="K63" s="47"/>
      <c r="L63" s="47"/>
      <c r="M63" s="47"/>
    </row>
    <row r="64" spans="2:13" ht="12.75">
      <c r="B64" s="81" t="s">
        <v>41</v>
      </c>
      <c r="C64" s="82">
        <f>0</f>
        <v>0</v>
      </c>
      <c r="D64" s="83"/>
      <c r="E64" s="82">
        <f>2559900</f>
        <v>2559900</v>
      </c>
      <c r="F64" s="83"/>
      <c r="G64" s="84">
        <f t="shared" si="6"/>
        <v>0.4919926545029656</v>
      </c>
      <c r="H64" s="78">
        <f t="shared" si="7"/>
      </c>
      <c r="I64" s="47"/>
      <c r="J64" s="47"/>
      <c r="K64" s="47"/>
      <c r="L64" s="47"/>
      <c r="M64" s="47"/>
    </row>
    <row r="65" spans="2:13" ht="22.5">
      <c r="B65" s="56" t="s">
        <v>34</v>
      </c>
      <c r="C65" s="37">
        <f>157050085.86</f>
        <v>157050085.86</v>
      </c>
      <c r="D65" s="38"/>
      <c r="E65" s="37">
        <f>17106145.31</f>
        <v>17106145.31</v>
      </c>
      <c r="F65" s="38"/>
      <c r="G65" s="26">
        <f>IF($E$65=0,"",100*$E65/$E$65)</f>
        <v>100</v>
      </c>
      <c r="H65" s="21">
        <f t="shared" si="7"/>
        <v>10.89215915822486</v>
      </c>
      <c r="I65" s="47"/>
      <c r="J65" s="47"/>
      <c r="K65" s="47"/>
      <c r="L65" s="47"/>
      <c r="M65" s="47"/>
    </row>
    <row r="66" spans="2:13" ht="33.75">
      <c r="B66" s="23" t="s">
        <v>76</v>
      </c>
      <c r="C66" s="31">
        <f>35920653.91</f>
        <v>35920653.91</v>
      </c>
      <c r="D66" s="35"/>
      <c r="E66" s="36">
        <f>11679341.61</f>
        <v>11679341.61</v>
      </c>
      <c r="F66" s="35"/>
      <c r="G66" s="40">
        <f>IF($E$65=0,"",100*$E66/$E$65)</f>
        <v>68.27570676119787</v>
      </c>
      <c r="H66" s="41">
        <f t="shared" si="7"/>
        <v>32.51427894175549</v>
      </c>
      <c r="I66" s="47"/>
      <c r="J66" s="47"/>
      <c r="K66" s="47"/>
      <c r="L66" s="47"/>
      <c r="M66" s="47"/>
    </row>
    <row r="67" spans="2:13" ht="12.75">
      <c r="B67" s="85" t="s">
        <v>77</v>
      </c>
      <c r="C67" s="82">
        <f>0</f>
        <v>0</v>
      </c>
      <c r="D67" s="83"/>
      <c r="E67" s="82">
        <f>0</f>
        <v>0</v>
      </c>
      <c r="F67" s="83"/>
      <c r="G67" s="84">
        <f>IF($E$65=0,"",100*$E67/$E$65)</f>
        <v>0</v>
      </c>
      <c r="H67" s="78">
        <f t="shared" si="7"/>
      </c>
      <c r="I67" s="47"/>
      <c r="J67" s="47"/>
      <c r="K67" s="47"/>
      <c r="L67" s="47"/>
      <c r="M67" s="47"/>
    </row>
    <row r="68" spans="2:13" ht="12.75">
      <c r="B68" s="85" t="s">
        <v>78</v>
      </c>
      <c r="C68" s="82">
        <f>100000</f>
        <v>100000</v>
      </c>
      <c r="D68" s="83"/>
      <c r="E68" s="82">
        <f>750000</f>
        <v>750000</v>
      </c>
      <c r="F68" s="83"/>
      <c r="G68" s="84">
        <f>IF($E$65=0,"",100*$E68/$E$65)</f>
        <v>4.3843892730267005</v>
      </c>
      <c r="H68" s="78">
        <f t="shared" si="7"/>
        <v>750</v>
      </c>
      <c r="I68" s="47"/>
      <c r="J68" s="47"/>
      <c r="K68" s="47"/>
      <c r="L68" s="47"/>
      <c r="M68" s="47"/>
    </row>
    <row r="69" spans="2:13" ht="12.75">
      <c r="B69" s="85" t="s">
        <v>23</v>
      </c>
      <c r="C69" s="82">
        <f>121029431.95</f>
        <v>121029431.95</v>
      </c>
      <c r="D69" s="83"/>
      <c r="E69" s="82">
        <f>4676803.7</f>
        <v>4676803.7</v>
      </c>
      <c r="F69" s="83"/>
      <c r="G69" s="84">
        <f>IF($E$65=0,"",100*$E69/$E$65)</f>
        <v>27.339903965775445</v>
      </c>
      <c r="H69" s="78">
        <f t="shared" si="7"/>
        <v>3.8641871027966928</v>
      </c>
      <c r="I69" s="47"/>
      <c r="J69" s="47"/>
      <c r="K69" s="47"/>
      <c r="L69" s="47"/>
      <c r="M69" s="47"/>
    </row>
    <row r="70" spans="2:13" ht="12.75">
      <c r="B70" s="22"/>
      <c r="C70" s="22"/>
      <c r="D70" s="22"/>
      <c r="E70" s="22"/>
      <c r="F70" s="22"/>
      <c r="G70" s="22"/>
      <c r="H70" s="22"/>
      <c r="I70" s="47"/>
      <c r="J70" s="47"/>
      <c r="K70" s="47"/>
      <c r="L70" s="47"/>
      <c r="M70" s="47"/>
    </row>
    <row r="71" spans="2:13" ht="12.75">
      <c r="B71" s="55" t="s">
        <v>16</v>
      </c>
      <c r="C71" s="108" t="s">
        <v>17</v>
      </c>
      <c r="D71" s="109"/>
      <c r="E71" s="108" t="s">
        <v>1</v>
      </c>
      <c r="F71" s="109"/>
      <c r="G71" s="13" t="s">
        <v>21</v>
      </c>
      <c r="H71" s="13" t="s">
        <v>22</v>
      </c>
      <c r="I71" s="47"/>
      <c r="J71" s="47"/>
      <c r="K71" s="47"/>
      <c r="L71" s="47"/>
      <c r="M71" s="47"/>
    </row>
    <row r="72" spans="2:13" ht="12.75">
      <c r="B72" s="55"/>
      <c r="C72" s="105" t="s">
        <v>39</v>
      </c>
      <c r="D72" s="106"/>
      <c r="E72" s="106"/>
      <c r="F72" s="107"/>
      <c r="G72" s="110" t="s">
        <v>4</v>
      </c>
      <c r="H72" s="111"/>
      <c r="I72" s="47"/>
      <c r="J72" s="47"/>
      <c r="K72" s="47"/>
      <c r="L72" s="47"/>
      <c r="M72" s="47"/>
    </row>
    <row r="73" spans="2:13" ht="12.75">
      <c r="B73" s="24">
        <v>1</v>
      </c>
      <c r="C73" s="27">
        <v>2</v>
      </c>
      <c r="D73" s="28"/>
      <c r="E73" s="27">
        <v>3</v>
      </c>
      <c r="F73" s="28"/>
      <c r="G73" s="25">
        <v>4</v>
      </c>
      <c r="H73" s="25">
        <v>5</v>
      </c>
      <c r="I73" s="47"/>
      <c r="J73" s="47"/>
      <c r="K73" s="47"/>
      <c r="L73" s="47"/>
      <c r="M73" s="47"/>
    </row>
    <row r="74" spans="2:13" ht="22.5">
      <c r="B74" s="39" t="s">
        <v>42</v>
      </c>
      <c r="C74" s="34">
        <f>92217468.27</f>
        <v>92217468.27</v>
      </c>
      <c r="D74" s="33"/>
      <c r="E74" s="34">
        <f>0</f>
        <v>0</v>
      </c>
      <c r="F74" s="30"/>
      <c r="G74" s="26"/>
      <c r="H74" s="21"/>
      <c r="I74" s="47"/>
      <c r="J74" s="47"/>
      <c r="K74" s="47"/>
      <c r="L74" s="47"/>
      <c r="M74" s="47"/>
    </row>
    <row r="75" spans="2:13" ht="45">
      <c r="B75" s="44" t="s">
        <v>43</v>
      </c>
      <c r="C75" s="36">
        <f>0</f>
        <v>0</v>
      </c>
      <c r="D75" s="35"/>
      <c r="E75" s="36">
        <f>0</f>
        <v>0</v>
      </c>
      <c r="F75" s="35"/>
      <c r="G75" s="40"/>
      <c r="H75" s="41"/>
      <c r="I75" s="47"/>
      <c r="J75" s="47"/>
      <c r="K75" s="47"/>
      <c r="L75" s="47"/>
      <c r="M75" s="47"/>
    </row>
    <row r="76" spans="2:13" ht="12.75">
      <c r="B76" s="44" t="s">
        <v>44</v>
      </c>
      <c r="C76" s="36">
        <f>23494456.66</f>
        <v>23494456.66</v>
      </c>
      <c r="D76" s="35"/>
      <c r="E76" s="36">
        <f>0</f>
        <v>0</v>
      </c>
      <c r="F76" s="35"/>
      <c r="G76" s="40"/>
      <c r="H76" s="41"/>
      <c r="I76" s="47"/>
      <c r="J76" s="47"/>
      <c r="K76" s="47"/>
      <c r="L76" s="47"/>
      <c r="M76" s="47"/>
    </row>
    <row r="77" spans="2:13" ht="22.5">
      <c r="B77" s="44" t="s">
        <v>45</v>
      </c>
      <c r="C77" s="36">
        <f>0</f>
        <v>0</v>
      </c>
      <c r="D77" s="35"/>
      <c r="E77" s="36">
        <f>0</f>
        <v>0</v>
      </c>
      <c r="F77" s="35"/>
      <c r="G77" s="40"/>
      <c r="H77" s="41"/>
      <c r="I77" s="47"/>
      <c r="J77" s="47"/>
      <c r="K77" s="47"/>
      <c r="L77" s="47"/>
      <c r="M77" s="47"/>
    </row>
    <row r="78" spans="2:13" ht="33.75">
      <c r="B78" s="44" t="s">
        <v>46</v>
      </c>
      <c r="C78" s="36">
        <f>21211683.02</f>
        <v>21211683.02</v>
      </c>
      <c r="D78" s="35"/>
      <c r="E78" s="36">
        <f>0</f>
        <v>0</v>
      </c>
      <c r="F78" s="35"/>
      <c r="G78" s="40"/>
      <c r="H78" s="41"/>
      <c r="I78" s="47"/>
      <c r="J78" s="47"/>
      <c r="K78" s="47"/>
      <c r="L78" s="47"/>
      <c r="M78" s="47"/>
    </row>
    <row r="79" spans="2:13" ht="75" customHeight="1">
      <c r="B79" s="44" t="s">
        <v>47</v>
      </c>
      <c r="C79" s="36">
        <f>21211683.02</f>
        <v>21211683.02</v>
      </c>
      <c r="D79" s="35"/>
      <c r="E79" s="36">
        <f>0</f>
        <v>0</v>
      </c>
      <c r="F79" s="35"/>
      <c r="G79" s="40"/>
      <c r="H79" s="41"/>
      <c r="I79" s="47"/>
      <c r="J79" s="47"/>
      <c r="K79" s="47"/>
      <c r="L79" s="47"/>
      <c r="M79" s="47"/>
    </row>
    <row r="80" spans="2:13" ht="3" customHeight="1">
      <c r="B80" s="22"/>
      <c r="C80" s="22"/>
      <c r="D80" s="22"/>
      <c r="E80" s="22"/>
      <c r="F80" s="22"/>
      <c r="G80" s="22"/>
      <c r="H80" s="22"/>
      <c r="I80" s="47"/>
      <c r="J80" s="47"/>
      <c r="K80" s="47"/>
      <c r="L80" s="47"/>
      <c r="M80" s="47"/>
    </row>
    <row r="81" spans="2:13" ht="12.75">
      <c r="B81" s="55" t="s">
        <v>16</v>
      </c>
      <c r="C81" s="108" t="s">
        <v>81</v>
      </c>
      <c r="D81" s="88"/>
      <c r="E81" s="88"/>
      <c r="F81" s="89"/>
      <c r="G81" s="47"/>
      <c r="H81" s="47"/>
      <c r="I81" s="47"/>
      <c r="J81" s="47"/>
      <c r="K81" s="47"/>
      <c r="L81" s="47"/>
      <c r="M81" s="47"/>
    </row>
    <row r="82" spans="2:13" ht="12.75">
      <c r="B82" s="55"/>
      <c r="C82" s="105" t="s">
        <v>39</v>
      </c>
      <c r="D82" s="106"/>
      <c r="E82" s="106"/>
      <c r="F82" s="107"/>
      <c r="G82" s="47"/>
      <c r="H82" s="47"/>
      <c r="I82" s="47"/>
      <c r="J82" s="47"/>
      <c r="K82" s="47"/>
      <c r="L82" s="47"/>
      <c r="M82" s="47"/>
    </row>
    <row r="83" spans="2:13" ht="12.75">
      <c r="B83" s="24">
        <v>1</v>
      </c>
      <c r="C83" s="90">
        <v>2</v>
      </c>
      <c r="D83" s="91"/>
      <c r="E83" s="91"/>
      <c r="F83" s="92"/>
      <c r="G83" s="47"/>
      <c r="H83" s="47"/>
      <c r="I83" s="47"/>
      <c r="J83" s="47"/>
      <c r="K83" s="47"/>
      <c r="L83" s="47"/>
      <c r="M83" s="47"/>
    </row>
    <row r="84" spans="2:13" ht="56.25">
      <c r="B84" s="39" t="s">
        <v>48</v>
      </c>
      <c r="C84" s="87">
        <f>22534879.98</f>
        <v>22534879.98</v>
      </c>
      <c r="D84" s="88"/>
      <c r="E84" s="88"/>
      <c r="F84" s="89"/>
      <c r="G84" s="47"/>
      <c r="H84" s="47"/>
      <c r="I84" s="47"/>
      <c r="J84" s="47"/>
      <c r="K84" s="47"/>
      <c r="L84" s="47"/>
      <c r="M84" s="47"/>
    </row>
    <row r="85" spans="2:13" ht="33.75">
      <c r="B85" s="44" t="s">
        <v>49</v>
      </c>
      <c r="C85" s="87">
        <f>16102390</f>
        <v>16102390</v>
      </c>
      <c r="D85" s="88"/>
      <c r="E85" s="88"/>
      <c r="F85" s="89"/>
      <c r="G85" s="47"/>
      <c r="H85" s="47"/>
      <c r="I85" s="47"/>
      <c r="J85" s="47"/>
      <c r="K85" s="47"/>
      <c r="L85" s="47"/>
      <c r="M85" s="47"/>
    </row>
    <row r="86" spans="2:13" ht="33.75">
      <c r="B86" s="44" t="s">
        <v>50</v>
      </c>
      <c r="C86" s="87">
        <f>6357012.64</f>
        <v>6357012.64</v>
      </c>
      <c r="D86" s="88"/>
      <c r="E86" s="88"/>
      <c r="F86" s="89"/>
      <c r="G86" s="47"/>
      <c r="H86" s="47"/>
      <c r="I86" s="47"/>
      <c r="J86" s="47"/>
      <c r="K86" s="47"/>
      <c r="L86" s="47"/>
      <c r="M86" s="47"/>
    </row>
    <row r="87" spans="2:13" ht="67.5">
      <c r="B87" s="44" t="s">
        <v>51</v>
      </c>
      <c r="C87" s="87">
        <f>0</f>
        <v>0</v>
      </c>
      <c r="D87" s="88"/>
      <c r="E87" s="88"/>
      <c r="F87" s="89"/>
      <c r="G87" s="47"/>
      <c r="H87" s="47"/>
      <c r="I87" s="47"/>
      <c r="J87" s="47"/>
      <c r="K87" s="47"/>
      <c r="L87" s="47"/>
      <c r="M87" s="47"/>
    </row>
    <row r="88" spans="2:13" ht="45">
      <c r="B88" s="44" t="s">
        <v>52</v>
      </c>
      <c r="C88" s="87">
        <f>0</f>
        <v>0</v>
      </c>
      <c r="D88" s="88"/>
      <c r="E88" s="88"/>
      <c r="F88" s="89"/>
      <c r="G88" s="47"/>
      <c r="H88" s="47"/>
      <c r="I88" s="47"/>
      <c r="J88" s="47"/>
      <c r="K88" s="47"/>
      <c r="L88" s="47"/>
      <c r="M88" s="47"/>
    </row>
    <row r="89" spans="2:13" ht="56.25">
      <c r="B89" s="86" t="s">
        <v>53</v>
      </c>
      <c r="C89" s="87">
        <f>119676.7</f>
        <v>119676.7</v>
      </c>
      <c r="D89" s="88"/>
      <c r="E89" s="88"/>
      <c r="F89" s="89"/>
      <c r="G89" s="47"/>
      <c r="H89" s="47"/>
      <c r="I89" s="47"/>
      <c r="J89" s="47"/>
      <c r="K89" s="47"/>
      <c r="L89" s="47"/>
      <c r="M89" s="47"/>
    </row>
    <row r="90" spans="2:13" ht="45">
      <c r="B90" s="86" t="s">
        <v>54</v>
      </c>
      <c r="C90" s="87">
        <f>0</f>
        <v>0</v>
      </c>
      <c r="D90" s="88"/>
      <c r="E90" s="88"/>
      <c r="F90" s="89"/>
      <c r="G90" s="47"/>
      <c r="H90" s="47"/>
      <c r="I90" s="47"/>
      <c r="J90" s="47"/>
      <c r="K90" s="47"/>
      <c r="L90" s="47"/>
      <c r="M90" s="47"/>
    </row>
    <row r="91" spans="2:13" ht="90">
      <c r="B91" s="86" t="s">
        <v>79</v>
      </c>
      <c r="C91" s="87">
        <f>0</f>
        <v>0</v>
      </c>
      <c r="D91" s="88"/>
      <c r="E91" s="88"/>
      <c r="F91" s="89"/>
      <c r="G91" s="47"/>
      <c r="H91" s="47"/>
      <c r="I91" s="47"/>
      <c r="J91" s="47"/>
      <c r="K91" s="47"/>
      <c r="L91" s="47"/>
      <c r="M91" s="47"/>
    </row>
    <row r="92" spans="2:13" ht="90">
      <c r="B92" s="86" t="s">
        <v>80</v>
      </c>
      <c r="C92" s="87">
        <f>0</f>
        <v>0</v>
      </c>
      <c r="D92" s="88"/>
      <c r="E92" s="88"/>
      <c r="F92" s="89"/>
      <c r="G92" s="47"/>
      <c r="H92" s="47"/>
      <c r="I92" s="47"/>
      <c r="J92" s="47"/>
      <c r="K92" s="47"/>
      <c r="L92" s="47"/>
      <c r="M92" s="47"/>
    </row>
    <row r="93" spans="2:13" ht="12.7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2:13" ht="3.75" customHeight="1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</sheetData>
  <sheetProtection/>
  <mergeCells count="50">
    <mergeCell ref="I47:J47"/>
    <mergeCell ref="I48:J48"/>
    <mergeCell ref="I50:J50"/>
    <mergeCell ref="E36:E38"/>
    <mergeCell ref="I51:J51"/>
    <mergeCell ref="I49:J49"/>
    <mergeCell ref="I41:J41"/>
    <mergeCell ref="I42:J42"/>
    <mergeCell ref="I45:J45"/>
    <mergeCell ref="I40:J40"/>
    <mergeCell ref="C39:J39"/>
    <mergeCell ref="C36:C38"/>
    <mergeCell ref="I43:J43"/>
    <mergeCell ref="I44:J44"/>
    <mergeCell ref="I46:J46"/>
    <mergeCell ref="K39:L39"/>
    <mergeCell ref="F4:H4"/>
    <mergeCell ref="I36:J38"/>
    <mergeCell ref="D36:D38"/>
    <mergeCell ref="B3:B4"/>
    <mergeCell ref="F37:F38"/>
    <mergeCell ref="F36:H36"/>
    <mergeCell ref="G37:H37"/>
    <mergeCell ref="C4:E4"/>
    <mergeCell ref="C82:F82"/>
    <mergeCell ref="C71:D71"/>
    <mergeCell ref="E71:F71"/>
    <mergeCell ref="C72:F72"/>
    <mergeCell ref="G72:H72"/>
    <mergeCell ref="C81:F81"/>
    <mergeCell ref="B1:L1"/>
    <mergeCell ref="B34:L34"/>
    <mergeCell ref="B53:L53"/>
    <mergeCell ref="C54:D54"/>
    <mergeCell ref="E54:F54"/>
    <mergeCell ref="C55:F55"/>
    <mergeCell ref="G55:H55"/>
    <mergeCell ref="L36:L38"/>
    <mergeCell ref="B36:B39"/>
    <mergeCell ref="K36:K38"/>
    <mergeCell ref="C89:F89"/>
    <mergeCell ref="C90:F90"/>
    <mergeCell ref="C91:F91"/>
    <mergeCell ref="C92:F92"/>
    <mergeCell ref="C83:F83"/>
    <mergeCell ref="C84:F84"/>
    <mergeCell ref="C85:F85"/>
    <mergeCell ref="C86:F86"/>
    <mergeCell ref="C87:F87"/>
    <mergeCell ref="C88:F88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3" manualBreakCount="3">
    <brk id="32" max="11" man="1"/>
    <brk id="52" max="11" man="1"/>
    <brk id="8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2017-03-30T12:13:25Z</cp:lastPrinted>
  <dcterms:created xsi:type="dcterms:W3CDTF">2001-05-17T08:58:03Z</dcterms:created>
  <dcterms:modified xsi:type="dcterms:W3CDTF">2019-05-21T12:25:12Z</dcterms:modified>
  <cp:category/>
  <cp:version/>
  <cp:contentType/>
  <cp:contentStatus/>
</cp:coreProperties>
</file>