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'doch_wyd'!$A$1:$L$79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<sst xmlns="http://schemas.openxmlformats.org/spreadsheetml/2006/main" count="96" uniqueCount="75">
  <si>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</si>
  <si>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</si>
  <si>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</si>
  <si>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</si>
  <si>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</si>
  <si>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</si>
  <si>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</si>
  <si>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</si>
  <si>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</si>
  <si>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</si>
  <si>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</si>
  <si>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</si>
  <si>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</si>
  <si>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</si>
  <si>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</si>
  <si>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</si>
  <si>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</si>
  <si>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</si>
  <si>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</si>
  <si>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</si>
  <si>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</si>
  <si>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</si>
  <si>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</si>
  <si>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</si>
  <si>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</si>
  <si>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</si>
  <si>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</si>
  <si>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</si>
  <si>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</si>
  <si>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</si>
  <si>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</si>
  <si>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</si>
  <si>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</si>
  <si>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</si>
  <si>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</si>
  <si>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</si>
  <si>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</si>
  <si>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</si>
  <si>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</si>
  <si>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</si>
  <si>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</si>
  <si>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</si>
  <si>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</si>
  <si>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</si>
  <si>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</si>
  <si>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</si>
  <si>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</si>
  <si>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</si>
  <si>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</si>
  <si>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</si>
  <si>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</si>
  <si>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</si>
  <si>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</si>
  <si>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</si>
  <si>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</si>
  <si>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</si>
  <si>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</si>
  <si>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</si>
  <si>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</si>
  <si>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</si>
  <si>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</si>
  <si>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</si>
  <si>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</si>
  <si>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</si>
  <si>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</si>
  <si>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</si>
  <si>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</si>
  <si>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</si>
  <si>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</si>
  <si>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</si>
  <si>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</si>
  <si>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</si>
  <si>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 xml:space="preserve">wydatki na wynagrodzenia i pochodne od wynagrodzeń </t>
  </si>
  <si>
    <t>niewykorzystane środki pieniężne o których mowa w art..217 ust.2 pkt.8 ustawy o finansach publicznych</t>
  </si>
  <si>
    <t xml:space="preserve">Informacja z wykonania budżetów związków jednostek samorządu terytorialnego za II Kwartały 2021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</si>
</sst>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0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4" t="s">
        <v>74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3.5" customHeight="1"/>
    <row r="3" spans="2:8" ht="66.75" customHeight="1">
      <c r="B3" s="96" t="s">
        <v>0</v>
      </c>
      <c r="C3" s="49" t="s">
        <v>59</v>
      </c>
      <c r="D3" s="49" t="s">
        <v>60</v>
      </c>
      <c r="E3" s="49" t="s">
        <v>61</v>
      </c>
      <c r="F3" s="51" t="s">
        <v>2</v>
      </c>
      <c r="G3" s="49" t="s">
        <v>18</v>
      </c>
      <c r="H3" s="49" t="s">
        <v>3</v>
      </c>
    </row>
    <row r="4" spans="2:8" ht="12.75">
      <c r="B4" s="96"/>
      <c r="C4" s="87" t="s">
        <v>39</v>
      </c>
      <c r="D4" s="87"/>
      <c r="E4" s="87"/>
      <c r="F4" s="87" t="s">
        <v>4</v>
      </c>
      <c r="G4" s="87"/>
      <c r="H4" s="87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3399803349.33</f>
        <v>3399803349.33</v>
      </c>
      <c r="D6" s="65">
        <f>1468716002.6</f>
        <v>1468716002.6</v>
      </c>
      <c r="E6" s="65">
        <f>1434738608.97</f>
        <v>1434738608.97</v>
      </c>
      <c r="F6" s="66">
        <f aca="true" t="shared" si="0" ref="F6:F31">IF($D$6=0,"",100*$D6/$D$6)</f>
        <v>100</v>
      </c>
      <c r="G6" s="66">
        <f>IF(C6=0,"",100*D6/C6)</f>
        <v>43.20002811013879</v>
      </c>
      <c r="H6" s="66"/>
    </row>
    <row r="7" spans="2:8" ht="22.5">
      <c r="B7" s="52" t="s">
        <v>29</v>
      </c>
      <c r="C7" s="15">
        <f>C6-C10</f>
        <v>3086186349.44</v>
      </c>
      <c r="D7" s="15">
        <f>D6-D10</f>
        <v>1381894507.32</v>
      </c>
      <c r="E7" s="15">
        <f>E6-E10</f>
        <v>1348222037.69</v>
      </c>
      <c r="F7" s="19">
        <f t="shared" si="0"/>
        <v>94.0886124256627</v>
      </c>
      <c r="G7" s="19">
        <f aca="true" t="shared" si="1" ref="G7:G31">IF(C7=0,"",100*D7/C7)</f>
        <v>44.776768180921735</v>
      </c>
      <c r="H7" s="19">
        <f>IF($D$7=0,"",100*$D7/$D$7)</f>
        <v>100</v>
      </c>
    </row>
    <row r="8" spans="2:8" ht="12.75">
      <c r="B8" s="67" t="s">
        <v>19</v>
      </c>
      <c r="C8" s="68">
        <f>69180716.56</f>
        <v>69180716.56</v>
      </c>
      <c r="D8" s="69">
        <f>33075797.9</f>
        <v>33075797.9</v>
      </c>
      <c r="E8" s="68">
        <f>32272711.57</f>
        <v>32272711.57</v>
      </c>
      <c r="F8" s="20">
        <f t="shared" si="0"/>
        <v>2.2520213466352548</v>
      </c>
      <c r="G8" s="20">
        <f t="shared" si="1"/>
        <v>47.81071886023841</v>
      </c>
      <c r="H8" s="20">
        <f>IF($D$7=0,"",100*$D8/$D$7)</f>
        <v>2.3935110621538036</v>
      </c>
    </row>
    <row r="9" spans="2:8" ht="12.75">
      <c r="B9" s="67" t="s">
        <v>20</v>
      </c>
      <c r="C9" s="68">
        <f>C7-C8</f>
        <v>3017005632.88</v>
      </c>
      <c r="D9" s="68">
        <f>D7-D8</f>
        <v>1348818709.4199998</v>
      </c>
      <c r="E9" s="68">
        <f>E7-E8</f>
        <v>1315949326.1200001</v>
      </c>
      <c r="F9" s="20">
        <f t="shared" si="0"/>
        <v>91.83659107902743</v>
      </c>
      <c r="G9" s="20">
        <f t="shared" si="1"/>
        <v>44.70719891008067</v>
      </c>
      <c r="H9" s="20">
        <f>IF($D$7=0,"",100*$D9/$D$7)</f>
        <v>97.6064889378462</v>
      </c>
    </row>
    <row r="10" spans="2:8" ht="22.5">
      <c r="B10" s="64" t="s">
        <v>62</v>
      </c>
      <c r="C10" s="65">
        <f>C11+C24+C26</f>
        <v>313616999.89000005</v>
      </c>
      <c r="D10" s="65">
        <f>D11+D24+D26</f>
        <v>86821495.28</v>
      </c>
      <c r="E10" s="65">
        <f>E11+E24+E26</f>
        <v>86516571.28</v>
      </c>
      <c r="F10" s="66">
        <f t="shared" si="0"/>
        <v>5.911387574337308</v>
      </c>
      <c r="G10" s="66">
        <f t="shared" si="1"/>
        <v>27.683925077547553</v>
      </c>
      <c r="H10" s="70"/>
    </row>
    <row r="11" spans="2:8" ht="22.5">
      <c r="B11" s="64" t="s">
        <v>30</v>
      </c>
      <c r="C11" s="65">
        <f>C12+C14+C16+C18+C20+C22</f>
        <v>18478160.35</v>
      </c>
      <c r="D11" s="65">
        <f>D12+D14+D16+D18+D20+D22</f>
        <v>9730827.43</v>
      </c>
      <c r="E11" s="65">
        <f>E12+E14+E16+E18+E20+E22</f>
        <v>9425903.43</v>
      </c>
      <c r="F11" s="66">
        <f t="shared" si="0"/>
        <v>0.6625397566836588</v>
      </c>
      <c r="G11" s="66">
        <f t="shared" si="1"/>
        <v>52.66123491562838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193030</f>
        <v>193030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  <v>0</v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14549047.35</f>
        <v>14549047.35</v>
      </c>
      <c r="D18" s="68">
        <f>8359467.17</f>
        <v>8359467.17</v>
      </c>
      <c r="E18" s="68">
        <f>8074543.17</f>
        <v>8074543.17</v>
      </c>
      <c r="F18" s="20">
        <f t="shared" si="0"/>
        <v>0.5691683862095614</v>
      </c>
      <c r="G18" s="20">
        <f t="shared" si="1"/>
        <v>57.45714457379919</v>
      </c>
      <c r="H18" s="17"/>
    </row>
    <row r="19" spans="2:8" ht="13.5" customHeight="1">
      <c r="B19" s="71" t="s">
        <v>6</v>
      </c>
      <c r="C19" s="68">
        <f>116960</f>
        <v>116960</v>
      </c>
      <c r="D19" s="68">
        <f>116960.09</f>
        <v>116960.09</v>
      </c>
      <c r="E19" s="68">
        <f>116960.09</f>
        <v>116960.09</v>
      </c>
      <c r="F19" s="20">
        <f t="shared" si="0"/>
        <v>0.007963424500921279</v>
      </c>
      <c r="G19" s="20">
        <f t="shared" si="1"/>
        <v>100.00007694938441</v>
      </c>
      <c r="H19" s="17"/>
    </row>
    <row r="20" spans="2:8" ht="34.5" customHeight="1">
      <c r="B20" s="72" t="s">
        <v>40</v>
      </c>
      <c r="C20" s="68">
        <f>3669373</f>
        <v>3669373</v>
      </c>
      <c r="D20" s="68">
        <f>1304650.68</f>
        <v>1304650.68</v>
      </c>
      <c r="E20" s="68">
        <f>1284650.68</f>
        <v>1284650.68</v>
      </c>
      <c r="F20" s="20">
        <f t="shared" si="0"/>
        <v>0.08882933648781911</v>
      </c>
      <c r="G20" s="20">
        <f t="shared" si="1"/>
        <v>35.55513925676131</v>
      </c>
      <c r="H20" s="17"/>
    </row>
    <row r="21" spans="2:8" ht="12.75">
      <c r="B21" s="71" t="s">
        <v>6</v>
      </c>
      <c r="C21" s="68">
        <f>3333600</f>
        <v>3333600</v>
      </c>
      <c r="D21" s="68">
        <f>1200000</f>
        <v>1200000</v>
      </c>
      <c r="E21" s="68">
        <f>1200000</f>
        <v>1200000</v>
      </c>
      <c r="F21" s="20">
        <f t="shared" si="0"/>
        <v>0.08170401887605878</v>
      </c>
      <c r="G21" s="20">
        <f t="shared" si="1"/>
        <v>35.99712023038157</v>
      </c>
      <c r="H21" s="17"/>
    </row>
    <row r="22" spans="2:8" ht="12.75">
      <c r="B22" s="67" t="s">
        <v>8</v>
      </c>
      <c r="C22" s="68">
        <f>66710</f>
        <v>66710</v>
      </c>
      <c r="D22" s="68">
        <f>66709.58</f>
        <v>66709.58</v>
      </c>
      <c r="E22" s="68">
        <f>66709.58</f>
        <v>66709.58</v>
      </c>
      <c r="F22" s="20">
        <f t="shared" si="0"/>
        <v>0.004542033986278295</v>
      </c>
      <c r="G22" s="20">
        <f t="shared" si="1"/>
        <v>99.999370409234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6760977.62</f>
        <v>6760977.62</v>
      </c>
      <c r="D24" s="15">
        <f>0</f>
        <v>0</v>
      </c>
      <c r="E24" s="15">
        <f>0</f>
        <v>0</v>
      </c>
      <c r="F24" s="19">
        <f t="shared" si="0"/>
        <v>0</v>
      </c>
      <c r="G24" s="19">
        <f t="shared" si="1"/>
        <v>0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6715977.62</f>
        <v>6715977.62</v>
      </c>
      <c r="D25" s="14">
        <f>0</f>
        <v>0</v>
      </c>
      <c r="E25" s="14">
        <f>0</f>
        <v>0</v>
      </c>
      <c r="F25" s="20">
        <f t="shared" si="0"/>
        <v>0</v>
      </c>
      <c r="G25" s="20">
        <f t="shared" si="1"/>
        <v>0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48</v>
      </c>
      <c r="C26" s="73">
        <f>288377861.92</f>
        <v>288377861.92</v>
      </c>
      <c r="D26" s="73">
        <f>77090667.85</f>
        <v>77090667.85</v>
      </c>
      <c r="E26" s="73">
        <f>77090667.85</f>
        <v>77090667.85</v>
      </c>
      <c r="F26" s="74">
        <f t="shared" si="0"/>
        <v>5.248847817653648</v>
      </c>
      <c r="G26" s="74">
        <f t="shared" si="1"/>
        <v>26.732519388532676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49</v>
      </c>
      <c r="C27" s="14">
        <f>258925223.56</f>
        <v>258925223.56</v>
      </c>
      <c r="D27" s="14">
        <f>63700433.31</f>
        <v>63700433.31</v>
      </c>
      <c r="E27" s="14">
        <f>63700433.31</f>
        <v>63700433.31</v>
      </c>
      <c r="F27" s="20">
        <f t="shared" si="0"/>
        <v>4.337151171311136</v>
      </c>
      <c r="G27" s="20">
        <f t="shared" si="1"/>
        <v>24.601864752368893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3399803349.33</v>
      </c>
      <c r="D29" s="73">
        <f>+D6</f>
        <v>1468716002.6</v>
      </c>
      <c r="E29" s="73">
        <f>+E6</f>
        <v>1434738608.97</v>
      </c>
      <c r="F29" s="74">
        <f t="shared" si="0"/>
        <v>100</v>
      </c>
      <c r="G29" s="74">
        <f t="shared" si="1"/>
        <v>43.20002811013879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50</v>
      </c>
      <c r="C30" s="14">
        <f>358869366.36</f>
        <v>358869366.36</v>
      </c>
      <c r="D30" s="14">
        <f>92609014.62</f>
        <v>92609014.62</v>
      </c>
      <c r="E30" s="14">
        <f>92188014.62</f>
        <v>92188014.62</v>
      </c>
      <c r="F30" s="20">
        <f t="shared" si="0"/>
        <v>6.305440565504737</v>
      </c>
      <c r="G30" s="20">
        <f t="shared" si="1"/>
        <v>25.805773158999372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51</v>
      </c>
      <c r="C31" s="14">
        <f>C29-C30</f>
        <v>3040933982.97</v>
      </c>
      <c r="D31" s="14">
        <f>D29-D30</f>
        <v>1376106987.98</v>
      </c>
      <c r="E31" s="14">
        <f>E29-E30</f>
        <v>1342550594.35</v>
      </c>
      <c r="F31" s="20">
        <f t="shared" si="0"/>
        <v>93.69455943449528</v>
      </c>
      <c r="G31" s="20">
        <f t="shared" si="1"/>
        <v>45.252774170256494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4" t="s">
        <v>74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6" t="s">
        <v>0</v>
      </c>
      <c r="C35" s="92" t="s">
        <v>52</v>
      </c>
      <c r="D35" s="92" t="s">
        <v>53</v>
      </c>
      <c r="E35" s="92" t="s">
        <v>54</v>
      </c>
      <c r="F35" s="92" t="s">
        <v>12</v>
      </c>
      <c r="G35" s="92"/>
      <c r="H35" s="92"/>
      <c r="I35" s="92" t="s">
        <v>55</v>
      </c>
      <c r="J35" s="92"/>
      <c r="K35" s="92" t="s">
        <v>2</v>
      </c>
      <c r="L35" s="112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6"/>
      <c r="C36" s="92"/>
      <c r="D36" s="86"/>
      <c r="E36" s="92"/>
      <c r="F36" s="97" t="s">
        <v>56</v>
      </c>
      <c r="G36" s="98" t="s">
        <v>24</v>
      </c>
      <c r="H36" s="86"/>
      <c r="I36" s="92"/>
      <c r="J36" s="92"/>
      <c r="K36" s="92"/>
      <c r="L36" s="112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6"/>
      <c r="C37" s="92"/>
      <c r="D37" s="86"/>
      <c r="E37" s="92"/>
      <c r="F37" s="86"/>
      <c r="G37" s="48" t="s">
        <v>57</v>
      </c>
      <c r="H37" s="48" t="s">
        <v>58</v>
      </c>
      <c r="I37" s="92"/>
      <c r="J37" s="92"/>
      <c r="K37" s="92"/>
      <c r="L37" s="112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6"/>
      <c r="C38" s="87" t="s">
        <v>39</v>
      </c>
      <c r="D38" s="87"/>
      <c r="E38" s="87"/>
      <c r="F38" s="87"/>
      <c r="G38" s="87"/>
      <c r="H38" s="87"/>
      <c r="I38" s="87"/>
      <c r="J38" s="87"/>
      <c r="K38" s="87" t="s">
        <v>4</v>
      </c>
      <c r="L38" s="87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86">
        <v>8</v>
      </c>
      <c r="J39" s="86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3702733461.14</f>
        <v>3702733461.14</v>
      </c>
      <c r="D40" s="75">
        <f>2249229396.28</f>
        <v>2249229396.28</v>
      </c>
      <c r="E40" s="75">
        <f>1363281639.03</f>
        <v>1363281639.03</v>
      </c>
      <c r="F40" s="75">
        <f>190335155.88</f>
        <v>190335155.88</v>
      </c>
      <c r="G40" s="75">
        <f>0</f>
        <v>0</v>
      </c>
      <c r="H40" s="75">
        <f>3763.01</f>
        <v>3763.01</v>
      </c>
      <c r="I40" s="94">
        <f>0</f>
        <v>0</v>
      </c>
      <c r="J40" s="94"/>
      <c r="K40" s="42">
        <f aca="true" t="shared" si="2" ref="K40:K49">IF($E$40=0,"",100*$E40/$E$40)</f>
        <v>100</v>
      </c>
      <c r="L40" s="42">
        <f aca="true" t="shared" si="3" ref="L40:L49">IF(C40=0,"",100*E40/C40)</f>
        <v>36.818249364626745</v>
      </c>
      <c r="M40" s="22"/>
    </row>
    <row r="41" spans="2:13" ht="12.75">
      <c r="B41" s="52" t="s">
        <v>14</v>
      </c>
      <c r="C41" s="16">
        <f>794350141.47</f>
        <v>794350141.47</v>
      </c>
      <c r="D41" s="16">
        <f>354559383.06</f>
        <v>354559383.06</v>
      </c>
      <c r="E41" s="16">
        <f>142300510.49</f>
        <v>142300510.49</v>
      </c>
      <c r="F41" s="16">
        <f>5651146.2</f>
        <v>5651146.2</v>
      </c>
      <c r="G41" s="16">
        <f>0</f>
        <v>0</v>
      </c>
      <c r="H41" s="16">
        <f>0</f>
        <v>0</v>
      </c>
      <c r="I41" s="93">
        <f>0</f>
        <v>0</v>
      </c>
      <c r="J41" s="95"/>
      <c r="K41" s="21">
        <f t="shared" si="2"/>
        <v>10.438086042972708</v>
      </c>
      <c r="L41" s="21">
        <f t="shared" si="3"/>
        <v>17.91407882507115</v>
      </c>
      <c r="M41" s="22"/>
    </row>
    <row r="42" spans="2:13" ht="12.75">
      <c r="B42" s="67" t="s">
        <v>13</v>
      </c>
      <c r="C42" s="68">
        <f>737491091.47</f>
        <v>737491091.47</v>
      </c>
      <c r="D42" s="68">
        <f>339101954.06</f>
        <v>339101954.06</v>
      </c>
      <c r="E42" s="68">
        <f>127048104.49</f>
        <v>127048104.49</v>
      </c>
      <c r="F42" s="68">
        <f>5651146.2</f>
        <v>5651146.2</v>
      </c>
      <c r="G42" s="68">
        <f>0</f>
        <v>0</v>
      </c>
      <c r="H42" s="68">
        <f>0</f>
        <v>0</v>
      </c>
      <c r="I42" s="88">
        <f>0</f>
        <v>0</v>
      </c>
      <c r="J42" s="88"/>
      <c r="K42" s="77">
        <f t="shared" si="2"/>
        <v>9.319285234443344</v>
      </c>
      <c r="L42" s="77">
        <f t="shared" si="3"/>
        <v>17.227069717786296</v>
      </c>
      <c r="M42" s="22"/>
    </row>
    <row r="43" spans="2:13" ht="22.5">
      <c r="B43" s="64" t="s">
        <v>32</v>
      </c>
      <c r="C43" s="76">
        <f aca="true" t="shared" si="4" ref="C43:I43">C40-C41</f>
        <v>2908383319.67</v>
      </c>
      <c r="D43" s="76">
        <f t="shared" si="4"/>
        <v>1894670013.2200003</v>
      </c>
      <c r="E43" s="76">
        <f t="shared" si="4"/>
        <v>1220981128.54</v>
      </c>
      <c r="F43" s="76">
        <f t="shared" si="4"/>
        <v>184684009.68</v>
      </c>
      <c r="G43" s="76">
        <f t="shared" si="4"/>
        <v>0</v>
      </c>
      <c r="H43" s="76">
        <f t="shared" si="4"/>
        <v>3763.01</v>
      </c>
      <c r="I43" s="93">
        <f t="shared" si="4"/>
        <v>0</v>
      </c>
      <c r="J43" s="93"/>
      <c r="K43" s="42">
        <f t="shared" si="2"/>
        <v>89.5619139570273</v>
      </c>
      <c r="L43" s="42">
        <f t="shared" si="3"/>
        <v>41.98143760082281</v>
      </c>
      <c r="M43" s="22"/>
    </row>
    <row r="44" spans="2:13" ht="22.5">
      <c r="B44" s="67" t="s">
        <v>72</v>
      </c>
      <c r="C44" s="68">
        <f>220259445.84</f>
        <v>220259445.84</v>
      </c>
      <c r="D44" s="68">
        <f>173251010.49</f>
        <v>173251010.49</v>
      </c>
      <c r="E44" s="68">
        <f>95747452.26</f>
        <v>95747452.26</v>
      </c>
      <c r="F44" s="68">
        <f>7027902.29</f>
        <v>7027902.29</v>
      </c>
      <c r="G44" s="68">
        <f>0</f>
        <v>0</v>
      </c>
      <c r="H44" s="68">
        <f>3670.87</f>
        <v>3670.87</v>
      </c>
      <c r="I44" s="88">
        <f>0</f>
        <v>0</v>
      </c>
      <c r="J44" s="88"/>
      <c r="K44" s="77">
        <f t="shared" si="2"/>
        <v>7.023306814879872</v>
      </c>
      <c r="L44" s="77">
        <f t="shared" si="3"/>
        <v>43.47030471036075</v>
      </c>
      <c r="M44" s="22"/>
    </row>
    <row r="45" spans="2:13" ht="12.75">
      <c r="B45" s="67" t="s">
        <v>28</v>
      </c>
      <c r="C45" s="79">
        <f>21581018.95</f>
        <v>21581018.95</v>
      </c>
      <c r="D45" s="79">
        <f>14961489.45</f>
        <v>14961489.45</v>
      </c>
      <c r="E45" s="79">
        <f>9276548.08</f>
        <v>9276548.08</v>
      </c>
      <c r="F45" s="79">
        <f>373465.51</f>
        <v>373465.51</v>
      </c>
      <c r="G45" s="79">
        <f>0</f>
        <v>0</v>
      </c>
      <c r="H45" s="79">
        <f>0</f>
        <v>0</v>
      </c>
      <c r="I45" s="89">
        <f>0</f>
        <v>0</v>
      </c>
      <c r="J45" s="89"/>
      <c r="K45" s="77">
        <f t="shared" si="2"/>
        <v>0.6804572008026482</v>
      </c>
      <c r="L45" s="77">
        <f t="shared" si="3"/>
        <v>42.98475480463818</v>
      </c>
      <c r="M45" s="22"/>
    </row>
    <row r="46" spans="2:13" ht="12.75">
      <c r="B46" s="67" t="s">
        <v>27</v>
      </c>
      <c r="C46" s="68">
        <f>13432129.82</f>
        <v>13432129.82</v>
      </c>
      <c r="D46" s="68">
        <f>4931780.35</f>
        <v>4931780.35</v>
      </c>
      <c r="E46" s="68">
        <f>2856082.62</f>
        <v>2856082.62</v>
      </c>
      <c r="F46" s="68">
        <f>78100.51</f>
        <v>78100.51</v>
      </c>
      <c r="G46" s="68">
        <f>0</f>
        <v>0</v>
      </c>
      <c r="H46" s="68">
        <f>0</f>
        <v>0</v>
      </c>
      <c r="I46" s="88">
        <f>0</f>
        <v>0</v>
      </c>
      <c r="J46" s="88"/>
      <c r="K46" s="77">
        <f t="shared" si="2"/>
        <v>0.2095005564684459</v>
      </c>
      <c r="L46" s="77">
        <f t="shared" si="3"/>
        <v>21.263065934245116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9">
        <f>0</f>
        <v>0</v>
      </c>
      <c r="J47" s="89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2811633</f>
        <v>2811633</v>
      </c>
      <c r="D48" s="79">
        <f>1595321.93</f>
        <v>1595321.93</v>
      </c>
      <c r="E48" s="79">
        <f>664912.79</f>
        <v>664912.79</v>
      </c>
      <c r="F48" s="79">
        <f>39305.9</f>
        <v>39305.9</v>
      </c>
      <c r="G48" s="79">
        <f>0</f>
        <v>0</v>
      </c>
      <c r="H48" s="79">
        <f>0</f>
        <v>0</v>
      </c>
      <c r="I48" s="90">
        <f>0</f>
        <v>0</v>
      </c>
      <c r="J48" s="91"/>
      <c r="K48" s="77">
        <f t="shared" si="2"/>
        <v>0.04877295864360777</v>
      </c>
      <c r="L48" s="77">
        <f t="shared" si="3"/>
        <v>23.648633729935593</v>
      </c>
      <c r="M48" s="22"/>
    </row>
    <row r="49" spans="2:13" ht="12.75">
      <c r="B49" s="67" t="s">
        <v>26</v>
      </c>
      <c r="C49" s="68">
        <f aca="true" t="shared" si="5" ref="C49:I49">C43-C44-C45-C46-C47-C48</f>
        <v>2650299092.06</v>
      </c>
      <c r="D49" s="68">
        <f t="shared" si="5"/>
        <v>1699930411.0000002</v>
      </c>
      <c r="E49" s="68">
        <f t="shared" si="5"/>
        <v>1112436132.7900002</v>
      </c>
      <c r="F49" s="68">
        <f t="shared" si="5"/>
        <v>177165235.47000003</v>
      </c>
      <c r="G49" s="68">
        <f t="shared" si="5"/>
        <v>0</v>
      </c>
      <c r="H49" s="68">
        <f t="shared" si="5"/>
        <v>92.14000000000033</v>
      </c>
      <c r="I49" s="90">
        <f t="shared" si="5"/>
        <v>0</v>
      </c>
      <c r="J49" s="91"/>
      <c r="K49" s="77">
        <f t="shared" si="2"/>
        <v>81.59987642623273</v>
      </c>
      <c r="L49" s="77">
        <f t="shared" si="3"/>
        <v>41.97398460131291</v>
      </c>
      <c r="M49" s="22"/>
    </row>
    <row r="50" spans="2:13" ht="12.75">
      <c r="B50" s="64" t="s">
        <v>15</v>
      </c>
      <c r="C50" s="76">
        <f>C6-C40</f>
        <v>-302930111.80999994</v>
      </c>
      <c r="D50" s="76"/>
      <c r="E50" s="76">
        <f>D6-E40</f>
        <v>105434363.56999993</v>
      </c>
      <c r="F50" s="76"/>
      <c r="G50" s="76"/>
      <c r="H50" s="76"/>
      <c r="I50" s="93"/>
      <c r="J50" s="93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4" t="s">
        <v>74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63"/>
    </row>
    <row r="53" spans="2:13" ht="12.75">
      <c r="B53" s="58" t="s">
        <v>16</v>
      </c>
      <c r="C53" s="106" t="s">
        <v>17</v>
      </c>
      <c r="D53" s="107"/>
      <c r="E53" s="106" t="s">
        <v>1</v>
      </c>
      <c r="F53" s="107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7" t="s">
        <v>39</v>
      </c>
      <c r="D54" s="108"/>
      <c r="E54" s="108"/>
      <c r="F54" s="109"/>
      <c r="G54" s="110" t="s">
        <v>4</v>
      </c>
      <c r="H54" s="111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395283170.79</f>
        <v>395283170.79</v>
      </c>
      <c r="D56" s="30"/>
      <c r="E56" s="29">
        <f>917550804.11</f>
        <v>917550804.11</v>
      </c>
      <c r="F56" s="30"/>
      <c r="G56" s="26">
        <f>IF($E$56=0,"",100*$E56/$E$56)</f>
        <v>100</v>
      </c>
      <c r="H56" s="21">
        <f>IF(C56=0,"",100*E56/C56)</f>
        <v>232.12493521447243</v>
      </c>
      <c r="I56" s="47"/>
      <c r="J56" s="47"/>
      <c r="K56" s="47"/>
      <c r="L56" s="47"/>
      <c r="M56" s="47"/>
    </row>
    <row r="57" spans="2:13" ht="22.5">
      <c r="B57" s="23" t="s">
        <v>63</v>
      </c>
      <c r="C57" s="31">
        <f>55117065</f>
        <v>55117065</v>
      </c>
      <c r="D57" s="32"/>
      <c r="E57" s="31">
        <f>10892593.29</f>
        <v>10892593.29</v>
      </c>
      <c r="F57" s="32"/>
      <c r="G57" s="40">
        <f aca="true" t="shared" si="6" ref="G57:G64">IF($E$56=0,"",100*$E57/$E$56)</f>
        <v>1.187137893750257</v>
      </c>
      <c r="H57" s="41">
        <f aca="true" t="shared" si="7" ref="H57:H69">IF(C57=0,"",100*E57/C57)</f>
        <v>19.762651168018472</v>
      </c>
      <c r="I57" s="47"/>
      <c r="J57" s="47"/>
      <c r="K57" s="47"/>
      <c r="L57" s="47"/>
      <c r="M57" s="47"/>
    </row>
    <row r="58" spans="2:13" ht="22.5">
      <c r="B58" s="81" t="s">
        <v>64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65</v>
      </c>
      <c r="C59" s="82">
        <f>100000</f>
        <v>100000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  <v>0</v>
      </c>
      <c r="I59" s="47"/>
      <c r="J59" s="47"/>
      <c r="K59" s="47"/>
      <c r="L59" s="47"/>
      <c r="M59" s="47"/>
    </row>
    <row r="60" spans="2:13" ht="12.75">
      <c r="B60" s="85" t="s">
        <v>66</v>
      </c>
      <c r="C60" s="82">
        <f>285793531.11</f>
        <v>285793531.11</v>
      </c>
      <c r="D60" s="83"/>
      <c r="E60" s="82">
        <f>820837181.87</f>
        <v>820837181.87</v>
      </c>
      <c r="F60" s="83"/>
      <c r="G60" s="84">
        <f t="shared" si="6"/>
        <v>89.45958939747106</v>
      </c>
      <c r="H60" s="78">
        <f t="shared" si="7"/>
        <v>287.2133524792992</v>
      </c>
      <c r="I60" s="47"/>
      <c r="J60" s="47"/>
      <c r="K60" s="47"/>
      <c r="L60" s="47"/>
      <c r="M60" s="47"/>
    </row>
    <row r="61" spans="2:13" ht="35.25" customHeight="1">
      <c r="B61" s="85" t="s">
        <v>73</v>
      </c>
      <c r="C61" s="82">
        <f>4929235.27</f>
        <v>4929235.27</v>
      </c>
      <c r="D61" s="83"/>
      <c r="E61" s="82">
        <f>12599509.55</f>
        <v>12599509.55</v>
      </c>
      <c r="F61" s="83"/>
      <c r="G61" s="84">
        <f t="shared" si="6"/>
        <v>1.373167512203446</v>
      </c>
      <c r="H61" s="78">
        <f t="shared" si="7"/>
        <v>255.60779431004926</v>
      </c>
      <c r="I61" s="47"/>
      <c r="J61" s="47"/>
      <c r="K61" s="47"/>
      <c r="L61" s="47"/>
      <c r="M61" s="47"/>
    </row>
    <row r="62" spans="2:13" ht="12.75">
      <c r="B62" s="85" t="s">
        <v>67</v>
      </c>
      <c r="C62" s="82">
        <f>0</f>
        <v>0</v>
      </c>
      <c r="D62" s="83"/>
      <c r="E62" s="82">
        <f>0</f>
        <v>0</v>
      </c>
      <c r="F62" s="83"/>
      <c r="G62" s="84">
        <f t="shared" si="6"/>
        <v>0</v>
      </c>
      <c r="H62" s="78">
        <f t="shared" si="7"/>
      </c>
      <c r="I62" s="47"/>
      <c r="J62" s="47"/>
      <c r="K62" s="47"/>
      <c r="L62" s="47"/>
      <c r="M62" s="47"/>
    </row>
    <row r="63" spans="2:13" ht="33.75">
      <c r="B63" s="85" t="s">
        <v>68</v>
      </c>
      <c r="C63" s="82">
        <f>49193339.41</f>
        <v>49193339.41</v>
      </c>
      <c r="D63" s="83"/>
      <c r="E63" s="82">
        <f>73175461.06</f>
        <v>73175461.06</v>
      </c>
      <c r="F63" s="83"/>
      <c r="G63" s="84">
        <f t="shared" si="6"/>
        <v>7.975085491966656</v>
      </c>
      <c r="H63" s="78">
        <f t="shared" si="7"/>
        <v>148.75074946655263</v>
      </c>
      <c r="I63" s="47"/>
      <c r="J63" s="47"/>
      <c r="K63" s="47"/>
      <c r="L63" s="47"/>
      <c r="M63" s="47"/>
    </row>
    <row r="64" spans="2:13" ht="12.75">
      <c r="B64" s="81" t="s">
        <v>41</v>
      </c>
      <c r="C64" s="82">
        <f>150000</f>
        <v>150000</v>
      </c>
      <c r="D64" s="83"/>
      <c r="E64" s="82">
        <f>46058.34</f>
        <v>46058.34</v>
      </c>
      <c r="F64" s="83"/>
      <c r="G64" s="84">
        <f t="shared" si="6"/>
        <v>0.0050197046085829955</v>
      </c>
      <c r="H64" s="78">
        <f t="shared" si="7"/>
        <v>30.70556</v>
      </c>
      <c r="I64" s="47"/>
      <c r="J64" s="47"/>
      <c r="K64" s="47"/>
      <c r="L64" s="47"/>
      <c r="M64" s="47"/>
    </row>
    <row r="65" spans="2:13" ht="22.5">
      <c r="B65" s="56" t="s">
        <v>34</v>
      </c>
      <c r="C65" s="37">
        <f>92196205.5</f>
        <v>92196205.5</v>
      </c>
      <c r="D65" s="38"/>
      <c r="E65" s="37">
        <f>25096474.9</f>
        <v>25096474.9</v>
      </c>
      <c r="F65" s="38"/>
      <c r="G65" s="26">
        <f>IF($E$65=0,"",100*$E65/$E$65)</f>
        <v>100</v>
      </c>
      <c r="H65" s="21">
        <f t="shared" si="7"/>
        <v>27.220724284580236</v>
      </c>
      <c r="I65" s="47"/>
      <c r="J65" s="47"/>
      <c r="K65" s="47"/>
      <c r="L65" s="47"/>
      <c r="M65" s="47"/>
    </row>
    <row r="66" spans="2:13" ht="33.75">
      <c r="B66" s="23" t="s">
        <v>69</v>
      </c>
      <c r="C66" s="31">
        <f>36792631.71</f>
        <v>36792631.71</v>
      </c>
      <c r="D66" s="35"/>
      <c r="E66" s="36">
        <f>17162383.74</f>
        <v>17162383.74</v>
      </c>
      <c r="F66" s="35"/>
      <c r="G66" s="40">
        <f>IF($E$65=0,"",100*$E66/$E$65)</f>
        <v>68.38563506781583</v>
      </c>
      <c r="H66" s="41">
        <f t="shared" si="7"/>
        <v>46.64625209545794</v>
      </c>
      <c r="I66" s="47"/>
      <c r="J66" s="47"/>
      <c r="K66" s="47"/>
      <c r="L66" s="47"/>
      <c r="M66" s="47"/>
    </row>
    <row r="67" spans="2:13" ht="12.75">
      <c r="B67" s="85" t="s">
        <v>70</v>
      </c>
      <c r="C67" s="82">
        <f>0</f>
        <v>0</v>
      </c>
      <c r="D67" s="83"/>
      <c r="E67" s="82">
        <f>0</f>
        <v>0</v>
      </c>
      <c r="F67" s="83"/>
      <c r="G67" s="84">
        <f>IF($E$65=0,"",100*$E67/$E$65)</f>
        <v>0</v>
      </c>
      <c r="H67" s="78">
        <f t="shared" si="7"/>
      </c>
      <c r="I67" s="47"/>
      <c r="J67" s="47"/>
      <c r="K67" s="47"/>
      <c r="L67" s="47"/>
      <c r="M67" s="47"/>
    </row>
    <row r="68" spans="2:13" ht="12.75">
      <c r="B68" s="85" t="s">
        <v>71</v>
      </c>
      <c r="C68" s="82">
        <f>50250000</f>
        <v>50250000</v>
      </c>
      <c r="D68" s="83"/>
      <c r="E68" s="82">
        <f>150000</f>
        <v>150000</v>
      </c>
      <c r="F68" s="83"/>
      <c r="G68" s="84">
        <f>IF($E$65=0,"",100*$E68/$E$65)</f>
        <v>0.5976935031620716</v>
      </c>
      <c r="H68" s="78">
        <f t="shared" si="7"/>
        <v>0.29850746268656714</v>
      </c>
      <c r="I68" s="47"/>
      <c r="J68" s="47"/>
      <c r="K68" s="47"/>
      <c r="L68" s="47"/>
      <c r="M68" s="47"/>
    </row>
    <row r="69" spans="2:13" ht="12.75">
      <c r="B69" s="85" t="s">
        <v>23</v>
      </c>
      <c r="C69" s="82">
        <f>5153573.79</f>
        <v>5153573.79</v>
      </c>
      <c r="D69" s="83"/>
      <c r="E69" s="82">
        <f>7784091.16</f>
        <v>7784091.16</v>
      </c>
      <c r="F69" s="83"/>
      <c r="G69" s="84">
        <f>IF($E$65=0,"",100*$E69/$E$65)</f>
        <v>31.016671429022093</v>
      </c>
      <c r="H69" s="78">
        <f t="shared" si="7"/>
        <v>151.0425867017614</v>
      </c>
      <c r="I69" s="47"/>
      <c r="J69" s="47"/>
      <c r="K69" s="47"/>
      <c r="L69" s="47"/>
      <c r="M69" s="47"/>
    </row>
    <row r="70" spans="2:13" ht="12.75">
      <c r="B70" s="22"/>
      <c r="C70" s="22"/>
      <c r="D70" s="22"/>
      <c r="E70" s="22"/>
      <c r="F70" s="22"/>
      <c r="G70" s="22"/>
      <c r="H70" s="22"/>
      <c r="I70" s="47"/>
      <c r="J70" s="47"/>
      <c r="K70" s="47"/>
      <c r="L70" s="47"/>
      <c r="M70" s="47"/>
    </row>
    <row r="71" spans="2:13" ht="12.75">
      <c r="B71" s="55" t="s">
        <v>16</v>
      </c>
      <c r="C71" s="113" t="s">
        <v>17</v>
      </c>
      <c r="D71" s="114"/>
      <c r="E71" s="113" t="s">
        <v>1</v>
      </c>
      <c r="F71" s="114"/>
      <c r="G71" s="13" t="s">
        <v>21</v>
      </c>
      <c r="H71" s="13" t="s">
        <v>22</v>
      </c>
      <c r="I71" s="47"/>
      <c r="J71" s="47"/>
      <c r="K71" s="47"/>
      <c r="L71" s="47"/>
      <c r="M71" s="47"/>
    </row>
    <row r="72" spans="2:13" ht="12.75">
      <c r="B72" s="55"/>
      <c r="C72" s="99" t="s">
        <v>39</v>
      </c>
      <c r="D72" s="100"/>
      <c r="E72" s="100"/>
      <c r="F72" s="101"/>
      <c r="G72" s="102" t="s">
        <v>4</v>
      </c>
      <c r="H72" s="103"/>
      <c r="I72" s="47"/>
      <c r="J72" s="47"/>
      <c r="K72" s="47"/>
      <c r="L72" s="47"/>
      <c r="M72" s="47"/>
    </row>
    <row r="73" spans="2:13" ht="12.75">
      <c r="B73" s="24">
        <v>1</v>
      </c>
      <c r="C73" s="27">
        <v>2</v>
      </c>
      <c r="D73" s="28"/>
      <c r="E73" s="27">
        <v>3</v>
      </c>
      <c r="F73" s="28"/>
      <c r="G73" s="25">
        <v>4</v>
      </c>
      <c r="H73" s="25">
        <v>5</v>
      </c>
      <c r="I73" s="47"/>
      <c r="J73" s="47"/>
      <c r="K73" s="47"/>
      <c r="L73" s="47"/>
      <c r="M73" s="47"/>
    </row>
    <row r="74" spans="2:13" ht="22.5">
      <c r="B74" s="39" t="s">
        <v>42</v>
      </c>
      <c r="C74" s="34">
        <f>306411670.81</f>
        <v>306411670.81</v>
      </c>
      <c r="D74" s="33"/>
      <c r="E74" s="34">
        <f>0</f>
        <v>0</v>
      </c>
      <c r="F74" s="30"/>
      <c r="G74" s="26"/>
      <c r="H74" s="21"/>
      <c r="I74" s="47"/>
      <c r="J74" s="47"/>
      <c r="K74" s="47"/>
      <c r="L74" s="47"/>
      <c r="M74" s="47"/>
    </row>
    <row r="75" spans="2:13" ht="45">
      <c r="B75" s="44" t="s">
        <v>43</v>
      </c>
      <c r="C75" s="36">
        <f>0</f>
        <v>0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12.75">
      <c r="B76" s="44" t="s">
        <v>44</v>
      </c>
      <c r="C76" s="36">
        <f>42920145.4</f>
        <v>42920145.4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22.5">
      <c r="B77" s="44" t="s">
        <v>45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33.75">
      <c r="B78" s="44" t="s">
        <v>46</v>
      </c>
      <c r="C78" s="36">
        <f>27558803.63</f>
        <v>27558803.63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98.25" customHeight="1">
      <c r="B79" s="44" t="s">
        <v>47</v>
      </c>
      <c r="C79" s="36">
        <f>27558803.63</f>
        <v>27558803.63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13.5" customHeigh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</sheetData>
  <sheetProtection/>
  <mergeCells count="38">
    <mergeCell ref="G54:H54"/>
    <mergeCell ref="L35:L37"/>
    <mergeCell ref="B35:B38"/>
    <mergeCell ref="K35:K37"/>
    <mergeCell ref="C71:D71"/>
    <mergeCell ref="E71:F71"/>
    <mergeCell ref="D35:D37"/>
    <mergeCell ref="I42:J42"/>
    <mergeCell ref="I43:J43"/>
    <mergeCell ref="I45:J45"/>
    <mergeCell ref="C72:F72"/>
    <mergeCell ref="G72:H72"/>
    <mergeCell ref="B1:L1"/>
    <mergeCell ref="B33:L33"/>
    <mergeCell ref="B52:L52"/>
    <mergeCell ref="C53:D53"/>
    <mergeCell ref="E53:F53"/>
    <mergeCell ref="C54:F54"/>
    <mergeCell ref="F4:H4"/>
    <mergeCell ref="I35:J37"/>
    <mergeCell ref="I50:J50"/>
    <mergeCell ref="I48:J48"/>
    <mergeCell ref="I40:J40"/>
    <mergeCell ref="I41:J41"/>
    <mergeCell ref="I44:J44"/>
    <mergeCell ref="B3:B4"/>
    <mergeCell ref="F36:F37"/>
    <mergeCell ref="F35:H35"/>
    <mergeCell ref="G36:H36"/>
    <mergeCell ref="C4:E4"/>
    <mergeCell ref="I39:J39"/>
    <mergeCell ref="K38:L38"/>
    <mergeCell ref="I46:J46"/>
    <mergeCell ref="I47:J47"/>
    <mergeCell ref="I49:J49"/>
    <mergeCell ref="E35:E37"/>
    <mergeCell ref="C38:J38"/>
    <mergeCell ref="C35:C37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2" manualBreakCount="2">
    <brk id="31" max="11" man="1"/>
    <brk id="5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2021-08-19T13:52:40Z</dcterms:modified>
  <cp:category/>
  <cp:version/>
  <cp:contentType/>
  <cp:contentStatus/>
</cp:coreProperties>
</file>