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4\II kwartał\2024.08.14 Ostateczne wygenerował Piotr\II KWARTAŁ\Zbiorówki_2024_k2_20230814\MF\"/>
    </mc:Choice>
  </mc:AlternateContent>
  <xr:revisionPtr revIDLastSave="0" documentId="8_{265F528F-531A-487D-9B2A-A0B9E9A523C2}" xr6:coauthVersionLast="47" xr6:coauthVersionMax="47" xr10:uidLastSave="{00000000-0000-0000-0000-000000000000}"/>
  <bookViews>
    <workbookView xWindow="-120" yWindow="-120" windowWidth="29040" windowHeight="15720"/>
  </bookViews>
  <sheets>
    <sheet name="doch_wyd" sheetId="4" r:id="rId1"/>
  </sheets>
  <definedNames>
    <definedName name="_xlnm.Print_Area" localSheetId="0">doch_wyd!$A$1:$L$98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4" l="1"/>
  <c r="C97" i="4"/>
  <c r="C96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1" i="4"/>
  <c r="H51" i="4"/>
  <c r="G51" i="4"/>
  <c r="F51" i="4"/>
  <c r="E51" i="4"/>
  <c r="D51" i="4"/>
  <c r="C51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D39" i="4"/>
  <c r="C39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1" i="4"/>
  <c r="C11" i="4"/>
  <c r="D10" i="4"/>
  <c r="C10" i="4"/>
  <c r="D9" i="4"/>
  <c r="C9" i="4"/>
  <c r="D8" i="4"/>
  <c r="C8" i="4"/>
  <c r="D6" i="4"/>
  <c r="C6" i="4"/>
  <c r="K73" i="4"/>
  <c r="K10" i="4"/>
  <c r="K29" i="4"/>
  <c r="K51" i="4"/>
  <c r="K72" i="4"/>
  <c r="K50" i="4"/>
  <c r="C14" i="4"/>
  <c r="K15" i="4"/>
  <c r="K23" i="4"/>
  <c r="K31" i="4"/>
  <c r="K56" i="4"/>
  <c r="D14" i="4"/>
  <c r="D13" i="4"/>
  <c r="D7" i="4"/>
  <c r="L8" i="4"/>
  <c r="F52" i="4"/>
  <c r="F58" i="4"/>
  <c r="D96" i="4"/>
  <c r="B42" i="4"/>
  <c r="K9" i="4"/>
  <c r="K16" i="4"/>
  <c r="K20" i="4"/>
  <c r="K24" i="4"/>
  <c r="K28" i="4"/>
  <c r="K32" i="4"/>
  <c r="K36" i="4"/>
  <c r="G52" i="4"/>
  <c r="G58" i="4"/>
  <c r="K54" i="4"/>
  <c r="K67" i="4"/>
  <c r="K71" i="4"/>
  <c r="H52" i="4"/>
  <c r="H58" i="4"/>
  <c r="K17" i="4"/>
  <c r="K33" i="4"/>
  <c r="K68" i="4"/>
  <c r="K18" i="4"/>
  <c r="K22" i="4"/>
  <c r="K26" i="4"/>
  <c r="K30" i="4"/>
  <c r="K34" i="4"/>
  <c r="C52" i="4"/>
  <c r="K65" i="4"/>
  <c r="K69" i="4"/>
  <c r="J15" i="4"/>
  <c r="J8" i="4"/>
  <c r="J16" i="4"/>
  <c r="J35" i="4"/>
  <c r="J19" i="4"/>
  <c r="J6" i="4"/>
  <c r="D38" i="4"/>
  <c r="D40" i="4"/>
  <c r="J24" i="4"/>
  <c r="J38" i="4"/>
  <c r="J23" i="4"/>
  <c r="J36" i="4"/>
  <c r="J11" i="4"/>
  <c r="J20" i="4"/>
  <c r="D59" i="4"/>
  <c r="J50" i="4"/>
  <c r="J53" i="4"/>
  <c r="J54" i="4"/>
  <c r="J56" i="4"/>
  <c r="J55" i="4"/>
  <c r="J57" i="4"/>
  <c r="E52" i="4"/>
  <c r="E58" i="4"/>
  <c r="K57" i="4"/>
  <c r="J71" i="4"/>
  <c r="J65" i="4"/>
  <c r="J72" i="4"/>
  <c r="J73" i="4"/>
  <c r="J74" i="4"/>
  <c r="K74" i="4"/>
  <c r="K78" i="4"/>
  <c r="K80" i="4"/>
  <c r="I52" i="4"/>
  <c r="I58" i="4"/>
  <c r="J78" i="4"/>
  <c r="J79" i="4"/>
  <c r="J81" i="4"/>
  <c r="J76" i="4"/>
  <c r="J80" i="4"/>
  <c r="J77" i="4"/>
  <c r="K77" i="4"/>
  <c r="K8" i="4"/>
  <c r="K66" i="4"/>
  <c r="K70" i="4"/>
  <c r="K53" i="4"/>
  <c r="K76" i="4"/>
  <c r="K21" i="4"/>
  <c r="K25" i="4"/>
  <c r="K39" i="4"/>
  <c r="K81" i="4"/>
  <c r="K11" i="4"/>
  <c r="K19" i="4"/>
  <c r="K27" i="4"/>
  <c r="K35" i="4"/>
  <c r="K55" i="4"/>
  <c r="K75" i="4"/>
  <c r="K79" i="4"/>
  <c r="C58" i="4"/>
  <c r="J51" i="4"/>
  <c r="J33" i="4"/>
  <c r="J70" i="4"/>
  <c r="J9" i="4"/>
  <c r="J17" i="4"/>
  <c r="J31" i="4"/>
  <c r="J39" i="4"/>
  <c r="J34" i="4"/>
  <c r="K6" i="4"/>
  <c r="J75" i="4"/>
  <c r="J69" i="4"/>
  <c r="J49" i="4"/>
  <c r="J30" i="4"/>
  <c r="J32" i="4"/>
  <c r="J68" i="4"/>
  <c r="J40" i="4"/>
  <c r="J10" i="4"/>
  <c r="J26" i="4"/>
  <c r="J21" i="4"/>
  <c r="K49" i="4"/>
  <c r="C38" i="4"/>
  <c r="J67" i="4"/>
  <c r="D52" i="4"/>
  <c r="D58" i="4"/>
  <c r="J58" i="4"/>
  <c r="J28" i="4"/>
  <c r="J27" i="4"/>
  <c r="J25" i="4"/>
  <c r="C59" i="4"/>
  <c r="J66" i="4"/>
  <c r="J29" i="4"/>
  <c r="J22" i="4"/>
  <c r="J18" i="4"/>
  <c r="B1" i="4"/>
  <c r="K52" i="4"/>
  <c r="K58" i="4"/>
  <c r="J52" i="4"/>
  <c r="J14" i="4"/>
  <c r="L7" i="4"/>
  <c r="L11" i="4"/>
  <c r="L10" i="4"/>
  <c r="J13" i="4"/>
  <c r="J7" i="4"/>
  <c r="K14" i="4"/>
  <c r="C13" i="4"/>
  <c r="B61" i="4"/>
  <c r="L9" i="4"/>
  <c r="D12" i="4"/>
  <c r="K38" i="4"/>
  <c r="C40" i="4"/>
  <c r="K40" i="4"/>
  <c r="J12" i="4"/>
  <c r="L12" i="4"/>
  <c r="K13" i="4"/>
  <c r="C7" i="4"/>
  <c r="C12" i="4"/>
  <c r="K12" i="4"/>
  <c r="K7" i="4"/>
</calcChain>
</file>

<file path=xl/sharedStrings.xml><?xml version="1.0" encoding="utf-8"?>
<sst xmlns="http://schemas.openxmlformats.org/spreadsheetml/2006/main" count="372" uniqueCount="96">
  <si>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</si>
  <si>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</si>
  <si>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</si>
  <si>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</si>
  <si>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</si>
  <si>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</si>
  <si>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</si>
  <si>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</si>
  <si>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</si>
  <si>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</si>
  <si>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</si>
  <si>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</si>
  <si>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</si>
  <si>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</si>
  <si>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</si>
  <si>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</si>
  <si>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</si>
  <si>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</si>
  <si>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</si>
  <si>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>dochody z majątku</t>
  </si>
  <si>
    <t xml:space="preserve">pozostałe dochody </t>
  </si>
  <si>
    <t>Struktura</t>
  </si>
  <si>
    <t>Wskaźnik</t>
  </si>
  <si>
    <t>w tym wymagalne:</t>
  </si>
  <si>
    <t>pozostałe wydatki</t>
  </si>
  <si>
    <t>wydatki na obsługę długu</t>
  </si>
  <si>
    <t>dotacje</t>
  </si>
  <si>
    <t>Razem dochody własne 
z tego:</t>
  </si>
  <si>
    <t>Dotacje celowe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</si>
  <si>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</si>
  <si>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</si>
  <si>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</si>
  <si>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</si>
  <si>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</si>
  <si>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</si>
  <si>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</si>
  <si>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</si>
  <si>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</si>
  <si>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</si>
  <si>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Dotacje §§ 200 i 620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</si>
  <si>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</si>
  <si>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</si>
  <si>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</si>
  <si>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</si>
  <si>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</si>
  <si>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</si>
  <si>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</si>
  <si>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</si>
  <si>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t>majątkowe</t>
  </si>
  <si>
    <t>bieżące</t>
  </si>
  <si>
    <r>
      <t xml:space="preserve">Plan 
(po zmianach)
</t>
    </r>
    <r>
      <rPr>
        <b/>
        <sz val="9"/>
        <rFont val="Arial"/>
        <family val="2"/>
        <charset val="238"/>
      </rPr>
      <t>R1</t>
    </r>
  </si>
  <si>
    <r>
      <t xml:space="preserve">Zaangażowanie
</t>
    </r>
    <r>
      <rPr>
        <b/>
        <sz val="9"/>
        <rFont val="Arial"/>
        <family val="2"/>
        <charset val="238"/>
      </rPr>
      <t>R10</t>
    </r>
  </si>
  <si>
    <r>
      <t xml:space="preserve">Wydatki
 wykonane
</t>
    </r>
    <r>
      <rPr>
        <b/>
        <sz val="9"/>
        <rFont val="Arial"/>
        <family val="2"/>
        <charset val="238"/>
      </rPr>
      <t>R4</t>
    </r>
  </si>
  <si>
    <r>
      <t xml:space="preserve">Wydatki, które nie wygasły 
z upływem roku budżetowego) 
(art.263 ust. 2 ustawy 
o finansach publicznych) 
</t>
    </r>
    <r>
      <rPr>
        <b/>
        <sz val="9"/>
        <rFont val="Arial"/>
        <family val="2"/>
        <charset val="238"/>
      </rPr>
      <t>R9</t>
    </r>
  </si>
  <si>
    <r>
      <t xml:space="preserve">ogółem
</t>
    </r>
    <r>
      <rPr>
        <b/>
        <sz val="9"/>
        <rFont val="Arial"/>
        <family val="2"/>
        <charset val="238"/>
      </rPr>
      <t>R11</t>
    </r>
  </si>
  <si>
    <r>
      <t xml:space="preserve">powstałe w latach ubiegłych
</t>
    </r>
    <r>
      <rPr>
        <b/>
        <sz val="9"/>
        <rFont val="Arial"/>
        <family val="2"/>
        <charset val="238"/>
      </rPr>
      <t>R12U</t>
    </r>
  </si>
  <si>
    <r>
      <t xml:space="preserve">powstałe w roku bieżącym
</t>
    </r>
    <r>
      <rPr>
        <b/>
        <sz val="9"/>
        <rFont val="Arial"/>
        <family val="2"/>
        <charset val="238"/>
      </rPr>
      <t>R12B</t>
    </r>
  </si>
  <si>
    <r>
      <t xml:space="preserve">Plan 
(po zmianach)
</t>
    </r>
    <r>
      <rPr>
        <b/>
        <sz val="9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</si>
  <si>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9"/>
        <color indexed="8"/>
        <rFont val="Arial"/>
        <family val="2"/>
        <charset val="238"/>
      </rPr>
      <t>R4</t>
    </r>
  </si>
  <si>
    <t>Dotacje ogółem              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</si>
  <si>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</si>
  <si>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</si>
  <si>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</si>
  <si>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</si>
  <si>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</si>
  <si>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</si>
  <si>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</si>
  <si>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 z Rządowego Funduszu Inwestycji Lokalnych)</t>
  </si>
  <si>
    <t>Wpływy z wpłat gmin i powiatów na rzecz związków</t>
  </si>
  <si>
    <t>udziały w podatku dochodowym PIT (tylko w związkach metropolitalnych)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</si>
  <si>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</si>
  <si>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</si>
  <si>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</si>
  <si>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</si>
  <si>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udzielone pożyczki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</si>
  <si>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</si>
  <si>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</si>
  <si>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</si>
  <si>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</si>
  <si>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</si>
  <si>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</si>
  <si>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</si>
  <si>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</si>
  <si>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</si>
  <si>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</si>
  <si>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Wpływy z innych lokalnych opłat pobieranych przez JST na podstawie odrębnych ustaw</t>
  </si>
  <si>
    <t>otrzymane z Funduszu Pomocy lub z innych środków (*)</t>
  </si>
  <si>
    <t>(*) na finansowanie lub dofinansowanie realizacji zadań w zakresie pomocy obywatelom Ukrainy</t>
  </si>
  <si>
    <t>tytul</t>
  </si>
  <si>
    <t>FINANSOWANIE DEFICYTU (E1+E2+E3+E4+E5+E6+E7+E8) 
z tego:</t>
  </si>
  <si>
    <t>stan niespłaconych na koniec okresu sprawozdawczego zobowiązań przeznaczonych na cel, o którym mowa w art. 89 ust. 1 pkt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</si>
  <si>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</si>
  <si>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</si>
  <si>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</si>
  <si>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</si>
  <si>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>=""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</si>
</sst>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* #,##0.00\ _z_ł_-;\-* #,##0.00\ _z_ł_-;_-* &quot;-&quot;??\ _z_ł_-;_-@_-"/>
    <numFmt numFmtId="166" formatCode="#,##0.0"/>
    <numFmt numFmtId="168" formatCode="dd/mm/yy\ h:mm;@"/>
  </numFmts>
  <fonts count="37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b/>
      <sz val="9"/>
      <color indexed="8"/>
      <name val="Arial"/>
      <family val="2"/>
      <charset val="238"/>
    </font>
    <font>
      <sz val="14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1" applyNumberFormat="0" applyAlignment="0" applyProtection="0"/>
    <xf numFmtId="0" fontId="15" fillId="17" borderId="2" applyNumberFormat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1" applyNumberFormat="0" applyAlignment="0" applyProtection="0"/>
    <xf numFmtId="0" fontId="22" fillId="0" borderId="7" applyNumberFormat="0" applyFill="0" applyAlignment="0" applyProtection="0"/>
    <xf numFmtId="0" fontId="23" fillId="10" borderId="0" applyNumberFormat="0" applyBorder="0" applyAlignment="0" applyProtection="0"/>
    <xf numFmtId="0" fontId="34" fillId="0" borderId="0"/>
    <xf numFmtId="0" fontId="34" fillId="0" borderId="0"/>
    <xf numFmtId="0" fontId="1" fillId="4" borderId="8" applyNumberFormat="0" applyFont="0" applyAlignment="0" applyProtection="0"/>
    <xf numFmtId="0" fontId="24" fillId="7" borderId="3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left" vertical="center"/>
    </xf>
    <xf numFmtId="166" fontId="2" fillId="0" borderId="0" xfId="0" applyNumberFormat="1" applyFont="1" applyFill="1"/>
    <xf numFmtId="0" fontId="7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19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19" borderId="10" xfId="0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 wrapText="1" indent="2"/>
    </xf>
    <xf numFmtId="166" fontId="10" fillId="20" borderId="10" xfId="0" applyNumberFormat="1" applyFont="1" applyFill="1" applyBorder="1" applyAlignment="1">
      <alignment horizontal="right" vertical="center"/>
    </xf>
    <xf numFmtId="166" fontId="3" fillId="0" borderId="10" xfId="0" applyNumberFormat="1" applyFont="1" applyFill="1" applyBorder="1" applyAlignment="1">
      <alignment horizontal="right" vertical="center"/>
    </xf>
    <xf numFmtId="166" fontId="9" fillId="20" borderId="10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19" borderId="10" xfId="0" applyNumberFormat="1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/>
    </xf>
    <xf numFmtId="166" fontId="9" fillId="20" borderId="10" xfId="28" applyNumberFormat="1" applyFont="1" applyFill="1" applyBorder="1" applyAlignment="1">
      <alignment horizontal="right" vertical="center"/>
    </xf>
    <xf numFmtId="0" fontId="5" fillId="19" borderId="11" xfId="0" applyFont="1" applyFill="1" applyBorder="1" applyAlignment="1">
      <alignment horizontal="center"/>
    </xf>
    <xf numFmtId="4" fontId="9" fillId="2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20" borderId="11" xfId="0" applyNumberFormat="1" applyFont="1" applyFill="1" applyBorder="1" applyAlignment="1">
      <alignment horizontal="right" vertical="center"/>
    </xf>
    <xf numFmtId="4" fontId="5" fillId="21" borderId="11" xfId="0" applyNumberFormat="1" applyFont="1" applyFill="1" applyBorder="1" applyAlignment="1">
      <alignment horizontal="right" vertical="center"/>
    </xf>
    <xf numFmtId="4" fontId="9" fillId="22" borderId="11" xfId="0" applyNumberFormat="1" applyFont="1" applyFill="1" applyBorder="1" applyAlignment="1">
      <alignment horizontal="right" vertical="center"/>
    </xf>
    <xf numFmtId="166" fontId="9" fillId="21" borderId="10" xfId="28" applyNumberFormat="1" applyFont="1" applyFill="1" applyBorder="1" applyAlignment="1">
      <alignment horizontal="right" vertical="center"/>
    </xf>
    <xf numFmtId="166" fontId="9" fillId="21" borderId="10" xfId="0" applyNumberFormat="1" applyFont="1" applyFill="1" applyBorder="1" applyAlignment="1">
      <alignment horizontal="right" vertical="center"/>
    </xf>
    <xf numFmtId="166" fontId="9" fillId="22" borderId="10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19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2" fillId="19" borderId="10" xfId="0" applyFont="1" applyFill="1" applyBorder="1" applyAlignment="1">
      <alignment horizontal="center" vertical="center" wrapText="1"/>
    </xf>
    <xf numFmtId="0" fontId="7" fillId="19" borderId="10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4" fontId="10" fillId="22" borderId="10" xfId="0" applyNumberFormat="1" applyFont="1" applyFill="1" applyBorder="1" applyAlignment="1">
      <alignment horizontal="right" vertical="center"/>
    </xf>
    <xf numFmtId="166" fontId="10" fillId="22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wrapText="1" indent="2"/>
    </xf>
    <xf numFmtId="166" fontId="3" fillId="22" borderId="1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166" fontId="9" fillId="0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 indent="1"/>
    </xf>
    <xf numFmtId="4" fontId="5" fillId="0" borderId="11" xfId="0" applyNumberFormat="1" applyFont="1" applyFill="1" applyBorder="1" applyAlignment="1">
      <alignment horizontal="right" vertical="center"/>
    </xf>
    <xf numFmtId="166" fontId="9" fillId="0" borderId="10" xfId="28" applyNumberFormat="1" applyFont="1" applyFill="1" applyBorder="1" applyAlignment="1">
      <alignment horizontal="right" vertical="center"/>
    </xf>
    <xf numFmtId="166" fontId="3" fillId="21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4" fontId="9" fillId="22" borderId="10" xfId="0" applyNumberFormat="1" applyFont="1" applyFill="1" applyBorder="1" applyAlignment="1">
      <alignment horizontal="right" vertical="center"/>
    </xf>
    <xf numFmtId="0" fontId="7" fillId="19" borderId="11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right" vertical="center"/>
    </xf>
    <xf numFmtId="4" fontId="10" fillId="0" borderId="16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vertical="center"/>
    </xf>
    <xf numFmtId="4" fontId="10" fillId="22" borderId="10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6" xfId="0" applyNumberFormat="1" applyFont="1" applyFill="1" applyBorder="1" applyAlignment="1">
      <alignment vertical="center" wrapText="1"/>
    </xf>
    <xf numFmtId="0" fontId="7" fillId="19" borderId="10" xfId="0" applyFont="1" applyFill="1" applyBorder="1" applyAlignment="1">
      <alignment vertical="center"/>
    </xf>
    <xf numFmtId="4" fontId="5" fillId="21" borderId="10" xfId="0" applyNumberFormat="1" applyFont="1" applyFill="1" applyBorder="1" applyAlignment="1">
      <alignment horizontal="right" vertical="center"/>
    </xf>
    <xf numFmtId="4" fontId="5" fillId="20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3" fillId="22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22" borderId="10" xfId="0" applyFont="1" applyFill="1" applyBorder="1" applyAlignment="1">
      <alignment vertical="center" wrapText="1"/>
    </xf>
    <xf numFmtId="0" fontId="6" fillId="22" borderId="10" xfId="0" applyFont="1" applyFill="1" applyBorder="1" applyAlignment="1">
      <alignment horizontal="left" vertical="center" wrapText="1"/>
    </xf>
    <xf numFmtId="0" fontId="6" fillId="20" borderId="10" xfId="0" applyFont="1" applyFill="1" applyBorder="1" applyAlignment="1">
      <alignment horizontal="left" vertical="center" wrapText="1" indent="1"/>
    </xf>
    <xf numFmtId="0" fontId="6" fillId="22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3"/>
    </xf>
    <xf numFmtId="0" fontId="6" fillId="22" borderId="10" xfId="0" applyFont="1" applyFill="1" applyBorder="1" applyAlignment="1">
      <alignment horizontal="left" vertical="center" wrapText="1" indent="2"/>
    </xf>
    <xf numFmtId="0" fontId="3" fillId="0" borderId="10" xfId="0" applyFont="1" applyFill="1" applyBorder="1" applyAlignment="1">
      <alignment horizontal="left" vertical="center" wrapText="1" indent="4"/>
    </xf>
    <xf numFmtId="0" fontId="3" fillId="0" borderId="10" xfId="0" applyFont="1" applyFill="1" applyBorder="1" applyAlignment="1">
      <alignment horizontal="left" vertical="top" wrapText="1" indent="3"/>
    </xf>
    <xf numFmtId="0" fontId="3" fillId="21" borderId="10" xfId="0" applyFont="1" applyFill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3"/>
    </xf>
    <xf numFmtId="4" fontId="9" fillId="20" borderId="11" xfId="0" applyNumberFormat="1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9" fillId="22" borderId="11" xfId="0" applyNumberFormat="1" applyFont="1" applyFill="1" applyBorder="1" applyAlignment="1">
      <alignment horizontal="center" vertical="center"/>
    </xf>
    <xf numFmtId="4" fontId="5" fillId="21" borderId="11" xfId="0" applyNumberFormat="1" applyFont="1" applyFill="1" applyBorder="1" applyAlignment="1">
      <alignment horizontal="center" vertical="center"/>
    </xf>
    <xf numFmtId="0" fontId="8" fillId="20" borderId="10" xfId="0" applyFont="1" applyFill="1" applyBorder="1" applyAlignment="1">
      <alignment vertical="center" wrapText="1"/>
    </xf>
    <xf numFmtId="0" fontId="35" fillId="22" borderId="10" xfId="39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2"/>
    </xf>
    <xf numFmtId="0" fontId="35" fillId="0" borderId="10" xfId="39" applyFont="1" applyBorder="1" applyAlignment="1">
      <alignment horizontal="left" vertical="center" wrapText="1" indent="1"/>
    </xf>
    <xf numFmtId="0" fontId="33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36" fillId="0" borderId="0" xfId="0" applyFont="1"/>
    <xf numFmtId="49" fontId="2" fillId="0" borderId="0" xfId="0" applyNumberFormat="1" applyFont="1"/>
    <xf numFmtId="168" fontId="7" fillId="0" borderId="11" xfId="0" applyNumberFormat="1" applyFont="1" applyBorder="1" applyAlignment="1">
      <alignment horizontal="center" vertical="center"/>
    </xf>
    <xf numFmtId="168" fontId="7" fillId="0" borderId="13" xfId="0" applyNumberFormat="1" applyFont="1" applyBorder="1" applyAlignment="1">
      <alignment horizontal="center" vertical="center"/>
    </xf>
    <xf numFmtId="0" fontId="7" fillId="19" borderId="16" xfId="0" applyFont="1" applyFill="1" applyBorder="1" applyAlignment="1">
      <alignment horizontal="center" vertical="center"/>
    </xf>
    <xf numFmtId="0" fontId="7" fillId="19" borderId="17" xfId="0" applyFont="1" applyFill="1" applyBorder="1" applyAlignment="1">
      <alignment horizontal="center" vertical="center"/>
    </xf>
    <xf numFmtId="0" fontId="7" fillId="19" borderId="19" xfId="0" applyFont="1" applyFill="1" applyBorder="1" applyAlignment="1">
      <alignment horizontal="center" vertical="center"/>
    </xf>
    <xf numFmtId="0" fontId="7" fillId="19" borderId="22" xfId="0" applyFont="1" applyFill="1" applyBorder="1" applyAlignment="1">
      <alignment horizontal="center" vertical="center"/>
    </xf>
    <xf numFmtId="0" fontId="7" fillId="19" borderId="0" xfId="0" applyFont="1" applyFill="1" applyBorder="1" applyAlignment="1">
      <alignment horizontal="center" vertical="center"/>
    </xf>
    <xf numFmtId="0" fontId="7" fillId="19" borderId="23" xfId="0" applyFont="1" applyFill="1" applyBorder="1" applyAlignment="1">
      <alignment horizontal="center" vertical="center"/>
    </xf>
    <xf numFmtId="0" fontId="7" fillId="19" borderId="20" xfId="0" applyFont="1" applyFill="1" applyBorder="1" applyAlignment="1">
      <alignment horizontal="center" vertical="center"/>
    </xf>
    <xf numFmtId="0" fontId="7" fillId="19" borderId="21" xfId="0" applyFont="1" applyFill="1" applyBorder="1" applyAlignment="1">
      <alignment horizontal="center" vertical="center"/>
    </xf>
    <xf numFmtId="0" fontId="7" fillId="19" borderId="1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29" fillId="19" borderId="10" xfId="0" applyFont="1" applyFill="1" applyBorder="1" applyAlignment="1">
      <alignment horizontal="center" vertical="center"/>
    </xf>
    <xf numFmtId="0" fontId="7" fillId="19" borderId="15" xfId="0" applyFont="1" applyFill="1" applyBorder="1" applyAlignment="1">
      <alignment horizontal="center" vertical="center" wrapText="1"/>
    </xf>
    <xf numFmtId="0" fontId="7" fillId="19" borderId="24" xfId="0" applyFont="1" applyFill="1" applyBorder="1" applyAlignment="1">
      <alignment horizontal="center" vertical="center" wrapText="1"/>
    </xf>
    <xf numFmtId="0" fontId="7" fillId="19" borderId="14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  <xf numFmtId="0" fontId="4" fillId="19" borderId="11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right" vertical="center" wrapText="1"/>
    </xf>
    <xf numFmtId="0" fontId="7" fillId="19" borderId="13" xfId="0" applyFont="1" applyFill="1" applyBorder="1" applyAlignment="1">
      <alignment horizontal="center" vertical="center"/>
    </xf>
    <xf numFmtId="0" fontId="7" fillId="19" borderId="11" xfId="0" applyFont="1" applyFill="1" applyBorder="1" applyAlignment="1">
      <alignment horizontal="center" vertical="center" wrapText="1"/>
    </xf>
    <xf numFmtId="0" fontId="7" fillId="19" borderId="13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5" fillId="19" borderId="13" xfId="0" applyFont="1" applyFill="1" applyBorder="1" applyAlignment="1">
      <alignment horizontal="center" vertical="center" wrapText="1"/>
    </xf>
    <xf numFmtId="0" fontId="4" fillId="19" borderId="16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ny" xfId="0" builtinId="0"/>
    <cellStyle name="Normalny 2" xfId="39"/>
    <cellStyle name="Normalny 2 2" xfId="40"/>
    <cellStyle name="Note" xfId="41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99"/>
  <sheetViews>
    <sheetView tabSelected="1" topLeftCell="B1" zoomScaleNormal="100" workbookViewId="0"/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5.7109375" style="1" customWidth="1"/>
    <col min="5" max="9" width="15.7109375" style="1" customWidth="1" outlineLevel="1"/>
    <col min="10" max="10" width="13" style="1" customWidth="1"/>
    <col min="11" max="11" width="9.7109375" style="1" customWidth="1"/>
    <col min="12" max="12" width="10.140625" style="1" customWidth="1"/>
    <col min="13" max="13" width="8.140625" style="1" customWidth="1"/>
    <col min="14" max="16384" width="9.140625" style="1"/>
  </cols>
  <sheetData>
    <row r="1" spans="2:12" ht="18" customHeight="1" x14ac:dyDescent="0.2">
      <c r="B1" s="112" t="str">
        <f>CONCATENATE("Informacja z wykonania budżetów związków jednostek samorządu terytorialnego za ",$D$96," ",$C$97," rok    ",$C$99,"")</f>
        <v>Informacja z wykonania budżetów związków jednostek samorządu terytorialnego za II Kwartały 2024 rok    =""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2:12" ht="13.5" customHeight="1" x14ac:dyDescent="0.2"/>
    <row r="3" spans="2:12" ht="66.75" customHeight="1" x14ac:dyDescent="0.2">
      <c r="B3" s="131" t="s">
        <v>0</v>
      </c>
      <c r="C3" s="39" t="s">
        <v>57</v>
      </c>
      <c r="D3" s="39" t="s">
        <v>58</v>
      </c>
      <c r="E3" s="11" t="s">
        <v>80</v>
      </c>
      <c r="F3" s="11" t="s">
        <v>81</v>
      </c>
      <c r="G3" s="11" t="s">
        <v>82</v>
      </c>
      <c r="H3" s="11" t="s">
        <v>83</v>
      </c>
      <c r="I3" s="11" t="s">
        <v>84</v>
      </c>
      <c r="J3" s="41" t="s">
        <v>2</v>
      </c>
      <c r="K3" s="39" t="s">
        <v>18</v>
      </c>
      <c r="L3" s="39" t="s">
        <v>3</v>
      </c>
    </row>
    <row r="4" spans="2:12" x14ac:dyDescent="0.2">
      <c r="B4" s="131"/>
      <c r="C4" s="138" t="s">
        <v>40</v>
      </c>
      <c r="D4" s="140"/>
      <c r="E4" s="149" t="s">
        <v>79</v>
      </c>
      <c r="F4" s="150"/>
      <c r="G4" s="150"/>
      <c r="H4" s="150"/>
      <c r="I4" s="151"/>
      <c r="J4" s="138" t="s">
        <v>4</v>
      </c>
      <c r="K4" s="139"/>
      <c r="L4" s="140"/>
    </row>
    <row r="5" spans="2:12" x14ac:dyDescent="0.2">
      <c r="B5" s="41">
        <v>1</v>
      </c>
      <c r="C5" s="40">
        <v>2</v>
      </c>
      <c r="D5" s="40">
        <v>3</v>
      </c>
      <c r="E5" s="152"/>
      <c r="F5" s="153"/>
      <c r="G5" s="153"/>
      <c r="H5" s="153"/>
      <c r="I5" s="154"/>
      <c r="J5" s="40">
        <v>4</v>
      </c>
      <c r="K5" s="40">
        <v>5</v>
      </c>
      <c r="L5" s="40">
        <v>6</v>
      </c>
    </row>
    <row r="6" spans="2:12" ht="14.1" customHeight="1" x14ac:dyDescent="0.2">
      <c r="B6" s="92" t="s">
        <v>5</v>
      </c>
      <c r="C6" s="51">
        <f>5084565246.28</f>
        <v>5084565246.2799997</v>
      </c>
      <c r="D6" s="51">
        <f>2312874083.99</f>
        <v>2312874083.9899998</v>
      </c>
      <c r="E6" s="86" t="s">
        <v>79</v>
      </c>
      <c r="F6" s="86" t="s">
        <v>79</v>
      </c>
      <c r="G6" s="86" t="s">
        <v>79</v>
      </c>
      <c r="H6" s="86" t="s">
        <v>79</v>
      </c>
      <c r="I6" s="86" t="s">
        <v>79</v>
      </c>
      <c r="J6" s="52">
        <f t="shared" ref="J6:J40" si="0">IF($D$6=0,"",100*$D6/$D$6)</f>
        <v>100</v>
      </c>
      <c r="K6" s="52">
        <f t="shared" ref="K6:K40" si="1">IF(C6=0,"",100*D6/C6)</f>
        <v>45.488138551907824</v>
      </c>
      <c r="L6" s="52"/>
    </row>
    <row r="7" spans="2:12" ht="27" customHeight="1" x14ac:dyDescent="0.2">
      <c r="B7" s="94" t="s">
        <v>27</v>
      </c>
      <c r="C7" s="15">
        <f>C6-C13</f>
        <v>4296865263.8599997</v>
      </c>
      <c r="D7" s="15">
        <f>D6-D13</f>
        <v>2123176229.4099998</v>
      </c>
      <c r="E7" s="86" t="s">
        <v>79</v>
      </c>
      <c r="F7" s="86" t="s">
        <v>79</v>
      </c>
      <c r="G7" s="86" t="s">
        <v>79</v>
      </c>
      <c r="H7" s="86" t="s">
        <v>79</v>
      </c>
      <c r="I7" s="86" t="s">
        <v>79</v>
      </c>
      <c r="J7" s="19">
        <f t="shared" si="0"/>
        <v>91.79817630829487</v>
      </c>
      <c r="K7" s="19">
        <f t="shared" si="1"/>
        <v>49.412213300416333</v>
      </c>
      <c r="L7" s="19">
        <f t="shared" ref="L7:L12" si="2">IF($D$7=0,"",100*$D7/$D$7)</f>
        <v>100.00000000000001</v>
      </c>
    </row>
    <row r="8" spans="2:12" ht="22.5" outlineLevel="1" x14ac:dyDescent="0.2">
      <c r="B8" s="18" t="s">
        <v>69</v>
      </c>
      <c r="C8" s="53">
        <f>522744586</f>
        <v>522744586</v>
      </c>
      <c r="D8" s="54">
        <f>261372288</f>
        <v>261372288</v>
      </c>
      <c r="E8" s="87" t="s">
        <v>79</v>
      </c>
      <c r="F8" s="87" t="s">
        <v>79</v>
      </c>
      <c r="G8" s="87" t="s">
        <v>79</v>
      </c>
      <c r="H8" s="87" t="s">
        <v>79</v>
      </c>
      <c r="I8" s="87" t="s">
        <v>79</v>
      </c>
      <c r="J8" s="20">
        <f t="shared" si="0"/>
        <v>11.300757348151864</v>
      </c>
      <c r="K8" s="20">
        <f t="shared" si="1"/>
        <v>49.999999043509938</v>
      </c>
      <c r="L8" s="20">
        <f t="shared" si="2"/>
        <v>12.310437747912786</v>
      </c>
    </row>
    <row r="9" spans="2:12" ht="22.5" outlineLevel="1" x14ac:dyDescent="0.2">
      <c r="B9" s="56" t="s">
        <v>68</v>
      </c>
      <c r="C9" s="53">
        <f>1490722013.34</f>
        <v>1490722013.3399999</v>
      </c>
      <c r="D9" s="54">
        <f>745517150.45</f>
        <v>745517150.45000005</v>
      </c>
      <c r="E9" s="87" t="s">
        <v>79</v>
      </c>
      <c r="F9" s="87" t="s">
        <v>79</v>
      </c>
      <c r="G9" s="87" t="s">
        <v>79</v>
      </c>
      <c r="H9" s="87" t="s">
        <v>79</v>
      </c>
      <c r="I9" s="87" t="s">
        <v>79</v>
      </c>
      <c r="J9" s="20">
        <f t="shared" si="0"/>
        <v>32.233365214758635</v>
      </c>
      <c r="K9" s="20">
        <f t="shared" si="1"/>
        <v>50.010474372726961</v>
      </c>
      <c r="L9" s="20">
        <f t="shared" si="2"/>
        <v>35.113295831178768</v>
      </c>
    </row>
    <row r="10" spans="2:12" ht="33.75" outlineLevel="1" x14ac:dyDescent="0.2">
      <c r="B10" s="56" t="s">
        <v>85</v>
      </c>
      <c r="C10" s="53">
        <f>892598144.89</f>
        <v>892598144.88999999</v>
      </c>
      <c r="D10" s="54">
        <f>454058656.23</f>
        <v>454058656.23000002</v>
      </c>
      <c r="E10" s="87" t="s">
        <v>79</v>
      </c>
      <c r="F10" s="87" t="s">
        <v>79</v>
      </c>
      <c r="G10" s="87" t="s">
        <v>79</v>
      </c>
      <c r="H10" s="87" t="s">
        <v>79</v>
      </c>
      <c r="I10" s="87" t="s">
        <v>79</v>
      </c>
      <c r="J10" s="20">
        <f t="shared" si="0"/>
        <v>19.631793160425381</v>
      </c>
      <c r="K10" s="20">
        <f t="shared" si="1"/>
        <v>50.869325555897973</v>
      </c>
      <c r="L10" s="20">
        <f t="shared" si="2"/>
        <v>21.385820448648126</v>
      </c>
    </row>
    <row r="11" spans="2:12" ht="12.75" customHeight="1" outlineLevel="1" x14ac:dyDescent="0.2">
      <c r="B11" s="56" t="s">
        <v>19</v>
      </c>
      <c r="C11" s="53">
        <f>82114714.8</f>
        <v>82114714.799999997</v>
      </c>
      <c r="D11" s="54">
        <f>39607139.83</f>
        <v>39607139.829999998</v>
      </c>
      <c r="E11" s="87" t="s">
        <v>79</v>
      </c>
      <c r="F11" s="87" t="s">
        <v>79</v>
      </c>
      <c r="G11" s="87" t="s">
        <v>79</v>
      </c>
      <c r="H11" s="87" t="s">
        <v>79</v>
      </c>
      <c r="I11" s="87" t="s">
        <v>79</v>
      </c>
      <c r="J11" s="20">
        <f t="shared" si="0"/>
        <v>1.7124641632748414</v>
      </c>
      <c r="K11" s="20">
        <f t="shared" si="1"/>
        <v>48.233912675052004</v>
      </c>
      <c r="L11" s="20">
        <f t="shared" si="2"/>
        <v>1.8654664309710294</v>
      </c>
    </row>
    <row r="12" spans="2:12" ht="12.75" customHeight="1" outlineLevel="1" x14ac:dyDescent="0.2">
      <c r="B12" s="56" t="s">
        <v>20</v>
      </c>
      <c r="C12" s="53">
        <f>C7-SUM(C8:C11)</f>
        <v>1308685804.8299994</v>
      </c>
      <c r="D12" s="53">
        <f>D7-SUM(D8:D11)</f>
        <v>622620994.89999986</v>
      </c>
      <c r="E12" s="87" t="s">
        <v>79</v>
      </c>
      <c r="F12" s="87" t="s">
        <v>79</v>
      </c>
      <c r="G12" s="87" t="s">
        <v>79</v>
      </c>
      <c r="H12" s="87" t="s">
        <v>79</v>
      </c>
      <c r="I12" s="87" t="s">
        <v>79</v>
      </c>
      <c r="J12" s="20">
        <f t="shared" si="0"/>
        <v>26.919796421684143</v>
      </c>
      <c r="K12" s="20">
        <f t="shared" si="1"/>
        <v>47.576048628484926</v>
      </c>
      <c r="L12" s="20">
        <f t="shared" si="2"/>
        <v>29.324979541289292</v>
      </c>
    </row>
    <row r="13" spans="2:12" ht="27" customHeight="1" x14ac:dyDescent="0.2">
      <c r="B13" s="95" t="s">
        <v>59</v>
      </c>
      <c r="C13" s="51">
        <f>C14+C33+C35</f>
        <v>787699982.41999996</v>
      </c>
      <c r="D13" s="51">
        <f>D14+D33+D35</f>
        <v>189697854.58000001</v>
      </c>
      <c r="E13" s="86" t="s">
        <v>79</v>
      </c>
      <c r="F13" s="86" t="s">
        <v>79</v>
      </c>
      <c r="G13" s="86" t="s">
        <v>79</v>
      </c>
      <c r="H13" s="86" t="s">
        <v>79</v>
      </c>
      <c r="I13" s="86" t="s">
        <v>79</v>
      </c>
      <c r="J13" s="52">
        <f t="shared" si="0"/>
        <v>8.2018236917051386</v>
      </c>
      <c r="K13" s="52">
        <f t="shared" si="1"/>
        <v>24.082500801536582</v>
      </c>
      <c r="L13" s="55"/>
    </row>
    <row r="14" spans="2:12" ht="27" customHeight="1" outlineLevel="1" x14ac:dyDescent="0.2">
      <c r="B14" s="97" t="s">
        <v>28</v>
      </c>
      <c r="C14" s="51">
        <f>C15+C17+C19+C21+C23+C25+C27+C29+C31</f>
        <v>709294692.79999995</v>
      </c>
      <c r="D14" s="51">
        <f>D15+D17+D19+D21+D23+D25+D27+D29+D31</f>
        <v>160984801.35000002</v>
      </c>
      <c r="E14" s="86" t="s">
        <v>79</v>
      </c>
      <c r="F14" s="86" t="s">
        <v>79</v>
      </c>
      <c r="G14" s="86" t="s">
        <v>79</v>
      </c>
      <c r="H14" s="86" t="s">
        <v>79</v>
      </c>
      <c r="I14" s="86" t="s">
        <v>79</v>
      </c>
      <c r="J14" s="52">
        <f t="shared" si="0"/>
        <v>6.9603789702326084</v>
      </c>
      <c r="K14" s="52">
        <f t="shared" si="1"/>
        <v>22.69646213120517</v>
      </c>
      <c r="L14" s="17"/>
    </row>
    <row r="15" spans="2:12" ht="22.5" outlineLevel="1" x14ac:dyDescent="0.2">
      <c r="B15" s="96" t="s">
        <v>9</v>
      </c>
      <c r="C15" s="53">
        <f>0</f>
        <v>0</v>
      </c>
      <c r="D15" s="53">
        <f>0</f>
        <v>0</v>
      </c>
      <c r="E15" s="87" t="s">
        <v>79</v>
      </c>
      <c r="F15" s="87" t="s">
        <v>79</v>
      </c>
      <c r="G15" s="87" t="s">
        <v>79</v>
      </c>
      <c r="H15" s="87" t="s">
        <v>79</v>
      </c>
      <c r="I15" s="87" t="s">
        <v>79</v>
      </c>
      <c r="J15" s="20">
        <f t="shared" si="0"/>
        <v>0</v>
      </c>
      <c r="K15" s="20" t="str">
        <f t="shared" si="1"/>
        <v/>
      </c>
      <c r="L15" s="17"/>
    </row>
    <row r="16" spans="2:12" ht="12.75" customHeight="1" outlineLevel="1" x14ac:dyDescent="0.2">
      <c r="B16" s="98" t="s">
        <v>6</v>
      </c>
      <c r="C16" s="53">
        <f>0</f>
        <v>0</v>
      </c>
      <c r="D16" s="53">
        <f>0</f>
        <v>0</v>
      </c>
      <c r="E16" s="87" t="s">
        <v>79</v>
      </c>
      <c r="F16" s="87" t="s">
        <v>79</v>
      </c>
      <c r="G16" s="87" t="s">
        <v>79</v>
      </c>
      <c r="H16" s="87" t="s">
        <v>79</v>
      </c>
      <c r="I16" s="87" t="s">
        <v>79</v>
      </c>
      <c r="J16" s="20">
        <f t="shared" si="0"/>
        <v>0</v>
      </c>
      <c r="K16" s="20" t="str">
        <f t="shared" si="1"/>
        <v/>
      </c>
      <c r="L16" s="17"/>
    </row>
    <row r="17" spans="2:12" ht="12.75" customHeight="1" outlineLevel="1" x14ac:dyDescent="0.2">
      <c r="B17" s="96" t="s">
        <v>7</v>
      </c>
      <c r="C17" s="53">
        <f>5000000</f>
        <v>5000000</v>
      </c>
      <c r="D17" s="53">
        <f>5000000</f>
        <v>5000000</v>
      </c>
      <c r="E17" s="87" t="s">
        <v>79</v>
      </c>
      <c r="F17" s="87" t="s">
        <v>79</v>
      </c>
      <c r="G17" s="87" t="s">
        <v>79</v>
      </c>
      <c r="H17" s="87" t="s">
        <v>79</v>
      </c>
      <c r="I17" s="87" t="s">
        <v>79</v>
      </c>
      <c r="J17" s="20">
        <f t="shared" si="0"/>
        <v>0.21618124543011735</v>
      </c>
      <c r="K17" s="20">
        <f t="shared" si="1"/>
        <v>100</v>
      </c>
      <c r="L17" s="17"/>
    </row>
    <row r="18" spans="2:12" ht="12.75" customHeight="1" outlineLevel="1" x14ac:dyDescent="0.2">
      <c r="B18" s="98" t="s">
        <v>6</v>
      </c>
      <c r="C18" s="53">
        <f>5000000</f>
        <v>5000000</v>
      </c>
      <c r="D18" s="53">
        <f>5000000</f>
        <v>5000000</v>
      </c>
      <c r="E18" s="87" t="s">
        <v>79</v>
      </c>
      <c r="F18" s="87" t="s">
        <v>79</v>
      </c>
      <c r="G18" s="87" t="s">
        <v>79</v>
      </c>
      <c r="H18" s="87" t="s">
        <v>79</v>
      </c>
      <c r="I18" s="87" t="s">
        <v>79</v>
      </c>
      <c r="J18" s="20">
        <f t="shared" si="0"/>
        <v>0.21618124543011735</v>
      </c>
      <c r="K18" s="20">
        <f t="shared" si="1"/>
        <v>100</v>
      </c>
      <c r="L18" s="17"/>
    </row>
    <row r="19" spans="2:12" ht="33.75" outlineLevel="1" x14ac:dyDescent="0.2">
      <c r="B19" s="96" t="s">
        <v>10</v>
      </c>
      <c r="C19" s="53">
        <f>0</f>
        <v>0</v>
      </c>
      <c r="D19" s="53">
        <f>0</f>
        <v>0</v>
      </c>
      <c r="E19" s="87" t="s">
        <v>79</v>
      </c>
      <c r="F19" s="87" t="s">
        <v>79</v>
      </c>
      <c r="G19" s="87" t="s">
        <v>79</v>
      </c>
      <c r="H19" s="87" t="s">
        <v>79</v>
      </c>
      <c r="I19" s="87" t="s">
        <v>79</v>
      </c>
      <c r="J19" s="20">
        <f t="shared" si="0"/>
        <v>0</v>
      </c>
      <c r="K19" s="20" t="str">
        <f t="shared" si="1"/>
        <v/>
      </c>
      <c r="L19" s="17"/>
    </row>
    <row r="20" spans="2:12" ht="12.75" customHeight="1" outlineLevel="1" x14ac:dyDescent="0.2">
      <c r="B20" s="98" t="s">
        <v>6</v>
      </c>
      <c r="C20" s="53">
        <f>0</f>
        <v>0</v>
      </c>
      <c r="D20" s="53">
        <f>0</f>
        <v>0</v>
      </c>
      <c r="E20" s="87" t="s">
        <v>79</v>
      </c>
      <c r="F20" s="87" t="s">
        <v>79</v>
      </c>
      <c r="G20" s="87" t="s">
        <v>79</v>
      </c>
      <c r="H20" s="87" t="s">
        <v>79</v>
      </c>
      <c r="I20" s="87" t="s">
        <v>79</v>
      </c>
      <c r="J20" s="20">
        <f t="shared" si="0"/>
        <v>0</v>
      </c>
      <c r="K20" s="20" t="str">
        <f t="shared" si="1"/>
        <v/>
      </c>
      <c r="L20" s="17"/>
    </row>
    <row r="21" spans="2:12" ht="22.5" outlineLevel="1" x14ac:dyDescent="0.2">
      <c r="B21" s="99" t="s">
        <v>11</v>
      </c>
      <c r="C21" s="53">
        <f>30587359.31</f>
        <v>30587359.309999999</v>
      </c>
      <c r="D21" s="53">
        <f>15793696.28</f>
        <v>15793696.279999999</v>
      </c>
      <c r="E21" s="87" t="s">
        <v>79</v>
      </c>
      <c r="F21" s="87" t="s">
        <v>79</v>
      </c>
      <c r="G21" s="87" t="s">
        <v>79</v>
      </c>
      <c r="H21" s="87" t="s">
        <v>79</v>
      </c>
      <c r="I21" s="87" t="s">
        <v>79</v>
      </c>
      <c r="J21" s="20">
        <f t="shared" si="0"/>
        <v>0.68286018635108225</v>
      </c>
      <c r="K21" s="20">
        <f t="shared" si="1"/>
        <v>51.634716550495185</v>
      </c>
      <c r="L21" s="17"/>
    </row>
    <row r="22" spans="2:12" ht="12.75" customHeight="1" outlineLevel="1" x14ac:dyDescent="0.2">
      <c r="B22" s="98" t="s">
        <v>6</v>
      </c>
      <c r="C22" s="53">
        <f>1006721.64</f>
        <v>1006721.64</v>
      </c>
      <c r="D22" s="53">
        <f>71060.64</f>
        <v>71060.639999999999</v>
      </c>
      <c r="E22" s="87" t="s">
        <v>79</v>
      </c>
      <c r="F22" s="87" t="s">
        <v>79</v>
      </c>
      <c r="G22" s="87" t="s">
        <v>79</v>
      </c>
      <c r="H22" s="87" t="s">
        <v>79</v>
      </c>
      <c r="I22" s="87" t="s">
        <v>79</v>
      </c>
      <c r="J22" s="20">
        <f t="shared" si="0"/>
        <v>3.0723955312522431E-3</v>
      </c>
      <c r="K22" s="20">
        <f t="shared" si="1"/>
        <v>7.0586185074952796</v>
      </c>
      <c r="L22" s="17"/>
    </row>
    <row r="23" spans="2:12" ht="34.5" customHeight="1" outlineLevel="1" x14ac:dyDescent="0.2">
      <c r="B23" s="99" t="s">
        <v>41</v>
      </c>
      <c r="C23" s="53">
        <f>11386515.69</f>
        <v>11386515.689999999</v>
      </c>
      <c r="D23" s="53">
        <f>2816795.49</f>
        <v>2816795.49</v>
      </c>
      <c r="E23" s="87" t="s">
        <v>79</v>
      </c>
      <c r="F23" s="87" t="s">
        <v>79</v>
      </c>
      <c r="G23" s="87" t="s">
        <v>79</v>
      </c>
      <c r="H23" s="87" t="s">
        <v>79</v>
      </c>
      <c r="I23" s="87" t="s">
        <v>79</v>
      </c>
      <c r="J23" s="20">
        <f t="shared" si="0"/>
        <v>0.12178767143002754</v>
      </c>
      <c r="K23" s="20">
        <f t="shared" si="1"/>
        <v>24.737993313211692</v>
      </c>
      <c r="L23" s="17"/>
    </row>
    <row r="24" spans="2:12" ht="12.75" customHeight="1" outlineLevel="1" x14ac:dyDescent="0.2">
      <c r="B24" s="98" t="s">
        <v>6</v>
      </c>
      <c r="C24" s="53">
        <f>10602742.69</f>
        <v>10602742.689999999</v>
      </c>
      <c r="D24" s="53">
        <f>2451529.19</f>
        <v>2451529.19</v>
      </c>
      <c r="E24" s="87" t="s">
        <v>79</v>
      </c>
      <c r="F24" s="87" t="s">
        <v>79</v>
      </c>
      <c r="G24" s="87" t="s">
        <v>79</v>
      </c>
      <c r="H24" s="87" t="s">
        <v>79</v>
      </c>
      <c r="I24" s="87" t="s">
        <v>79</v>
      </c>
      <c r="J24" s="20">
        <f t="shared" si="0"/>
        <v>0.10599492670049736</v>
      </c>
      <c r="K24" s="20">
        <f t="shared" si="1"/>
        <v>23.121651271535292</v>
      </c>
      <c r="L24" s="17"/>
    </row>
    <row r="25" spans="2:12" ht="12.75" customHeight="1" outlineLevel="1" x14ac:dyDescent="0.2">
      <c r="B25" s="96" t="s">
        <v>8</v>
      </c>
      <c r="C25" s="53">
        <f>4029653</f>
        <v>4029653</v>
      </c>
      <c r="D25" s="53">
        <f>647130</f>
        <v>647130</v>
      </c>
      <c r="E25" s="87" t="s">
        <v>79</v>
      </c>
      <c r="F25" s="87" t="s">
        <v>79</v>
      </c>
      <c r="G25" s="87" t="s">
        <v>79</v>
      </c>
      <c r="H25" s="87" t="s">
        <v>79</v>
      </c>
      <c r="I25" s="87" t="s">
        <v>79</v>
      </c>
      <c r="J25" s="20">
        <f t="shared" si="0"/>
        <v>2.7979473871038368E-2</v>
      </c>
      <c r="K25" s="20">
        <f t="shared" si="1"/>
        <v>16.05919914196086</v>
      </c>
      <c r="L25" s="17"/>
    </row>
    <row r="26" spans="2:12" ht="12.75" customHeight="1" outlineLevel="1" x14ac:dyDescent="0.2">
      <c r="B26" s="98" t="s">
        <v>6</v>
      </c>
      <c r="C26" s="53">
        <f>3970163</f>
        <v>3970163</v>
      </c>
      <c r="D26" s="53">
        <f>587640</f>
        <v>587640</v>
      </c>
      <c r="E26" s="87" t="s">
        <v>79</v>
      </c>
      <c r="F26" s="87" t="s">
        <v>79</v>
      </c>
      <c r="G26" s="87" t="s">
        <v>79</v>
      </c>
      <c r="H26" s="87" t="s">
        <v>79</v>
      </c>
      <c r="I26" s="87" t="s">
        <v>79</v>
      </c>
      <c r="J26" s="20">
        <f t="shared" si="0"/>
        <v>2.5407349412910833E-2</v>
      </c>
      <c r="K26" s="20">
        <f t="shared" si="1"/>
        <v>14.801407398134534</v>
      </c>
      <c r="L26" s="17"/>
    </row>
    <row r="27" spans="2:12" ht="67.5" outlineLevel="1" x14ac:dyDescent="0.2">
      <c r="B27" s="100" t="s">
        <v>70</v>
      </c>
      <c r="C27" s="53">
        <f>619000</f>
        <v>619000</v>
      </c>
      <c r="D27" s="53">
        <f>0</f>
        <v>0</v>
      </c>
      <c r="E27" s="87" t="s">
        <v>79</v>
      </c>
      <c r="F27" s="87" t="s">
        <v>79</v>
      </c>
      <c r="G27" s="87" t="s">
        <v>79</v>
      </c>
      <c r="H27" s="87" t="s">
        <v>79</v>
      </c>
      <c r="I27" s="87" t="s">
        <v>79</v>
      </c>
      <c r="J27" s="20">
        <f t="shared" si="0"/>
        <v>0</v>
      </c>
      <c r="K27" s="20">
        <f t="shared" si="1"/>
        <v>0</v>
      </c>
      <c r="L27" s="17"/>
    </row>
    <row r="28" spans="2:12" ht="12.75" customHeight="1" outlineLevel="1" x14ac:dyDescent="0.2">
      <c r="B28" s="98" t="s">
        <v>71</v>
      </c>
      <c r="C28" s="53">
        <f>0</f>
        <v>0</v>
      </c>
      <c r="D28" s="53">
        <f>0</f>
        <v>0</v>
      </c>
      <c r="E28" s="87" t="s">
        <v>79</v>
      </c>
      <c r="F28" s="87" t="s">
        <v>79</v>
      </c>
      <c r="G28" s="87" t="s">
        <v>79</v>
      </c>
      <c r="H28" s="87" t="s">
        <v>79</v>
      </c>
      <c r="I28" s="87" t="s">
        <v>79</v>
      </c>
      <c r="J28" s="20">
        <f t="shared" si="0"/>
        <v>0</v>
      </c>
      <c r="K28" s="20" t="str">
        <f t="shared" si="1"/>
        <v/>
      </c>
      <c r="L28" s="17"/>
    </row>
    <row r="29" spans="2:12" ht="45" outlineLevel="1" x14ac:dyDescent="0.2">
      <c r="B29" s="100" t="s">
        <v>67</v>
      </c>
      <c r="C29" s="53">
        <f>657672164.8</f>
        <v>657672164.79999995</v>
      </c>
      <c r="D29" s="53">
        <f>136727179.58</f>
        <v>136727179.58000001</v>
      </c>
      <c r="E29" s="87" t="s">
        <v>79</v>
      </c>
      <c r="F29" s="87" t="s">
        <v>79</v>
      </c>
      <c r="G29" s="87" t="s">
        <v>79</v>
      </c>
      <c r="H29" s="87" t="s">
        <v>79</v>
      </c>
      <c r="I29" s="87" t="s">
        <v>79</v>
      </c>
      <c r="J29" s="66">
        <f t="shared" si="0"/>
        <v>5.9115703931503427</v>
      </c>
      <c r="K29" s="66">
        <f t="shared" si="1"/>
        <v>20.789564603449374</v>
      </c>
      <c r="L29" s="17"/>
    </row>
    <row r="30" spans="2:12" ht="12.75" customHeight="1" outlineLevel="1" x14ac:dyDescent="0.2">
      <c r="B30" s="98" t="s">
        <v>6</v>
      </c>
      <c r="C30" s="53">
        <f>657672164.8</f>
        <v>657672164.79999995</v>
      </c>
      <c r="D30" s="53">
        <f>136727179.58</f>
        <v>136727179.58000001</v>
      </c>
      <c r="E30" s="87" t="s">
        <v>79</v>
      </c>
      <c r="F30" s="87" t="s">
        <v>79</v>
      </c>
      <c r="G30" s="87" t="s">
        <v>79</v>
      </c>
      <c r="H30" s="87" t="s">
        <v>79</v>
      </c>
      <c r="I30" s="87" t="s">
        <v>79</v>
      </c>
      <c r="J30" s="20">
        <f t="shared" si="0"/>
        <v>5.9115703931503427</v>
      </c>
      <c r="K30" s="20">
        <f t="shared" si="1"/>
        <v>20.789564603449374</v>
      </c>
      <c r="L30" s="17"/>
    </row>
    <row r="31" spans="2:12" ht="22.5" outlineLevel="1" x14ac:dyDescent="0.2">
      <c r="B31" s="100" t="s">
        <v>86</v>
      </c>
      <c r="C31" s="53">
        <f>0</f>
        <v>0</v>
      </c>
      <c r="D31" s="53">
        <f>0</f>
        <v>0</v>
      </c>
      <c r="E31" s="87" t="s">
        <v>79</v>
      </c>
      <c r="F31" s="87" t="s">
        <v>79</v>
      </c>
      <c r="G31" s="87" t="s">
        <v>79</v>
      </c>
      <c r="H31" s="87" t="s">
        <v>79</v>
      </c>
      <c r="I31" s="87" t="s">
        <v>79</v>
      </c>
      <c r="J31" s="20">
        <f t="shared" si="0"/>
        <v>0</v>
      </c>
      <c r="K31" s="20" t="str">
        <f t="shared" si="1"/>
        <v/>
      </c>
      <c r="L31" s="17"/>
    </row>
    <row r="32" spans="2:12" ht="12.75" customHeight="1" outlineLevel="1" x14ac:dyDescent="0.2">
      <c r="B32" s="98" t="s">
        <v>6</v>
      </c>
      <c r="C32" s="53">
        <f>0</f>
        <v>0</v>
      </c>
      <c r="D32" s="53">
        <f>0</f>
        <v>0</v>
      </c>
      <c r="E32" s="87" t="s">
        <v>79</v>
      </c>
      <c r="F32" s="87" t="s">
        <v>79</v>
      </c>
      <c r="G32" s="87" t="s">
        <v>79</v>
      </c>
      <c r="H32" s="87" t="s">
        <v>79</v>
      </c>
      <c r="I32" s="87" t="s">
        <v>79</v>
      </c>
      <c r="J32" s="20">
        <f t="shared" si="0"/>
        <v>0</v>
      </c>
      <c r="K32" s="20" t="str">
        <f t="shared" si="1"/>
        <v/>
      </c>
      <c r="L32" s="17"/>
    </row>
    <row r="33" spans="1:26" s="5" customFormat="1" ht="13.5" customHeight="1" outlineLevel="1" x14ac:dyDescent="0.2">
      <c r="A33" s="2"/>
      <c r="B33" s="97" t="s">
        <v>39</v>
      </c>
      <c r="C33" s="53">
        <f>341915.82</f>
        <v>341915.82</v>
      </c>
      <c r="D33" s="53">
        <f>173924.54</f>
        <v>173924.54</v>
      </c>
      <c r="E33" s="86" t="s">
        <v>79</v>
      </c>
      <c r="F33" s="86" t="s">
        <v>79</v>
      </c>
      <c r="G33" s="86" t="s">
        <v>79</v>
      </c>
      <c r="H33" s="86" t="s">
        <v>79</v>
      </c>
      <c r="I33" s="86" t="s">
        <v>79</v>
      </c>
      <c r="J33" s="19">
        <f t="shared" si="0"/>
        <v>7.5198447336120525E-3</v>
      </c>
      <c r="K33" s="19">
        <f t="shared" si="1"/>
        <v>50.867649236002009</v>
      </c>
      <c r="L33" s="42"/>
      <c r="M33" s="12"/>
      <c r="N33" s="12"/>
      <c r="O33" s="9"/>
      <c r="P33" s="9"/>
      <c r="Q33" s="3"/>
    </row>
    <row r="34" spans="1:26" s="5" customFormat="1" ht="12.75" customHeight="1" outlineLevel="1" x14ac:dyDescent="0.2">
      <c r="A34" s="2"/>
      <c r="B34" s="101" t="s">
        <v>38</v>
      </c>
      <c r="C34" s="53">
        <f>88652.33</f>
        <v>88652.33</v>
      </c>
      <c r="D34" s="53">
        <f>0</f>
        <v>0</v>
      </c>
      <c r="E34" s="87" t="s">
        <v>79</v>
      </c>
      <c r="F34" s="87" t="s">
        <v>79</v>
      </c>
      <c r="G34" s="87" t="s">
        <v>79</v>
      </c>
      <c r="H34" s="87" t="s">
        <v>79</v>
      </c>
      <c r="I34" s="87" t="s">
        <v>79</v>
      </c>
      <c r="J34" s="20">
        <f t="shared" si="0"/>
        <v>0</v>
      </c>
      <c r="K34" s="20">
        <f t="shared" si="1"/>
        <v>0</v>
      </c>
      <c r="L34" s="42"/>
      <c r="M34" s="12"/>
      <c r="N34" s="12"/>
      <c r="O34" s="9"/>
      <c r="P34" s="9"/>
      <c r="Q34" s="3"/>
    </row>
    <row r="35" spans="1:26" s="5" customFormat="1" ht="13.5" customHeight="1" outlineLevel="1" x14ac:dyDescent="0.2">
      <c r="A35" s="2"/>
      <c r="B35" s="97" t="s">
        <v>46</v>
      </c>
      <c r="C35" s="53">
        <f>78063373.8</f>
        <v>78063373.799999997</v>
      </c>
      <c r="D35" s="53">
        <f>28539128.69</f>
        <v>28539128.690000001</v>
      </c>
      <c r="E35" s="86" t="s">
        <v>79</v>
      </c>
      <c r="F35" s="86" t="s">
        <v>79</v>
      </c>
      <c r="G35" s="86" t="s">
        <v>79</v>
      </c>
      <c r="H35" s="86" t="s">
        <v>79</v>
      </c>
      <c r="I35" s="86" t="s">
        <v>79</v>
      </c>
      <c r="J35" s="57">
        <f t="shared" si="0"/>
        <v>1.2339248767389188</v>
      </c>
      <c r="K35" s="57">
        <f t="shared" si="1"/>
        <v>36.558922963178411</v>
      </c>
      <c r="L35" s="42"/>
      <c r="M35" s="12"/>
      <c r="N35" s="12"/>
      <c r="O35" s="9"/>
      <c r="P35" s="9"/>
      <c r="Q35" s="3"/>
    </row>
    <row r="36" spans="1:26" s="5" customFormat="1" ht="12.75" customHeight="1" outlineLevel="1" x14ac:dyDescent="0.2">
      <c r="A36" s="2"/>
      <c r="B36" s="101" t="s">
        <v>47</v>
      </c>
      <c r="C36" s="53">
        <f>61423954.38</f>
        <v>61423954.380000003</v>
      </c>
      <c r="D36" s="53">
        <f>26377619</f>
        <v>26377619</v>
      </c>
      <c r="E36" s="87" t="s">
        <v>79</v>
      </c>
      <c r="F36" s="87" t="s">
        <v>79</v>
      </c>
      <c r="G36" s="87" t="s">
        <v>79</v>
      </c>
      <c r="H36" s="87" t="s">
        <v>79</v>
      </c>
      <c r="I36" s="87" t="s">
        <v>79</v>
      </c>
      <c r="J36" s="20">
        <f t="shared" si="0"/>
        <v>1.1404693053802253</v>
      </c>
      <c r="K36" s="20">
        <f t="shared" si="1"/>
        <v>42.943537690221888</v>
      </c>
      <c r="L36" s="42"/>
      <c r="M36" s="12"/>
      <c r="N36" s="12"/>
      <c r="O36" s="9"/>
      <c r="P36" s="9"/>
      <c r="Q36" s="3"/>
    </row>
    <row r="37" spans="1:26" s="5" customFormat="1" ht="8.25" customHeight="1" x14ac:dyDescent="0.2">
      <c r="A37" s="2"/>
      <c r="B37" s="90"/>
      <c r="C37" s="35"/>
      <c r="D37" s="35"/>
      <c r="E37" s="35"/>
      <c r="F37" s="35"/>
      <c r="G37" s="35"/>
      <c r="H37" s="35"/>
      <c r="I37" s="35"/>
      <c r="J37" s="35"/>
      <c r="K37" s="35"/>
      <c r="L37" s="42"/>
      <c r="M37" s="12"/>
      <c r="N37" s="12"/>
      <c r="O37" s="9"/>
      <c r="P37" s="9"/>
      <c r="Q37" s="3"/>
    </row>
    <row r="38" spans="1:26" s="5" customFormat="1" ht="13.5" customHeight="1" x14ac:dyDescent="0.2">
      <c r="A38" s="2"/>
      <c r="B38" s="92" t="s">
        <v>5</v>
      </c>
      <c r="C38" s="51">
        <f>+C6</f>
        <v>5084565246.2799997</v>
      </c>
      <c r="D38" s="51">
        <f>+D6</f>
        <v>2312874083.9899998</v>
      </c>
      <c r="E38" s="88" t="s">
        <v>79</v>
      </c>
      <c r="F38" s="88" t="s">
        <v>79</v>
      </c>
      <c r="G38" s="88" t="s">
        <v>79</v>
      </c>
      <c r="H38" s="88" t="s">
        <v>79</v>
      </c>
      <c r="I38" s="88" t="s">
        <v>79</v>
      </c>
      <c r="J38" s="57">
        <f t="shared" si="0"/>
        <v>100</v>
      </c>
      <c r="K38" s="57">
        <f t="shared" si="1"/>
        <v>45.488138551907824</v>
      </c>
      <c r="L38" s="42"/>
      <c r="M38" s="12"/>
      <c r="N38" s="12"/>
      <c r="O38" s="9"/>
      <c r="P38" s="9"/>
      <c r="Q38" s="3"/>
    </row>
    <row r="39" spans="1:26" s="5" customFormat="1" ht="13.5" customHeight="1" x14ac:dyDescent="0.2">
      <c r="A39" s="2"/>
      <c r="B39" s="91" t="s">
        <v>48</v>
      </c>
      <c r="C39" s="14">
        <f>911440150.44</f>
        <v>911440150.44000006</v>
      </c>
      <c r="D39" s="14">
        <f>268824563.29</f>
        <v>268824563.29000002</v>
      </c>
      <c r="E39" s="89" t="s">
        <v>79</v>
      </c>
      <c r="F39" s="89" t="s">
        <v>79</v>
      </c>
      <c r="G39" s="89" t="s">
        <v>79</v>
      </c>
      <c r="H39" s="89" t="s">
        <v>79</v>
      </c>
      <c r="I39" s="89" t="s">
        <v>79</v>
      </c>
      <c r="J39" s="20">
        <f t="shared" si="0"/>
        <v>11.622965778847924</v>
      </c>
      <c r="K39" s="20">
        <f t="shared" si="1"/>
        <v>29.494483336094454</v>
      </c>
      <c r="L39" s="42"/>
      <c r="M39" s="12"/>
      <c r="N39" s="12"/>
      <c r="O39" s="9"/>
      <c r="P39" s="9"/>
      <c r="Q39" s="3"/>
    </row>
    <row r="40" spans="1:26" s="5" customFormat="1" ht="13.5" customHeight="1" x14ac:dyDescent="0.2">
      <c r="A40" s="2"/>
      <c r="B40" s="91" t="s">
        <v>49</v>
      </c>
      <c r="C40" s="14">
        <f>C38-C39</f>
        <v>4173125095.8399997</v>
      </c>
      <c r="D40" s="14">
        <f>D38-D39</f>
        <v>2044049520.6999998</v>
      </c>
      <c r="E40" s="89" t="s">
        <v>79</v>
      </c>
      <c r="F40" s="89" t="s">
        <v>79</v>
      </c>
      <c r="G40" s="89" t="s">
        <v>79</v>
      </c>
      <c r="H40" s="89" t="s">
        <v>79</v>
      </c>
      <c r="I40" s="89" t="s">
        <v>79</v>
      </c>
      <c r="J40" s="20">
        <f t="shared" si="0"/>
        <v>88.377034221152073</v>
      </c>
      <c r="K40" s="20">
        <f t="shared" si="1"/>
        <v>48.981266407221305</v>
      </c>
      <c r="L40" s="42"/>
      <c r="M40" s="12"/>
      <c r="N40" s="12"/>
      <c r="O40" s="9"/>
      <c r="P40" s="9"/>
      <c r="Q40" s="3"/>
    </row>
    <row r="41" spans="1:26" s="5" customFormat="1" x14ac:dyDescent="0.2">
      <c r="A41" s="2"/>
      <c r="B41" s="117" t="s">
        <v>87</v>
      </c>
      <c r="C41" s="7"/>
      <c r="D41" s="8"/>
      <c r="E41" s="8"/>
      <c r="F41" s="12"/>
      <c r="G41" s="12"/>
      <c r="H41" s="12"/>
      <c r="I41" s="12"/>
      <c r="J41" s="12"/>
      <c r="K41" s="9"/>
      <c r="L41" s="9"/>
      <c r="M41" s="3"/>
    </row>
    <row r="42" spans="1:26" ht="18" customHeight="1" x14ac:dyDescent="0.2">
      <c r="B42" s="112" t="str">
        <f>CONCATENATE("Informacja z wykonania budżetów związków jednostek samorządu terytorialnego za ",$D$96," ",$C$97," rok        ",$C$99,"")</f>
        <v>Informacja z wykonania budżetów związków jednostek samorządu terytorialnego za II Kwartały 2024 rok        =""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50"/>
    </row>
    <row r="43" spans="1:26" s="5" customFormat="1" ht="6" hidden="1" customHeight="1" x14ac:dyDescent="0.2">
      <c r="B43" s="6"/>
      <c r="C43" s="7"/>
      <c r="D43" s="8"/>
      <c r="E43" s="8"/>
      <c r="F43" s="4"/>
      <c r="G43" s="4"/>
      <c r="H43" s="4"/>
      <c r="I43" s="4"/>
      <c r="J43" s="4"/>
      <c r="K43" s="9"/>
      <c r="L43" s="9"/>
      <c r="M43" s="3"/>
    </row>
    <row r="44" spans="1:26" ht="29.25" customHeight="1" x14ac:dyDescent="0.2">
      <c r="B44" s="131" t="s">
        <v>0</v>
      </c>
      <c r="C44" s="135" t="s">
        <v>50</v>
      </c>
      <c r="D44" s="135" t="s">
        <v>52</v>
      </c>
      <c r="E44" s="135" t="s">
        <v>51</v>
      </c>
      <c r="F44" s="135" t="s">
        <v>12</v>
      </c>
      <c r="G44" s="135"/>
      <c r="H44" s="135"/>
      <c r="I44" s="132" t="s">
        <v>53</v>
      </c>
      <c r="J44" s="135" t="s">
        <v>2</v>
      </c>
      <c r="K44" s="130" t="s">
        <v>18</v>
      </c>
      <c r="L44" s="37"/>
      <c r="M44" s="12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8" customHeight="1" x14ac:dyDescent="0.2">
      <c r="B45" s="131"/>
      <c r="C45" s="135"/>
      <c r="D45" s="135"/>
      <c r="E45" s="142"/>
      <c r="F45" s="145" t="s">
        <v>54</v>
      </c>
      <c r="G45" s="144" t="s">
        <v>23</v>
      </c>
      <c r="H45" s="142"/>
      <c r="I45" s="133"/>
      <c r="J45" s="135"/>
      <c r="K45" s="130"/>
      <c r="L45" s="45"/>
      <c r="M45" s="12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64.5" customHeight="1" x14ac:dyDescent="0.2">
      <c r="B46" s="131"/>
      <c r="C46" s="135"/>
      <c r="D46" s="135"/>
      <c r="E46" s="142"/>
      <c r="F46" s="142"/>
      <c r="G46" s="38" t="s">
        <v>55</v>
      </c>
      <c r="H46" s="38" t="s">
        <v>56</v>
      </c>
      <c r="I46" s="134"/>
      <c r="J46" s="135"/>
      <c r="K46" s="130"/>
      <c r="L46" s="45"/>
      <c r="M46" s="12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5" customHeight="1" x14ac:dyDescent="0.2">
      <c r="B47" s="131"/>
      <c r="C47" s="138" t="s">
        <v>40</v>
      </c>
      <c r="D47" s="139"/>
      <c r="E47" s="139"/>
      <c r="F47" s="139"/>
      <c r="G47" s="139"/>
      <c r="H47" s="139"/>
      <c r="I47" s="140"/>
      <c r="J47" s="141" t="s">
        <v>4</v>
      </c>
      <c r="K47" s="141"/>
      <c r="L47" s="37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customHeight="1" x14ac:dyDescent="0.2">
      <c r="B48" s="41">
        <v>1</v>
      </c>
      <c r="C48" s="40">
        <v>2</v>
      </c>
      <c r="D48" s="40">
        <v>3</v>
      </c>
      <c r="E48" s="40">
        <v>4</v>
      </c>
      <c r="F48" s="41">
        <v>5</v>
      </c>
      <c r="G48" s="41">
        <v>6</v>
      </c>
      <c r="H48" s="40">
        <v>7</v>
      </c>
      <c r="I48" s="83">
        <v>8</v>
      </c>
      <c r="J48" s="41">
        <v>9</v>
      </c>
      <c r="K48" s="40">
        <v>10</v>
      </c>
      <c r="L48" s="37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16" ht="27" customHeight="1" x14ac:dyDescent="0.2">
      <c r="B49" s="93" t="s">
        <v>29</v>
      </c>
      <c r="C49" s="58">
        <f>5611342894.71</f>
        <v>5611342894.71</v>
      </c>
      <c r="D49" s="68">
        <f>2183454446.31</f>
        <v>2183454446.3099999</v>
      </c>
      <c r="E49" s="68">
        <f>3370410313.06</f>
        <v>3370410313.0599999</v>
      </c>
      <c r="F49" s="58">
        <f>331330756.52</f>
        <v>331330756.51999998</v>
      </c>
      <c r="G49" s="58">
        <f>6636.63</f>
        <v>6636.63</v>
      </c>
      <c r="H49" s="58">
        <f>16580665.19</f>
        <v>16580665.189999999</v>
      </c>
      <c r="I49" s="77">
        <f>0</f>
        <v>0</v>
      </c>
      <c r="J49" s="34">
        <f>IF($D$49=0,"",100*$D49/$D$49)</f>
        <v>100</v>
      </c>
      <c r="K49" s="34">
        <f>IF(C49=0,"",100*D49/C49)</f>
        <v>38.911442185584761</v>
      </c>
      <c r="L49" s="22"/>
      <c r="M49" s="74"/>
    </row>
    <row r="50" spans="2:16" x14ac:dyDescent="0.2">
      <c r="B50" s="94" t="s">
        <v>14</v>
      </c>
      <c r="C50" s="16">
        <f>1430260030.75</f>
        <v>1430260030.75</v>
      </c>
      <c r="D50" s="16">
        <f>336766952.07</f>
        <v>336766952.06999999</v>
      </c>
      <c r="E50" s="16">
        <f>707083905.62</f>
        <v>707083905.62</v>
      </c>
      <c r="F50" s="16">
        <f>22093622.65</f>
        <v>22093622.649999999</v>
      </c>
      <c r="G50" s="16">
        <f>0</f>
        <v>0</v>
      </c>
      <c r="H50" s="16">
        <f>0</f>
        <v>0</v>
      </c>
      <c r="I50" s="78">
        <f>0</f>
        <v>0</v>
      </c>
      <c r="J50" s="34">
        <f t="shared" ref="J50:J58" si="3">IF($D$49=0,"",100*$D50/$D$49)</f>
        <v>15.423584982005478</v>
      </c>
      <c r="K50" s="34">
        <f t="shared" ref="K50:K58" si="4">IF(C50=0,"",100*D50/C50)</f>
        <v>23.5458549375393</v>
      </c>
      <c r="L50" s="22"/>
      <c r="M50" s="76"/>
    </row>
    <row r="51" spans="2:16" ht="12.75" customHeight="1" outlineLevel="1" x14ac:dyDescent="0.2">
      <c r="B51" s="56" t="s">
        <v>13</v>
      </c>
      <c r="C51" s="53">
        <f>1407845991.69</f>
        <v>1407845991.6900001</v>
      </c>
      <c r="D51" s="53">
        <f>334762952.07</f>
        <v>334762952.06999999</v>
      </c>
      <c r="E51" s="53">
        <f>705079905.62</f>
        <v>705079905.62</v>
      </c>
      <c r="F51" s="53">
        <f>22093622.65</f>
        <v>22093622.649999999</v>
      </c>
      <c r="G51" s="53">
        <f>0</f>
        <v>0</v>
      </c>
      <c r="H51" s="53">
        <f>0</f>
        <v>0</v>
      </c>
      <c r="I51" s="79">
        <f>0</f>
        <v>0</v>
      </c>
      <c r="J51" s="34">
        <f t="shared" si="3"/>
        <v>15.331803813711048</v>
      </c>
      <c r="K51" s="34">
        <f t="shared" si="4"/>
        <v>23.778378746395788</v>
      </c>
      <c r="L51" s="22"/>
      <c r="M51" s="75"/>
    </row>
    <row r="52" spans="2:16" ht="27" customHeight="1" x14ac:dyDescent="0.2">
      <c r="B52" s="95" t="s">
        <v>30</v>
      </c>
      <c r="C52" s="59">
        <f t="shared" ref="C52:I52" si="5">C49-C50</f>
        <v>4181082863.96</v>
      </c>
      <c r="D52" s="67">
        <f>D49-D50</f>
        <v>1846687494.24</v>
      </c>
      <c r="E52" s="67">
        <f>E49-E50</f>
        <v>2663326407.4400001</v>
      </c>
      <c r="F52" s="59">
        <f t="shared" si="5"/>
        <v>309237133.87</v>
      </c>
      <c r="G52" s="59">
        <f t="shared" si="5"/>
        <v>6636.63</v>
      </c>
      <c r="H52" s="59">
        <f t="shared" si="5"/>
        <v>16580665.189999999</v>
      </c>
      <c r="I52" s="78">
        <f t="shared" si="5"/>
        <v>0</v>
      </c>
      <c r="J52" s="34">
        <f t="shared" si="3"/>
        <v>84.57641501799452</v>
      </c>
      <c r="K52" s="34">
        <f t="shared" si="4"/>
        <v>44.167684648348718</v>
      </c>
      <c r="L52" s="22"/>
      <c r="M52" s="76"/>
    </row>
    <row r="53" spans="2:16" ht="22.5" outlineLevel="1" x14ac:dyDescent="0.2">
      <c r="B53" s="56" t="s">
        <v>72</v>
      </c>
      <c r="C53" s="53">
        <f>322906292.94</f>
        <v>322906292.94</v>
      </c>
      <c r="D53" s="53">
        <f>144833304.59</f>
        <v>144833304.59</v>
      </c>
      <c r="E53" s="53">
        <f>250100851.92</f>
        <v>250100851.91999999</v>
      </c>
      <c r="F53" s="53">
        <f>10327209.42</f>
        <v>10327209.42</v>
      </c>
      <c r="G53" s="53">
        <f>6636.63</f>
        <v>6636.63</v>
      </c>
      <c r="H53" s="53">
        <f>0</f>
        <v>0</v>
      </c>
      <c r="I53" s="79">
        <f>0</f>
        <v>0</v>
      </c>
      <c r="J53" s="34">
        <f t="shared" si="3"/>
        <v>6.6332185145774742</v>
      </c>
      <c r="K53" s="34">
        <f t="shared" si="4"/>
        <v>44.853044910125625</v>
      </c>
      <c r="L53" s="22"/>
      <c r="M53" s="75"/>
    </row>
    <row r="54" spans="2:16" ht="12.75" customHeight="1" outlineLevel="1" x14ac:dyDescent="0.2">
      <c r="B54" s="56" t="s">
        <v>26</v>
      </c>
      <c r="C54" s="61">
        <f>148940212.44</f>
        <v>148940212.44</v>
      </c>
      <c r="D54" s="61">
        <f>113216129.55</f>
        <v>113216129.55</v>
      </c>
      <c r="E54" s="61">
        <f>136034425.5</f>
        <v>136034425.5</v>
      </c>
      <c r="F54" s="61">
        <f>743471.97</f>
        <v>743471.97</v>
      </c>
      <c r="G54" s="61">
        <f>0</f>
        <v>0</v>
      </c>
      <c r="H54" s="61">
        <f>0</f>
        <v>0</v>
      </c>
      <c r="I54" s="80">
        <f>0</f>
        <v>0</v>
      </c>
      <c r="J54" s="34">
        <f t="shared" si="3"/>
        <v>5.185183952032216</v>
      </c>
      <c r="K54" s="34">
        <f t="shared" si="4"/>
        <v>76.014481042591967</v>
      </c>
      <c r="L54" s="22"/>
      <c r="M54" s="75"/>
    </row>
    <row r="55" spans="2:16" ht="12.75" customHeight="1" outlineLevel="1" x14ac:dyDescent="0.2">
      <c r="B55" s="56" t="s">
        <v>25</v>
      </c>
      <c r="C55" s="53">
        <f>23567821.94</f>
        <v>23567821.940000001</v>
      </c>
      <c r="D55" s="53">
        <f>9465094.71</f>
        <v>9465094.7100000009</v>
      </c>
      <c r="E55" s="53">
        <f>12031441.16</f>
        <v>12031441.16</v>
      </c>
      <c r="F55" s="53">
        <f>242800.29</f>
        <v>242800.29</v>
      </c>
      <c r="G55" s="53">
        <f>0</f>
        <v>0</v>
      </c>
      <c r="H55" s="53">
        <f>0</f>
        <v>0</v>
      </c>
      <c r="I55" s="79">
        <f>0</f>
        <v>0</v>
      </c>
      <c r="J55" s="34">
        <f t="shared" si="3"/>
        <v>0.43349174176708138</v>
      </c>
      <c r="K55" s="34">
        <f t="shared" si="4"/>
        <v>40.161092247288089</v>
      </c>
      <c r="L55" s="22"/>
      <c r="M55" s="75"/>
    </row>
    <row r="56" spans="2:16" ht="22.5" customHeight="1" outlineLevel="1" x14ac:dyDescent="0.2">
      <c r="B56" s="56" t="s">
        <v>36</v>
      </c>
      <c r="C56" s="61">
        <f>0</f>
        <v>0</v>
      </c>
      <c r="D56" s="61">
        <f>0</f>
        <v>0</v>
      </c>
      <c r="E56" s="61">
        <f>0</f>
        <v>0</v>
      </c>
      <c r="F56" s="61">
        <f>0</f>
        <v>0</v>
      </c>
      <c r="G56" s="61">
        <f>0</f>
        <v>0</v>
      </c>
      <c r="H56" s="61">
        <f>0</f>
        <v>0</v>
      </c>
      <c r="I56" s="80">
        <f>0</f>
        <v>0</v>
      </c>
      <c r="J56" s="34">
        <f t="shared" si="3"/>
        <v>0</v>
      </c>
      <c r="K56" s="34" t="str">
        <f t="shared" si="4"/>
        <v/>
      </c>
      <c r="L56" s="22"/>
      <c r="M56" s="75"/>
    </row>
    <row r="57" spans="2:16" ht="22.5" outlineLevel="1" x14ac:dyDescent="0.2">
      <c r="B57" s="56" t="s">
        <v>37</v>
      </c>
      <c r="C57" s="61">
        <f>2849990</f>
        <v>2849990</v>
      </c>
      <c r="D57" s="61">
        <f>714113.41</f>
        <v>714113.41</v>
      </c>
      <c r="E57" s="61">
        <f>1327324.67</f>
        <v>1327324.67</v>
      </c>
      <c r="F57" s="61">
        <f>61470.03</f>
        <v>61470.03</v>
      </c>
      <c r="G57" s="61">
        <f>0</f>
        <v>0</v>
      </c>
      <c r="H57" s="61">
        <f>0</f>
        <v>0</v>
      </c>
      <c r="I57" s="81">
        <f>0</f>
        <v>0</v>
      </c>
      <c r="J57" s="34">
        <f t="shared" si="3"/>
        <v>3.2705670191875966E-2</v>
      </c>
      <c r="K57" s="34">
        <f t="shared" si="4"/>
        <v>25.056698795434372</v>
      </c>
      <c r="L57" s="22"/>
      <c r="M57" s="75"/>
    </row>
    <row r="58" spans="2:16" ht="12.75" customHeight="1" outlineLevel="1" x14ac:dyDescent="0.2">
      <c r="B58" s="56" t="s">
        <v>24</v>
      </c>
      <c r="C58" s="53">
        <f t="shared" ref="C58:I58" si="6">C52-C53-C54-C55-C56-C57</f>
        <v>3682818546.6399999</v>
      </c>
      <c r="D58" s="53">
        <f>D52-D53-D54-D55-D56-D57</f>
        <v>1578458851.98</v>
      </c>
      <c r="E58" s="71">
        <f>E52-E53-E54-E55-E56-E57</f>
        <v>2263832364.1900001</v>
      </c>
      <c r="F58" s="71">
        <f t="shared" si="6"/>
        <v>297862182.15999997</v>
      </c>
      <c r="G58" s="71">
        <f t="shared" si="6"/>
        <v>0</v>
      </c>
      <c r="H58" s="71">
        <f t="shared" si="6"/>
        <v>16580665.189999999</v>
      </c>
      <c r="I58" s="82">
        <f t="shared" si="6"/>
        <v>0</v>
      </c>
      <c r="J58" s="34">
        <f t="shared" si="3"/>
        <v>72.291815139425879</v>
      </c>
      <c r="K58" s="34">
        <f t="shared" si="4"/>
        <v>42.86007665026284</v>
      </c>
      <c r="L58" s="22"/>
      <c r="M58" s="75"/>
    </row>
    <row r="59" spans="2:16" x14ac:dyDescent="0.2">
      <c r="B59" s="93" t="s">
        <v>15</v>
      </c>
      <c r="C59" s="59">
        <f>C6-C49</f>
        <v>-526777648.43000031</v>
      </c>
      <c r="D59" s="67">
        <f>D6-D49</f>
        <v>129419637.67999983</v>
      </c>
      <c r="E59" s="72"/>
      <c r="F59" s="73"/>
      <c r="G59" s="73"/>
      <c r="H59" s="73"/>
      <c r="I59" s="143"/>
      <c r="J59" s="143"/>
      <c r="K59" s="62"/>
      <c r="L59" s="62"/>
      <c r="M59" s="43"/>
    </row>
    <row r="60" spans="2:16" ht="7.5" customHeight="1" x14ac:dyDescent="0.2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2:16" ht="18" customHeight="1" x14ac:dyDescent="0.2">
      <c r="B61" s="112" t="str">
        <f>CONCATENATE("Informacja z wykonania budżetów związków jednostek samorządu terytorialnego za ",$D$96," ",$C$97," rok        ",$C$99,"")</f>
        <v>Informacja z wykonania budżetów związków jednostek samorządu terytorialnego za II Kwartały 2024 rok        =""</v>
      </c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50"/>
    </row>
    <row r="62" spans="2:16" x14ac:dyDescent="0.2">
      <c r="B62" s="46" t="s">
        <v>16</v>
      </c>
      <c r="C62" s="69" t="s">
        <v>17</v>
      </c>
      <c r="D62" s="69" t="s">
        <v>1</v>
      </c>
      <c r="E62" s="121" t="s">
        <v>79</v>
      </c>
      <c r="F62" s="122"/>
      <c r="G62" s="122"/>
      <c r="H62" s="122"/>
      <c r="I62" s="123"/>
      <c r="J62" s="40" t="s">
        <v>21</v>
      </c>
      <c r="K62" s="40" t="s">
        <v>22</v>
      </c>
      <c r="L62" s="37"/>
      <c r="M62" s="37"/>
      <c r="N62" s="37"/>
      <c r="O62" s="37"/>
      <c r="P62" s="37"/>
    </row>
    <row r="63" spans="2:16" x14ac:dyDescent="0.2">
      <c r="B63" s="46"/>
      <c r="C63" s="145" t="s">
        <v>40</v>
      </c>
      <c r="D63" s="146"/>
      <c r="E63" s="124"/>
      <c r="F63" s="125"/>
      <c r="G63" s="125"/>
      <c r="H63" s="125"/>
      <c r="I63" s="126"/>
      <c r="J63" s="136" t="s">
        <v>4</v>
      </c>
      <c r="K63" s="137"/>
      <c r="L63" s="37"/>
      <c r="M63" s="37"/>
      <c r="N63" s="37"/>
      <c r="O63" s="37"/>
      <c r="P63" s="37"/>
    </row>
    <row r="64" spans="2:16" x14ac:dyDescent="0.2">
      <c r="B64" s="47">
        <v>1</v>
      </c>
      <c r="C64" s="48">
        <v>2</v>
      </c>
      <c r="D64" s="48">
        <v>3</v>
      </c>
      <c r="E64" s="127"/>
      <c r="F64" s="128"/>
      <c r="G64" s="128"/>
      <c r="H64" s="128"/>
      <c r="I64" s="129"/>
      <c r="J64" s="49">
        <v>4</v>
      </c>
      <c r="K64" s="49">
        <v>5</v>
      </c>
      <c r="L64" s="37"/>
      <c r="M64" s="37"/>
      <c r="N64" s="37"/>
      <c r="O64" s="37"/>
      <c r="P64" s="37"/>
    </row>
    <row r="65" spans="2:16" ht="27" customHeight="1" x14ac:dyDescent="0.2">
      <c r="B65" s="106" t="s">
        <v>31</v>
      </c>
      <c r="C65" s="27">
        <f>583737158.87</f>
        <v>583737158.87</v>
      </c>
      <c r="D65" s="27">
        <f>1093068597.78</f>
        <v>1093068597.78</v>
      </c>
      <c r="E65" s="102" t="s">
        <v>79</v>
      </c>
      <c r="F65" s="102" t="s">
        <v>79</v>
      </c>
      <c r="G65" s="102" t="s">
        <v>79</v>
      </c>
      <c r="H65" s="102" t="s">
        <v>79</v>
      </c>
      <c r="I65" s="102" t="s">
        <v>79</v>
      </c>
      <c r="J65" s="25">
        <f>IF($D$65=0,"",100*$D65/$D$65)</f>
        <v>100</v>
      </c>
      <c r="K65" s="21">
        <f t="shared" ref="K65:K79" si="7">IF(C65=0,"",100*D65/C65)</f>
        <v>187.25355773066858</v>
      </c>
      <c r="L65" s="37"/>
      <c r="M65" s="37"/>
      <c r="N65" s="37"/>
      <c r="O65" s="37"/>
      <c r="P65" s="37"/>
    </row>
    <row r="66" spans="2:16" ht="22.5" x14ac:dyDescent="0.2">
      <c r="B66" s="108" t="s">
        <v>60</v>
      </c>
      <c r="C66" s="28">
        <f>25868812.12</f>
        <v>25868812.120000001</v>
      </c>
      <c r="D66" s="28">
        <f>4536026</f>
        <v>4536026</v>
      </c>
      <c r="E66" s="103" t="s">
        <v>79</v>
      </c>
      <c r="F66" s="103" t="s">
        <v>79</v>
      </c>
      <c r="G66" s="103" t="s">
        <v>79</v>
      </c>
      <c r="H66" s="103" t="s">
        <v>79</v>
      </c>
      <c r="I66" s="103" t="s">
        <v>79</v>
      </c>
      <c r="J66" s="32">
        <f t="shared" ref="J66:J75" si="8">IF($D$65=0,"",100*$D66/$D$65)</f>
        <v>0.4149809087199629</v>
      </c>
      <c r="K66" s="33">
        <f t="shared" si="7"/>
        <v>17.534728610491758</v>
      </c>
      <c r="L66" s="37"/>
      <c r="M66" s="37"/>
      <c r="N66" s="37"/>
      <c r="O66" s="37"/>
      <c r="P66" s="37"/>
    </row>
    <row r="67" spans="2:16" ht="22.5" x14ac:dyDescent="0.2">
      <c r="B67" s="109" t="s">
        <v>61</v>
      </c>
      <c r="C67" s="64">
        <f>0</f>
        <v>0</v>
      </c>
      <c r="D67" s="64">
        <f>0</f>
        <v>0</v>
      </c>
      <c r="E67" s="103" t="s">
        <v>79</v>
      </c>
      <c r="F67" s="103" t="s">
        <v>79</v>
      </c>
      <c r="G67" s="103" t="s">
        <v>79</v>
      </c>
      <c r="H67" s="103" t="s">
        <v>79</v>
      </c>
      <c r="I67" s="103" t="s">
        <v>79</v>
      </c>
      <c r="J67" s="65">
        <f t="shared" si="8"/>
        <v>0</v>
      </c>
      <c r="K67" s="60" t="str">
        <f t="shared" si="7"/>
        <v/>
      </c>
      <c r="L67" s="37"/>
      <c r="M67" s="37"/>
      <c r="N67" s="37"/>
      <c r="O67" s="37"/>
      <c r="P67" s="37"/>
    </row>
    <row r="68" spans="2:16" ht="12.75" customHeight="1" x14ac:dyDescent="0.2">
      <c r="B68" s="63" t="s">
        <v>62</v>
      </c>
      <c r="C68" s="64">
        <f>750000</f>
        <v>750000</v>
      </c>
      <c r="D68" s="64">
        <f>0</f>
        <v>0</v>
      </c>
      <c r="E68" s="103" t="s">
        <v>79</v>
      </c>
      <c r="F68" s="103" t="s">
        <v>79</v>
      </c>
      <c r="G68" s="103" t="s">
        <v>79</v>
      </c>
      <c r="H68" s="103" t="s">
        <v>79</v>
      </c>
      <c r="I68" s="103" t="s">
        <v>79</v>
      </c>
      <c r="J68" s="65">
        <f t="shared" si="8"/>
        <v>0</v>
      </c>
      <c r="K68" s="60">
        <f t="shared" si="7"/>
        <v>0</v>
      </c>
      <c r="L68" s="37"/>
      <c r="M68" s="37"/>
      <c r="N68" s="37"/>
      <c r="O68" s="37"/>
      <c r="P68" s="37"/>
    </row>
    <row r="69" spans="2:16" ht="56.25" x14ac:dyDescent="0.2">
      <c r="B69" s="63" t="s">
        <v>73</v>
      </c>
      <c r="C69" s="64">
        <f>477843881.81</f>
        <v>477843881.81</v>
      </c>
      <c r="D69" s="64">
        <f>946965454</f>
        <v>946965454</v>
      </c>
      <c r="E69" s="103" t="s">
        <v>79</v>
      </c>
      <c r="F69" s="103" t="s">
        <v>79</v>
      </c>
      <c r="G69" s="103" t="s">
        <v>79</v>
      </c>
      <c r="H69" s="103" t="s">
        <v>79</v>
      </c>
      <c r="I69" s="103" t="s">
        <v>79</v>
      </c>
      <c r="J69" s="65">
        <f t="shared" si="8"/>
        <v>86.633671109321739</v>
      </c>
      <c r="K69" s="60">
        <f t="shared" si="7"/>
        <v>198.17465286215213</v>
      </c>
      <c r="L69" s="37"/>
      <c r="M69" s="37"/>
      <c r="N69" s="37"/>
      <c r="O69" s="37"/>
      <c r="P69" s="37"/>
    </row>
    <row r="70" spans="2:16" ht="35.25" customHeight="1" x14ac:dyDescent="0.2">
      <c r="B70" s="63" t="s">
        <v>75</v>
      </c>
      <c r="C70" s="64">
        <f>29530679.81</f>
        <v>29530679.809999999</v>
      </c>
      <c r="D70" s="64">
        <f>58057644.52</f>
        <v>58057644.520000003</v>
      </c>
      <c r="E70" s="103" t="s">
        <v>79</v>
      </c>
      <c r="F70" s="103" t="s">
        <v>79</v>
      </c>
      <c r="G70" s="103" t="s">
        <v>79</v>
      </c>
      <c r="H70" s="103" t="s">
        <v>79</v>
      </c>
      <c r="I70" s="103" t="s">
        <v>79</v>
      </c>
      <c r="J70" s="65">
        <f t="shared" si="8"/>
        <v>5.3114365043432672</v>
      </c>
      <c r="K70" s="60">
        <f t="shared" si="7"/>
        <v>196.60111075512691</v>
      </c>
      <c r="L70" s="37"/>
      <c r="M70" s="37"/>
      <c r="N70" s="37"/>
      <c r="O70" s="37"/>
      <c r="P70" s="37"/>
    </row>
    <row r="71" spans="2:16" ht="12.75" customHeight="1" x14ac:dyDescent="0.2">
      <c r="B71" s="63" t="s">
        <v>63</v>
      </c>
      <c r="C71" s="64">
        <f>0</f>
        <v>0</v>
      </c>
      <c r="D71" s="64">
        <f>0</f>
        <v>0</v>
      </c>
      <c r="E71" s="103" t="s">
        <v>79</v>
      </c>
      <c r="F71" s="103" t="s">
        <v>79</v>
      </c>
      <c r="G71" s="103" t="s">
        <v>79</v>
      </c>
      <c r="H71" s="103" t="s">
        <v>79</v>
      </c>
      <c r="I71" s="103" t="s">
        <v>79</v>
      </c>
      <c r="J71" s="65">
        <f t="shared" si="8"/>
        <v>0</v>
      </c>
      <c r="K71" s="60" t="str">
        <f t="shared" si="7"/>
        <v/>
      </c>
      <c r="L71" s="37"/>
      <c r="M71" s="37"/>
      <c r="N71" s="37"/>
      <c r="O71" s="37"/>
      <c r="P71" s="37"/>
    </row>
    <row r="72" spans="2:16" ht="33.75" x14ac:dyDescent="0.2">
      <c r="B72" s="63" t="s">
        <v>64</v>
      </c>
      <c r="C72" s="64">
        <f>43295785.13</f>
        <v>43295785.130000003</v>
      </c>
      <c r="D72" s="64">
        <f>62272626.54</f>
        <v>62272626.539999999</v>
      </c>
      <c r="E72" s="103" t="s">
        <v>79</v>
      </c>
      <c r="F72" s="103" t="s">
        <v>79</v>
      </c>
      <c r="G72" s="103" t="s">
        <v>79</v>
      </c>
      <c r="H72" s="103" t="s">
        <v>79</v>
      </c>
      <c r="I72" s="103" t="s">
        <v>79</v>
      </c>
      <c r="J72" s="65">
        <f t="shared" si="8"/>
        <v>5.697046522649579</v>
      </c>
      <c r="K72" s="60">
        <f t="shared" si="7"/>
        <v>143.83069010764004</v>
      </c>
      <c r="L72" s="37"/>
      <c r="M72" s="37"/>
      <c r="N72" s="37"/>
      <c r="O72" s="37"/>
      <c r="P72" s="37"/>
    </row>
    <row r="73" spans="2:16" ht="56.25" x14ac:dyDescent="0.2">
      <c r="B73" s="63" t="s">
        <v>90</v>
      </c>
      <c r="C73" s="64"/>
      <c r="D73" s="64">
        <f>15590810.94</f>
        <v>15590810.939999999</v>
      </c>
      <c r="E73" s="103" t="s">
        <v>79</v>
      </c>
      <c r="F73" s="103" t="s">
        <v>79</v>
      </c>
      <c r="G73" s="103" t="s">
        <v>79</v>
      </c>
      <c r="H73" s="103" t="s">
        <v>79</v>
      </c>
      <c r="I73" s="103" t="s">
        <v>79</v>
      </c>
      <c r="J73" s="65">
        <f t="shared" si="8"/>
        <v>1.4263341725912371</v>
      </c>
      <c r="K73" s="60" t="str">
        <f>IF(C73=0,"",100*D73/C73)</f>
        <v/>
      </c>
      <c r="L73" s="37"/>
      <c r="M73" s="37"/>
      <c r="N73" s="37"/>
      <c r="O73" s="37"/>
      <c r="P73" s="37"/>
    </row>
    <row r="74" spans="2:16" x14ac:dyDescent="0.2">
      <c r="B74" s="63" t="s">
        <v>91</v>
      </c>
      <c r="C74" s="64">
        <f>6448000</f>
        <v>6448000</v>
      </c>
      <c r="D74" s="64">
        <f>5646035.78</f>
        <v>5646035.7800000003</v>
      </c>
      <c r="E74" s="103" t="s">
        <v>79</v>
      </c>
      <c r="F74" s="103" t="s">
        <v>79</v>
      </c>
      <c r="G74" s="103" t="s">
        <v>79</v>
      </c>
      <c r="H74" s="103" t="s">
        <v>79</v>
      </c>
      <c r="I74" s="103" t="s">
        <v>79</v>
      </c>
      <c r="J74" s="65">
        <f t="shared" si="8"/>
        <v>0.51653078237422456</v>
      </c>
      <c r="K74" s="60">
        <f>IF(C74=0,"",100*D74/C74)</f>
        <v>87.56258964019851</v>
      </c>
      <c r="L74" s="37"/>
      <c r="M74" s="37"/>
      <c r="N74" s="37"/>
      <c r="O74" s="37"/>
      <c r="P74" s="37"/>
    </row>
    <row r="75" spans="2:16" ht="22.5" x14ac:dyDescent="0.2">
      <c r="B75" s="109" t="s">
        <v>92</v>
      </c>
      <c r="C75" s="64">
        <f>5948000</f>
        <v>5948000</v>
      </c>
      <c r="D75" s="64">
        <f>5500000</f>
        <v>5500000</v>
      </c>
      <c r="E75" s="103" t="s">
        <v>79</v>
      </c>
      <c r="F75" s="103" t="s">
        <v>79</v>
      </c>
      <c r="G75" s="103" t="s">
        <v>79</v>
      </c>
      <c r="H75" s="103" t="s">
        <v>79</v>
      </c>
      <c r="I75" s="103" t="s">
        <v>79</v>
      </c>
      <c r="J75" s="65">
        <f t="shared" si="8"/>
        <v>0.50317061629712789</v>
      </c>
      <c r="K75" s="60">
        <f t="shared" si="7"/>
        <v>92.468056489576327</v>
      </c>
      <c r="L75" s="37"/>
      <c r="M75" s="37"/>
      <c r="N75" s="37"/>
      <c r="O75" s="37"/>
      <c r="P75" s="37"/>
    </row>
    <row r="76" spans="2:16" ht="27" customHeight="1" x14ac:dyDescent="0.2">
      <c r="B76" s="106" t="s">
        <v>32</v>
      </c>
      <c r="C76" s="31">
        <f>56959510.44</f>
        <v>56959510.439999998</v>
      </c>
      <c r="D76" s="31">
        <f>36634999.68</f>
        <v>36634999.68</v>
      </c>
      <c r="E76" s="104" t="s">
        <v>79</v>
      </c>
      <c r="F76" s="104" t="s">
        <v>79</v>
      </c>
      <c r="G76" s="104" t="s">
        <v>79</v>
      </c>
      <c r="H76" s="104" t="s">
        <v>79</v>
      </c>
      <c r="I76" s="104" t="s">
        <v>79</v>
      </c>
      <c r="J76" s="25">
        <f t="shared" ref="J76:J81" si="9">IF($D$76=0,"",100*$D76/$D$76)</f>
        <v>100</v>
      </c>
      <c r="K76" s="21">
        <f t="shared" si="7"/>
        <v>64.317616842213866</v>
      </c>
      <c r="L76" s="37"/>
      <c r="M76" s="37"/>
      <c r="N76" s="37"/>
      <c r="O76" s="37"/>
      <c r="P76" s="37"/>
    </row>
    <row r="77" spans="2:16" ht="22.5" x14ac:dyDescent="0.2">
      <c r="B77" s="108" t="s">
        <v>65</v>
      </c>
      <c r="C77" s="28">
        <f>41645228.2</f>
        <v>41645228.200000003</v>
      </c>
      <c r="D77" s="30">
        <f>18883622.76</f>
        <v>18883622.760000002</v>
      </c>
      <c r="E77" s="105" t="s">
        <v>79</v>
      </c>
      <c r="F77" s="105" t="s">
        <v>79</v>
      </c>
      <c r="G77" s="105" t="s">
        <v>79</v>
      </c>
      <c r="H77" s="105" t="s">
        <v>79</v>
      </c>
      <c r="I77" s="105" t="s">
        <v>79</v>
      </c>
      <c r="J77" s="32">
        <f t="shared" si="9"/>
        <v>51.545306196110232</v>
      </c>
      <c r="K77" s="33">
        <f t="shared" si="7"/>
        <v>45.34402517693492</v>
      </c>
      <c r="L77" s="37"/>
      <c r="M77" s="37"/>
      <c r="N77" s="37"/>
      <c r="O77" s="37"/>
      <c r="P77" s="37"/>
    </row>
    <row r="78" spans="2:16" ht="12.75" customHeight="1" x14ac:dyDescent="0.2">
      <c r="B78" s="109" t="s">
        <v>66</v>
      </c>
      <c r="C78" s="64">
        <f>0</f>
        <v>0</v>
      </c>
      <c r="D78" s="64">
        <f>0</f>
        <v>0</v>
      </c>
      <c r="E78" s="105" t="s">
        <v>79</v>
      </c>
      <c r="F78" s="105" t="s">
        <v>79</v>
      </c>
      <c r="G78" s="105" t="s">
        <v>79</v>
      </c>
      <c r="H78" s="105" t="s">
        <v>79</v>
      </c>
      <c r="I78" s="105" t="s">
        <v>79</v>
      </c>
      <c r="J78" s="65">
        <f t="shared" si="9"/>
        <v>0</v>
      </c>
      <c r="K78" s="60" t="str">
        <f t="shared" si="7"/>
        <v/>
      </c>
      <c r="L78" s="37"/>
      <c r="M78" s="37"/>
      <c r="N78" s="37"/>
      <c r="O78" s="37"/>
      <c r="P78" s="37"/>
    </row>
    <row r="79" spans="2:16" ht="12.75" customHeight="1" x14ac:dyDescent="0.2">
      <c r="B79" s="63" t="s">
        <v>74</v>
      </c>
      <c r="C79" s="64">
        <f>750000</f>
        <v>750000</v>
      </c>
      <c r="D79" s="64">
        <f>0</f>
        <v>0</v>
      </c>
      <c r="E79" s="105" t="s">
        <v>79</v>
      </c>
      <c r="F79" s="105" t="s">
        <v>79</v>
      </c>
      <c r="G79" s="105" t="s">
        <v>79</v>
      </c>
      <c r="H79" s="105" t="s">
        <v>79</v>
      </c>
      <c r="I79" s="105" t="s">
        <v>79</v>
      </c>
      <c r="J79" s="65">
        <f t="shared" si="9"/>
        <v>0</v>
      </c>
      <c r="K79" s="60">
        <f t="shared" si="7"/>
        <v>0</v>
      </c>
      <c r="L79" s="37"/>
      <c r="M79" s="37"/>
      <c r="N79" s="37"/>
      <c r="O79" s="37"/>
      <c r="P79" s="37"/>
    </row>
    <row r="80" spans="2:16" ht="12.75" customHeight="1" x14ac:dyDescent="0.2">
      <c r="B80" s="63" t="s">
        <v>93</v>
      </c>
      <c r="C80" s="64">
        <f>14564282.24</f>
        <v>14564282.24</v>
      </c>
      <c r="D80" s="64">
        <f>17751376.92</f>
        <v>17751376.920000002</v>
      </c>
      <c r="E80" s="105" t="s">
        <v>79</v>
      </c>
      <c r="F80" s="105" t="s">
        <v>79</v>
      </c>
      <c r="G80" s="105" t="s">
        <v>79</v>
      </c>
      <c r="H80" s="105" t="s">
        <v>79</v>
      </c>
      <c r="I80" s="105" t="s">
        <v>79</v>
      </c>
      <c r="J80" s="65">
        <f t="shared" si="9"/>
        <v>48.454693803889782</v>
      </c>
      <c r="K80" s="60">
        <f>IF(C80=0,"",100*D80/C80)</f>
        <v>121.88295054628111</v>
      </c>
      <c r="L80" s="37"/>
      <c r="M80" s="37"/>
      <c r="N80" s="37"/>
      <c r="O80" s="37"/>
      <c r="P80" s="37"/>
    </row>
    <row r="81" spans="2:16" ht="22.5" x14ac:dyDescent="0.2">
      <c r="B81" s="109" t="s">
        <v>94</v>
      </c>
      <c r="C81" s="64">
        <f>1500000</f>
        <v>1500000</v>
      </c>
      <c r="D81" s="64">
        <f>0</f>
        <v>0</v>
      </c>
      <c r="E81" s="105" t="s">
        <v>79</v>
      </c>
      <c r="F81" s="105" t="s">
        <v>79</v>
      </c>
      <c r="G81" s="105" t="s">
        <v>79</v>
      </c>
      <c r="H81" s="105" t="s">
        <v>79</v>
      </c>
      <c r="I81" s="105" t="s">
        <v>79</v>
      </c>
      <c r="J81" s="65">
        <f t="shared" si="9"/>
        <v>0</v>
      </c>
      <c r="K81" s="60">
        <f>IF(C81=0,"",100*D81/C81)</f>
        <v>0</v>
      </c>
      <c r="L81" s="37"/>
      <c r="M81" s="37"/>
      <c r="N81" s="37"/>
      <c r="O81" s="37"/>
      <c r="P81" s="37"/>
    </row>
    <row r="82" spans="2:16" x14ac:dyDescent="0.2">
      <c r="B82" s="22"/>
      <c r="C82" s="22"/>
      <c r="D82" s="22"/>
      <c r="E82" s="22"/>
      <c r="F82" s="22"/>
      <c r="G82" s="22"/>
      <c r="H82" s="22"/>
      <c r="I82" s="37"/>
      <c r="J82" s="37"/>
      <c r="K82" s="37"/>
      <c r="L82" s="37"/>
      <c r="M82" s="37"/>
    </row>
    <row r="83" spans="2:16" x14ac:dyDescent="0.2">
      <c r="B83" s="44" t="s">
        <v>16</v>
      </c>
      <c r="C83" s="70" t="s">
        <v>17</v>
      </c>
      <c r="D83" s="13" t="s">
        <v>1</v>
      </c>
      <c r="E83" s="37"/>
      <c r="F83" s="37"/>
      <c r="G83" s="37"/>
      <c r="H83" s="37"/>
      <c r="I83" s="37"/>
    </row>
    <row r="84" spans="2:16" x14ac:dyDescent="0.2">
      <c r="B84" s="44"/>
      <c r="C84" s="147" t="s">
        <v>40</v>
      </c>
      <c r="D84" s="148"/>
      <c r="E84" s="37"/>
      <c r="F84" s="37"/>
      <c r="G84" s="37"/>
      <c r="H84" s="37"/>
      <c r="I84" s="37"/>
    </row>
    <row r="85" spans="2:16" x14ac:dyDescent="0.2">
      <c r="B85" s="23">
        <v>1</v>
      </c>
      <c r="C85" s="26">
        <v>2</v>
      </c>
      <c r="D85" s="24">
        <v>3</v>
      </c>
      <c r="E85" s="37"/>
      <c r="F85" s="37"/>
      <c r="G85" s="37"/>
      <c r="H85" s="37"/>
      <c r="I85" s="37"/>
    </row>
    <row r="86" spans="2:16" ht="36.75" customHeight="1" x14ac:dyDescent="0.2">
      <c r="B86" s="107" t="s">
        <v>89</v>
      </c>
      <c r="C86" s="29">
        <f>543186427.68</f>
        <v>543186427.67999995</v>
      </c>
      <c r="D86" s="85">
        <f>0</f>
        <v>0</v>
      </c>
      <c r="E86" s="37"/>
      <c r="F86" s="37"/>
      <c r="G86" s="37"/>
      <c r="H86" s="37"/>
      <c r="I86" s="37"/>
    </row>
    <row r="87" spans="2:16" ht="36" customHeight="1" x14ac:dyDescent="0.2">
      <c r="B87" s="110" t="s">
        <v>42</v>
      </c>
      <c r="C87" s="30">
        <f>0</f>
        <v>0</v>
      </c>
      <c r="D87" s="84">
        <f>0</f>
        <v>0</v>
      </c>
      <c r="E87" s="37"/>
      <c r="F87" s="37"/>
      <c r="G87" s="37"/>
      <c r="H87" s="37"/>
      <c r="I87" s="37"/>
    </row>
    <row r="88" spans="2:16" ht="12.75" customHeight="1" x14ac:dyDescent="0.2">
      <c r="B88" s="110" t="s">
        <v>43</v>
      </c>
      <c r="C88" s="30">
        <f>23683081.92</f>
        <v>23683081.920000002</v>
      </c>
      <c r="D88" s="84">
        <f>0</f>
        <v>0</v>
      </c>
      <c r="E88" s="37"/>
      <c r="F88" s="37"/>
      <c r="G88" s="37"/>
      <c r="H88" s="37"/>
      <c r="I88" s="37"/>
    </row>
    <row r="89" spans="2:16" ht="25.5" customHeight="1" x14ac:dyDescent="0.2">
      <c r="B89" s="110" t="s">
        <v>44</v>
      </c>
      <c r="C89" s="30">
        <f>0</f>
        <v>0</v>
      </c>
      <c r="D89" s="84">
        <f>0</f>
        <v>0</v>
      </c>
      <c r="E89" s="37"/>
      <c r="F89" s="37"/>
      <c r="G89" s="37"/>
      <c r="H89" s="37"/>
      <c r="I89" s="37"/>
    </row>
    <row r="90" spans="2:16" ht="57.75" customHeight="1" x14ac:dyDescent="0.2">
      <c r="B90" s="110" t="s">
        <v>76</v>
      </c>
      <c r="C90" s="30">
        <f>475421785.91</f>
        <v>475421785.91000003</v>
      </c>
      <c r="D90" s="84">
        <f>0</f>
        <v>0</v>
      </c>
      <c r="E90" s="37"/>
      <c r="F90" s="37"/>
      <c r="G90" s="37"/>
      <c r="H90" s="37"/>
      <c r="I90" s="37"/>
    </row>
    <row r="91" spans="2:16" ht="84" customHeight="1" x14ac:dyDescent="0.2">
      <c r="B91" s="110" t="s">
        <v>45</v>
      </c>
      <c r="C91" s="30">
        <f>18789431.19</f>
        <v>18789431.190000001</v>
      </c>
      <c r="D91" s="84">
        <f>0</f>
        <v>0</v>
      </c>
      <c r="E91" s="37"/>
      <c r="F91" s="37"/>
      <c r="G91" s="37"/>
      <c r="H91" s="37"/>
      <c r="I91" s="37"/>
    </row>
    <row r="92" spans="2:16" ht="149.25" customHeight="1" x14ac:dyDescent="0.2">
      <c r="B92" s="110" t="s">
        <v>77</v>
      </c>
      <c r="C92" s="30">
        <f>19344128.66</f>
        <v>19344128.66</v>
      </c>
      <c r="D92" s="84">
        <f>0</f>
        <v>0</v>
      </c>
      <c r="E92" s="37"/>
      <c r="F92" s="37"/>
      <c r="G92" s="37"/>
      <c r="H92" s="37"/>
      <c r="I92" s="37"/>
    </row>
    <row r="93" spans="2:16" ht="24" customHeight="1" x14ac:dyDescent="0.2">
      <c r="B93" s="110" t="s">
        <v>78</v>
      </c>
      <c r="C93" s="30">
        <f>0</f>
        <v>0</v>
      </c>
      <c r="D93" s="84">
        <f>0</f>
        <v>0</v>
      </c>
      <c r="E93" s="37"/>
      <c r="F93" s="37"/>
      <c r="G93" s="37"/>
      <c r="H93" s="37"/>
      <c r="I93" s="37"/>
    </row>
    <row r="94" spans="2:16" ht="24" customHeight="1" x14ac:dyDescent="0.2">
      <c r="B94" s="110" t="s">
        <v>92</v>
      </c>
      <c r="C94" s="30">
        <f>5948000</f>
        <v>5948000</v>
      </c>
      <c r="D94" s="84">
        <f>0</f>
        <v>0</v>
      </c>
      <c r="E94" s="37"/>
      <c r="F94" s="37"/>
      <c r="G94" s="37"/>
      <c r="H94" s="37"/>
      <c r="I94" s="37"/>
    </row>
    <row r="95" spans="2:16" ht="13.5" customHeight="1" x14ac:dyDescent="0.2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2:16" x14ac:dyDescent="0.2">
      <c r="B96" s="116" t="s">
        <v>33</v>
      </c>
      <c r="C96" s="114">
        <f>2</f>
        <v>2</v>
      </c>
      <c r="D96" s="114" t="str">
        <f>IF(C96=1,"I Kwartał",IF(C96=2,"II Kwartały",IF(C96=3,"III Kwartały",IF(C96=4,"IV Kwartały",IF(C96="M1","Styczeń",IF(C96="M11","Listopad",IF(C96="M12","Grudzień","-")))))))</f>
        <v>II Kwartały</v>
      </c>
      <c r="E96" s="37"/>
      <c r="F96" s="37"/>
      <c r="G96" s="37"/>
      <c r="H96" s="37"/>
      <c r="I96" s="37"/>
      <c r="J96" s="37"/>
      <c r="K96" s="37"/>
      <c r="L96" s="37"/>
      <c r="M96" s="37"/>
    </row>
    <row r="97" spans="2:13" ht="11.25" customHeight="1" x14ac:dyDescent="0.2">
      <c r="B97" s="116" t="s">
        <v>34</v>
      </c>
      <c r="C97" s="115">
        <f>2024</f>
        <v>2024</v>
      </c>
      <c r="D97" s="36"/>
      <c r="E97" s="37"/>
      <c r="F97" s="37"/>
      <c r="G97" s="37"/>
      <c r="H97" s="37"/>
      <c r="I97" s="37"/>
      <c r="J97" s="37"/>
      <c r="K97" s="37"/>
      <c r="L97" s="37"/>
      <c r="M97" s="37"/>
    </row>
    <row r="98" spans="2:13" ht="10.5" customHeight="1" x14ac:dyDescent="0.2">
      <c r="B98" s="116" t="s">
        <v>35</v>
      </c>
      <c r="C98" s="119" t="str">
        <f>"Aug 14 2024 12:00AM"</f>
        <v>Aug 14 2024 12:00AM</v>
      </c>
      <c r="D98" s="120"/>
      <c r="E98" s="37"/>
      <c r="F98" s="37"/>
      <c r="G98" s="37"/>
      <c r="H98" s="37"/>
      <c r="I98" s="37"/>
      <c r="J98" s="37"/>
      <c r="K98" s="37"/>
      <c r="L98" s="37"/>
      <c r="M98" s="37"/>
    </row>
    <row r="99" spans="2:13" hidden="1" x14ac:dyDescent="0.2">
      <c r="B99" s="1" t="s">
        <v>88</v>
      </c>
      <c r="C99" s="118" t="s">
        <v>95</v>
      </c>
    </row>
  </sheetData>
  <mergeCells count="22">
    <mergeCell ref="B3:B4"/>
    <mergeCell ref="F45:F46"/>
    <mergeCell ref="C63:D63"/>
    <mergeCell ref="C84:D84"/>
    <mergeCell ref="C47:I47"/>
    <mergeCell ref="E4:I5"/>
    <mergeCell ref="C4:D4"/>
    <mergeCell ref="J4:L4"/>
    <mergeCell ref="J47:K47"/>
    <mergeCell ref="E44:E46"/>
    <mergeCell ref="C44:C46"/>
    <mergeCell ref="I59:J59"/>
    <mergeCell ref="G45:H45"/>
    <mergeCell ref="F44:H44"/>
    <mergeCell ref="C98:D98"/>
    <mergeCell ref="E62:I64"/>
    <mergeCell ref="K44:K46"/>
    <mergeCell ref="B44:B47"/>
    <mergeCell ref="I44:I46"/>
    <mergeCell ref="J44:J46"/>
    <mergeCell ref="D44:D46"/>
    <mergeCell ref="J63:K63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95" orientation="landscape" useFirstPageNumber="1" r:id="rId1"/>
  <headerFooter alignWithMargins="0">
    <oddFooter>&amp;RStrona &amp;P z &amp;N</oddFooter>
  </headerFooter>
  <rowBreaks count="4" manualBreakCount="4">
    <brk id="28" max="11" man="1"/>
    <brk id="40" max="11" man="1"/>
    <brk id="60" max="11" man="1"/>
    <brk id="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2017-03-30T12:13:25Z</cp:lastPrinted>
  <dcterms:created xsi:type="dcterms:W3CDTF">2001-05-17T08:58:03Z</dcterms:created>
  <dcterms:modified xsi:type="dcterms:W3CDTF">2024-08-26T09:34:52Z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2024-08-26T11:34:21.4454843+02:00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GRN-86e78cc6-55ef-4a8f-a668-7267b7497a2c</vt:lpwstr>
  </property>
  <property fmtid="{D5CDD505-2E9C-101B-9397-08002B2CF9AE}" pid="7" name="MFHash">
    <vt:lpwstr>YlG7Et7LUU6xIZNR4Yc5rfd2KkCAT2zmQuGUWX3wKc4=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