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1355" windowHeight="8460" activeTab="0"/>
  </bookViews>
  <sheets>
    <sheet name="rezerwy" sheetId="1" r:id="rId1"/>
  </sheets>
  <definedNames>
    <definedName name="_xlnm.Print_Area" localSheetId="0">'rezerwy'!$A$1:$G$150</definedName>
    <definedName name="_xlnm.Print_Titles" localSheetId="0">'rezerwy'!$3:$3</definedName>
  </definedNames>
  <calcPr fullCalcOnLoad="1"/>
</workbook>
</file>

<file path=xl/sharedStrings.xml><?xml version="1.0" encoding="utf-8"?>
<sst xmlns="http://schemas.openxmlformats.org/spreadsheetml/2006/main" count="247" uniqueCount="154">
  <si>
    <t>Zobowiązania wymagalne Skarbu Państwa</t>
  </si>
  <si>
    <t>83/4</t>
  </si>
  <si>
    <t>83/7</t>
  </si>
  <si>
    <t>83/16</t>
  </si>
  <si>
    <t>83/25</t>
  </si>
  <si>
    <t>83/27</t>
  </si>
  <si>
    <t>83/8</t>
  </si>
  <si>
    <t>83/14</t>
  </si>
  <si>
    <t>83/26</t>
  </si>
  <si>
    <t>83/29</t>
  </si>
  <si>
    <t>83/12</t>
  </si>
  <si>
    <t>83/44</t>
  </si>
  <si>
    <t>83/13</t>
  </si>
  <si>
    <t>Pomoc dla repatriantów</t>
  </si>
  <si>
    <t>83/22</t>
  </si>
  <si>
    <t>83/32</t>
  </si>
  <si>
    <t>83/39</t>
  </si>
  <si>
    <t>83/36</t>
  </si>
  <si>
    <t>83/28</t>
  </si>
  <si>
    <t>83/58</t>
  </si>
  <si>
    <t>83/59</t>
  </si>
  <si>
    <t>83/53</t>
  </si>
  <si>
    <t>83/50</t>
  </si>
  <si>
    <t>83/45</t>
  </si>
  <si>
    <t>83/41</t>
  </si>
  <si>
    <t>83/51</t>
  </si>
  <si>
    <t>83/34</t>
  </si>
  <si>
    <t>83/38</t>
  </si>
  <si>
    <t>83/31</t>
  </si>
  <si>
    <t>83/15</t>
  </si>
  <si>
    <t>83/24</t>
  </si>
  <si>
    <t>83/52</t>
  </si>
  <si>
    <t>83/54</t>
  </si>
  <si>
    <t>83/62</t>
  </si>
  <si>
    <t>83/69</t>
  </si>
  <si>
    <t>83/40</t>
  </si>
  <si>
    <t>83/55</t>
  </si>
  <si>
    <t>83/63</t>
  </si>
  <si>
    <t>83/47</t>
  </si>
  <si>
    <t>Środki na realizację ustawy o Karcie Dużej Rodziny</t>
  </si>
  <si>
    <t>Dofinansowanie zadań z zakresu ochrony środowiska i gospodarki wodnej</t>
  </si>
  <si>
    <t>83/37</t>
  </si>
  <si>
    <t>Zwiększenie dostępności wychowania przedszkolnego</t>
  </si>
  <si>
    <t>Uzupełnienie wydatków na gospodarkę nieruchomościami</t>
  </si>
  <si>
    <t>83/57</t>
  </si>
  <si>
    <t xml:space="preserve">Kontynuacja budowy i utworzenie systemów informatycznych w ochronie zdrowia oraz realizacja niektórych zadań wynikających z ustawy o zmianie ustawy o systemie informacji w ochronie zdrowia oraz niektórych innych ustaw </t>
  </si>
  <si>
    <t>83/35</t>
  </si>
  <si>
    <t>Opinia nr 103 Komisji Finansów Publicznych w sprawie zmiany pzreznaczenia rezerwy celowej uchwaloną w dniu 20 lipca 2017 r. (na realizację działań wynikajacych z rządowego programu rozwijania szkolnej infrastruktury oraz kompetencji uczniów i nauczycieli w zakresie technologii informacyjno-komunikacyjnych na lata 2017-2019 - "Aktywna tablica".</t>
  </si>
  <si>
    <t>Środki na dofinansowanie zadań realizowanych przez zespoły do spraw orzekania o niepełnosprawności, na realizację karty parkingowej oraz na realizację legitymacji osoby niepełnosprawnej</t>
  </si>
  <si>
    <t>83/70</t>
  </si>
  <si>
    <t>Program rozwoju gminnej i powiatowej infrastruktury drogowej na lata 2016-2019</t>
  </si>
  <si>
    <t>83/33</t>
  </si>
  <si>
    <t>Środki na realizację programu wieloletniego "Senior+"</t>
  </si>
  <si>
    <t>83/92</t>
  </si>
  <si>
    <t>83/76</t>
  </si>
  <si>
    <t>83/77</t>
  </si>
  <si>
    <t>83/86</t>
  </si>
  <si>
    <t>83/78</t>
  </si>
  <si>
    <t>83/85</t>
  </si>
  <si>
    <t>83/79</t>
  </si>
  <si>
    <t>83/49</t>
  </si>
  <si>
    <t xml:space="preserve">Rezerwa ogólna cz. 81 </t>
  </si>
  <si>
    <t>Rezerwa na realizację projektów współfinansowanych z udziałem środków pochodzących z budżetu UE oraz ze środków pomocy bezzwrotnej, rozliczenia programów i projektów finansowanych z udziałem tych środków, a także rozliczenia z budżetem ogólnym Unii Europejskiej</t>
  </si>
  <si>
    <t>83/88</t>
  </si>
  <si>
    <t>83/91</t>
  </si>
  <si>
    <t>83/82</t>
  </si>
  <si>
    <t>Zwrot gminom utraconych dochodów w związku ze zwolnieniem z podatku od nieruchomości w parkach narodowych i rezerwatach przyrody oraz w związku ze zwolnieniem z podatku: rolnego, od nieruchomości, leśnego przedsiębiorców o statusie centrum badawczo- rozwojowego, a także na zwrot gminom utraconych dochodów z podatku od nieruchomości w specjalnych strefach ekonomicznych w postaci części rekompenmsującej subwencji ogólnej</t>
  </si>
  <si>
    <t>Utrzymanie rezultatów niektórych projektów zrealizowanych przy udziale środków z UE, w tym systemy informatyczne, a także środki na wsparcie potencjału realizacji zadań publicznych</t>
  </si>
  <si>
    <t>n/d</t>
  </si>
  <si>
    <t>83/64</t>
  </si>
  <si>
    <t>Środki na realizację  zadań wynikających z ustawy o Karcie Polaka</t>
  </si>
  <si>
    <t>Podwyższania wynagrodzeń nauczycieli zatrudnionych w szkołach i placówkach oświatowych prowadzonych przez organy administracji rządowej</t>
  </si>
  <si>
    <t>Wdrażanie Planu współpracy rozwojowej w 2020 r.</t>
  </si>
  <si>
    <t>Wypłata odszkodowań przez wojewodów za nieruchomości pozyskiwane pod gazociagi stanowiące inwestycje towarzyszące budowie gazoportu w Świnoujściu oraz na odszkodowania za nieruchomości pozyskiwane pod realizację strategicznych inwestycji w sektorze naftowym</t>
  </si>
  <si>
    <t>83/68</t>
  </si>
  <si>
    <t>Środki na zadania w obszarze zdrowia</t>
  </si>
  <si>
    <t>Środki na realizację programu wieloletniego "Niepodległa" na lata 2017-2022 - priorytet 2. Schemat 2C-Projekty własne wojewodów</t>
  </si>
  <si>
    <t>83/56</t>
  </si>
  <si>
    <t>Rezerwa na zmiany systemowe i niektóre zmiany organizacyjne, w tym nowe zadania</t>
  </si>
  <si>
    <t>Środki na zadania określone w ustawie o pomocy społecznej oraz na opłacenie składki na ubezpieczenie zdrowotne za osoby pobierające niektóre świadczenia z pomocy społecznej oraz na finansowanie lub dofinansowanie zadań wynikających z ustawy o przeciwdziałaniu przemocy w rodzinie</t>
  </si>
  <si>
    <t>Zwalczanie chorób zakaźnych zwierząt (w tym finansowanie programów zwalczania), badania monitoringowe pozostałości chemicznych i biologicznych w tkankach zwierząt, produktach pochodzenia zwierzęcego i paszach, finansowanie zadań zleconych przez Komisję Europejską oraz dofinansowanie kosztów realizacji zadań Inspekcji Weterynaryjnej, w tym na wypłatę wynagrodzeń dla lekarzy wyznaczonych na podstawie art. 16 ustawy o Inspekcji Weterynaryjnej</t>
  </si>
  <si>
    <t>Budowa, modernizacja i wyposażenie przejść granicznych</t>
  </si>
  <si>
    <t>83/11</t>
  </si>
  <si>
    <t>Stypendia Prezesa Rady Ministrów dla uczniów szczególnie uzdolnionych</t>
  </si>
  <si>
    <t>Środki na realizację ustawy o pomocy państwa w wychowywaniu dzieci, a także na realizację dodatku wychowawczego, dodatku w wysokości świadczenia wychowawczego oraz dodatku do zryczałtowanej kwoty, o których mowa w ustawie o wspieraniu rodziny i systemie pieczy zastępczej</t>
  </si>
  <si>
    <t>Środki na zadania w obszarze integracji społecznej i obywatelskiej Romów w Polsce.</t>
  </si>
  <si>
    <t xml:space="preserve">Opinia nr 113 Komisji Finansów Publicznych do Ministra Finansów, Funduszy i Polityki Regionalnej w sprawie zmiany przeznaczenia rezerwy celowej uchwalona na posiedzeniu w dniu 16 września 2021 r. </t>
  </si>
  <si>
    <t xml:space="preserve">Opinia nr 114 Komisji Finansów Publicznych do Ministra Finansów, Funduszy i Polityki Regionalnej w sprawie zmiany przeznaczenia rezerwy celowej uchwalona na posiedzeniu w dniu 16 września 2021 r. </t>
  </si>
  <si>
    <t xml:space="preserve">Opinia nr 119 Komisji Finansów Publicznych do Ministra Finansów, Funduszy i Polityki Regionalnej w sprawie zmiany przeznaczenia rezerwy celowej uchwalona na posiedzeniu w dniu 29 września 2021 r. </t>
  </si>
  <si>
    <t>83/71</t>
  </si>
  <si>
    <t>zmniejszenie planu wydatków dysponentów (środki pochodzące z blokad)</t>
  </si>
  <si>
    <t xml:space="preserve">Środki na dofinansowanie zadań własnych jednostek samorządu terytorialnego </t>
  </si>
  <si>
    <t>Rezerwy celowe razem</t>
  </si>
  <si>
    <t>Ogółem</t>
  </si>
  <si>
    <t>Rezerwa ogólna razem</t>
  </si>
  <si>
    <t>83/9</t>
  </si>
  <si>
    <t>Środki na realizację zadań wynikających z ustawy z dnia 22 listopada 2013 r. o systemie powiadamiania ratunkowego</t>
  </si>
  <si>
    <t>Środki na realizację programu kompleksowego wsparcia dla rodzin "Za życiem" ustanowionego na podstawie ustawy o wsparciu kobiet w ciąży i rodzin "Za życiem", z wyłączeniem art. 10 tej ustawy</t>
  </si>
  <si>
    <t>83/66</t>
  </si>
  <si>
    <t>83/72</t>
  </si>
  <si>
    <t>Środki dla spółek wodnych na dofinansowanie działalności bieżącej w zakresie realizacji zadań związanych z utrzymaniem wód i urządzeń wodnych</t>
  </si>
  <si>
    <t>Rez. wg projektu/ustawy budżetowej</t>
  </si>
  <si>
    <t>n/d                     (cz. 42)</t>
  </si>
  <si>
    <t>Razem cz. 42</t>
  </si>
  <si>
    <t>Dopłaty do paliwa rolniczego</t>
  </si>
  <si>
    <t>Fundusz Gwarancji w Rolnictwie</t>
  </si>
  <si>
    <t>Środki na uzupełnienie dotacji dla jednostek samorządu terytorialnego z przeznaczeniem na realizację zadań wynikających z ustawy - Prawo o aktach stanu cywilnego, ustawy o ewidencji ludności oraz ustawy o dowodach osobistych, w tym związanych z odmiejscowieniem niektórych czynności, a także inne zadania, których koszt realizacji kalkulowany jest w ujednolicony sposób</t>
  </si>
  <si>
    <t xml:space="preserve">n/d                     </t>
  </si>
  <si>
    <t>Rezerwa razem</t>
  </si>
  <si>
    <t>Dofinansowanie realizacji niektórych zadań kontynuowanych</t>
  </si>
  <si>
    <t>Przeciwdziałanie i usuwanie skutków klęsk żywiołowych, w tym realizacja zadań w dorzeczach Odry i górnej Wisły</t>
  </si>
  <si>
    <t>dla Miasta Przemyśla na pokrycie w 2023 r. części kosztów realizacji zadania pn. „Budowa Jednostki Ratowniczo-Gaśniczej w miejscowości Dubiecko Komendy Miejskiej Państwowej Straży Pożarnej w Przemyślu”.</t>
  </si>
  <si>
    <t>na sfinansowanie organizacji wydarzenia pn. „Beatyfikacja Rodziny Ulmów wraz z wydarzeniami towarzyszącymi”.</t>
  </si>
  <si>
    <t>Środki na wyrównywanie szans edukacyjnych dzieci i młodzieży, zapewnienie uczniom objętym obowiązkiem szkolnym dostępu do bezpłatnych podręczników, materiałów edukacyjnych i materiałów ćwiczeniowych, realizację programu rządowego "Aktywna tablica" i Narodowego programu Rozwoju Czytelnictwa-Priorytet 3, a także innych programów rządowych oraz programów i przedsięwzięć  ustanowionych w obszarze oświaty i wychowania na podstawie art. 90u i 90w ustawy o systemie oświaty</t>
  </si>
  <si>
    <t>Uzupełnienie środków na wypłatę i waloryzację świadczeń z zakresu rodziny i zabezpieczenia społecznego, realizację zadań z zakresu zabezpieczenia społecznego oraz na wypłatę świadczeń motywacyjnych, o których mowa w ustawie o Policji, ustawie o Państwowej Straży Pożarnej, ustawie o Straży Granicznej oraz ustawie o Służbie Ochrony Państwa</t>
  </si>
  <si>
    <t>Wyszczególnienie</t>
  </si>
  <si>
    <t>w zł</t>
  </si>
  <si>
    <t xml:space="preserve"> Zmniejszenie            (z blokady)</t>
  </si>
  <si>
    <t>Rozporządzenie Prezesa Rady Ministrów z dnia 8 marca 2023 r. w sprawie przeniesienia planowanych wydatkow budżetowych, w tym wynagrodzeń, określonych w ustawie budżetowej na rok 2023 ( Dz.U. 2023 r. poz. 494)</t>
  </si>
  <si>
    <t>Środki na realizację ustawy o świadczeniach rodzinnych, ustawy o pomocy osobom uprawnionym do alimentów, ustawy o ustaleniu i wypłacie zasiłków dla opiekunów oraz na opłacenie składki emerytalnej i rentowej z ubezpieczenia społecznego, a także na opłacenie składki na ubezpieczenie zdrowotne za osoby pobierające niektóre świadczenia rodzinne i zasiłki dla opiekunów i na realizację art. 10 ustawy o wsparciu kobiet w ciąży i rodzin "Za życiem" oraz na finansowanie lub dofinansowanie zadań wynikających z ustawy o wspieraniu rodziny i systemie pieczy zastępczej (w tym na prowadzenie ośrodków adopcyjnych oraz finansowanie pobytu dzieci cudzoziemców w pieczy zastępczej)</t>
  </si>
  <si>
    <t>Zmniejszenie (inne)</t>
  </si>
  <si>
    <t>Ochrona odbiorcy wrażliwego energii elektrycznej</t>
  </si>
  <si>
    <t>83/19</t>
  </si>
  <si>
    <t>Rezerwa płacowa na zmiany organizacyjne i nowe zadania (w tym na skutki przechodzące)</t>
  </si>
  <si>
    <t>na dofinansowanie prac remontowych zbiorowych i indywidualnych mogił wojennych: powstańców z 1863 r., żołnierzy Wojska Polskiego oraz ofiar terroru niemieckiego i komunistycznego, prowadzonych w 2023 roku,</t>
  </si>
  <si>
    <t>Środki na realizację programu wieloletniego  "Senior+"</t>
  </si>
  <si>
    <t>dla Powiatu Kolbuszowskiego na dofinansowanie realizacji zadania pn. „Zakup sprzętu do pracowni endoskopii oraz działu rehabilitacji SP ZOZ w Kolbuszowej”.</t>
  </si>
  <si>
    <t>Środki na realizację wieloletniego rządowego programu  "Posiłek w szkole i w domu" na lata 2019-2023</t>
  </si>
  <si>
    <t>Środki na realizację "rządowego programu ograniczania przestępczości i aspołecznych zachowań Razem bezpieczniej im. Władysława Stasiaka na lata 2022-2024"</t>
  </si>
  <si>
    <t>na kwalifikację wojskową dla województwa podkarpackiego w 2023 r. (cz. 29)</t>
  </si>
  <si>
    <t>83/20</t>
  </si>
  <si>
    <t>Środki na szkolenia i wynagrodzenia na nowe mianowania urzędników służby cywilnej oraz skutki przechodzące</t>
  </si>
  <si>
    <t>dla Gminy Lubaczów na dofinansowanie realizacji zadania pn. „Wykonanie zastępczych otworów studziennych S-1a i S-2c, budowa zbiornika wody uzdatnionej o pojemności do 500 m3 na ujęciu wody w miejscowości Mokrzyca, wymiana węzłów, hydrantów przeciwpożarowych i zasuw kierunkowych, na terenie całej zlewni Mokrzyca, gmina Lubaczów”.</t>
  </si>
  <si>
    <t xml:space="preserve">Zwrot części wydatków wykonanych w ramach funduszu sołeckiego </t>
  </si>
  <si>
    <t>dla Gminy Laszki na dofinansowanie zadania pn. „Przebudowa sieci dróg do terenów inwestycyjnych oraz lotniska w miejscowości Laszki”</t>
  </si>
  <si>
    <t>dla Gminy Markowa na dofinansowanie zadania pn. "Przebudowa, rozbudowa, remont (konserwacja i restauracja) zabytkowego budynku Domu ludowego oraz przebudowa budynku Centrum Kultury w Markowej - etap II".</t>
  </si>
  <si>
    <t>dla Komendy Państwowej Straży Pożarnej na dostosowanie planu wydatków do aktualnych potrzeb (cz. 42)</t>
  </si>
  <si>
    <t>dla Powiatu Mieleckiego na dofinansowanie zadania pn. „Zakup mikroskopu na potrzeby Oddziału Neurochirurgii w Szpitalu Specjalistycznym im. Edmunda Biernackiego w Mielcu”</t>
  </si>
  <si>
    <t>dla Gminy Markowa na dofinansowanie zadania pn. „Utwardzenie powierzchni gruntu na działkach nr ewid. 1687/3, 1686/2, 1686/1, 1685, 1678, 1659/2”.</t>
  </si>
  <si>
    <t>83/73</t>
  </si>
  <si>
    <t>Zwiększenie wynagrodzeń, w tym środki na nagrody specjalne i jednorazowe wymagrodzenia oraz na finansowanie skutków zmiany podstawy naliczania odpisu na zakładowy fundusz świadczeń socjalnych oraz inne fundusze socjalne</t>
  </si>
  <si>
    <t>Opinia nr 322 Komisji Finansów Publicznych do Ministra Finansów w sprawie zmiany przeznaczenia rezerwy celowej uchwaloną na posiedzeniu w dniu 28 lipca 2023 r. (na utrzymanie i prowadzenie specjalistycznych ośrodków wsparcia dla osób doznających przemocy domowej, na uzupełnienie wydatków na działalność zespołów do spraw orzekania o niepełnosprawności)</t>
  </si>
  <si>
    <t>Wydatki związane ze zwalczaniem skutków, w tym społeczno-gospodarczych, kryzysu wywołanego konfliktem zbrojnym w Ukrainie</t>
  </si>
  <si>
    <t>Opinia nr 322 Komisji Finansów Publicznych do Ministra Finansów w sprawie zmiany przeznaczenia rezerwy celowej uchwaloną na posiedzeniu w dniu 22 września 2023 r. (na dofinansowanie bieżącej działalności domów pomocy społecznej)</t>
  </si>
  <si>
    <t>dla Powiatu Sanockiego na dofinansowanie zadania pn. „Bieszczadzkie Centrum Zdrowia – restrukturyzacja i modernizacja SP ZOZ w Sanoku – jako odpowiedź na potrzeby zdrowotne i uwarunkowania ekonomiczne oraz konieczność integracji systemu usług medycznych na poziomie regionalnym (ponadpowiatowym) – poprzez wymianę windy w Budynku Głównym Szpitala”.</t>
  </si>
  <si>
    <t>dla Powiatu Sanockiego na dofinansowanie zadania pn. „Bieszczadzkie Centrum Zdrowia – restrukturyzacja i modernizacja SP ZOZ w Sanoku – jako odpowiedź na potrzeby zdrowotne i uwarunkowania ekonomiczne oraz konieczność integracji systemu usług medycznych na poziomie regionalnym (ponadpowiatowym) – poprzez doposażenie Zakładu Analityki Medycznej oraz Zakładu Mikrobiologii”.</t>
  </si>
  <si>
    <t>Opinia nr 353 Komisji Finansów Publicznych do Ministra Finansów w sprawie zmiany przeznaczenia rezerwy celowej uchwaloną na posiedzeniu w dniu 22 września 2023 r. (na sfinansowanie wydatków wynikających z wejścia w życie ustawy z dnia 26 stycznia 2023 r. o zmianie ustawy – Kodeks wyborczy oraz niektórych innych ustaw (Dz. U. 2023 r. poz. 497), która nałożyła na organy wykonawcze gmin obowiązek zorganizowania bezpłatnych przewozów do i z lokali wyborczych dla wyborców niepełnosprawnych oraz wyborców, którzy najpóźniej w dniu głosowania kończą 60 lat, a także dla wyborców ujętych w spisie wyborców w stałym obwodzie głosowania położonym na obszarze danej gminy, jeżeli w ramach tej gminy w dniu wyborów nie funkcjonuje transport publiczny (dodany art. 37e i 37f ustawy z dnia 5 stycznia 2011 r. – Kodeks wyborczy).)</t>
  </si>
  <si>
    <t>Opinia nr 359 Komisji Finansów Publicznych do Ministra Finansów w sprawie zmiany przeznaczenia rezerwy celowej uchwaloną na posiedzeniu w dniu 22 września 2023 r. (na zakup wyposażenia biurowego i sprzętu niezbędnego do prawidłowego funkcjonowania tych jednostek)</t>
  </si>
  <si>
    <t>dla samorządu Województwa Podkarpackiego na dofinansowanie zadania pn. "Zakup systemu USG na potrzeby Klinicznego szpitala Wojewódzkiego Nr 2 im. Św. Jadwigi Królowej w Rzeszowie".</t>
  </si>
  <si>
    <t>dla Gminy Sanok na dofinansowanie zadania pn. „Budowa garażu z przeznaczeniem na samochód ratowniczo-gaśniczy dla OSP Tyrawa Solna”.</t>
  </si>
  <si>
    <t>Zwiększenie (decyzje MF + korekty decyzji MF)</t>
  </si>
  <si>
    <t>Zmniejszenie (korekty decyzji MF)</t>
  </si>
  <si>
    <t>Zmiany w budżecie Wojewody Podkarpackiego wg stanu na dzień 31.12.2023 r.</t>
  </si>
  <si>
    <t>Razem zmiany               ( kol. 3-4-5)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</si>
</sst>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3" fontId="2" fillId="0" borderId="10" xfId="0" applyNumberFormat="1" applyFont="1" applyBorder="1" applyAlignment="1">
      <alignment horizontal="center" vertical="center"/>
    </xf>
    <xf numFmtId="43" fontId="1" fillId="0" borderId="10" xfId="0" applyNumberFormat="1" applyFont="1" applyBorder="1" applyAlignment="1">
      <alignment horizontal="center" vertical="center" wrapText="1"/>
    </xf>
    <xf numFmtId="43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10" xfId="0" applyNumberFormat="1" applyFont="1" applyBorder="1" applyAlignment="1">
      <alignment horizontal="center" vertical="center"/>
    </xf>
    <xf numFmtId="43" fontId="2" fillId="0" borderId="10" xfId="42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3" fontId="1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3" fontId="5" fillId="0" borderId="0" xfId="42" applyNumberFormat="1" applyFont="1" applyBorder="1" applyAlignment="1">
      <alignment horizontal="center" vertical="center"/>
    </xf>
    <xf numFmtId="43" fontId="5" fillId="0" borderId="0" xfId="42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13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43" fontId="1" fillId="0" borderId="10" xfId="42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43" fontId="1" fillId="0" borderId="10" xfId="0" applyNumberFormat="1" applyFont="1" applyFill="1" applyBorder="1" applyAlignment="1">
      <alignment horizontal="center" vertical="center" wrapText="1"/>
    </xf>
    <xf numFmtId="43" fontId="5" fillId="0" borderId="10" xfId="42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0" fillId="0" borderId="10" xfId="0" applyBorder="1" applyAlignment="1">
      <alignment vertical="center"/>
    </xf>
    <xf numFmtId="43" fontId="2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44" fillId="0" borderId="0" xfId="0" applyFont="1" applyFill="1" applyAlignment="1">
      <alignment vertical="center" wrapText="1"/>
    </xf>
    <xf numFmtId="43" fontId="0" fillId="0" borderId="0" xfId="0" applyNumberForma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4"/>
  <sheetViews>
    <sheetView tabSelected="1" zoomScaleSheetLayoutView="100" workbookViewId="0" topLeftCell="A1">
      <pane xSplit="2" ySplit="4" topLeftCell="C13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7" sqref="F7"/>
    </sheetView>
  </sheetViews>
  <sheetFormatPr defaultColWidth="9.140625" defaultRowHeight="12.75"/>
  <cols>
    <col min="1" max="1" width="16.28125" style="11" customWidth="1"/>
    <col min="2" max="2" width="59.28125" style="17" customWidth="1"/>
    <col min="3" max="3" width="18.8515625" style="7" customWidth="1"/>
    <col min="4" max="4" width="17.28125" style="0" customWidth="1"/>
    <col min="5" max="5" width="15.8515625" style="0" hidden="1" customWidth="1"/>
    <col min="6" max="6" width="18.140625" style="0" customWidth="1"/>
    <col min="7" max="15" width="22.28125" style="0" customWidth="1"/>
  </cols>
  <sheetData>
    <row r="1" spans="1:6" ht="36.75" customHeight="1">
      <c r="A1" s="47" t="s">
        <v>152</v>
      </c>
      <c r="B1" s="47"/>
      <c r="C1" s="47"/>
      <c r="D1" s="47"/>
      <c r="E1" s="47"/>
      <c r="F1" s="47"/>
    </row>
    <row r="2" spans="1:7" ht="15.75">
      <c r="A2" s="44"/>
      <c r="B2" s="44"/>
      <c r="C2" s="44"/>
      <c r="G2" s="38" t="s">
        <v>116</v>
      </c>
    </row>
    <row r="3" spans="1:7" ht="65.25" customHeight="1">
      <c r="A3" s="3" t="s">
        <v>101</v>
      </c>
      <c r="B3" s="4" t="s">
        <v>115</v>
      </c>
      <c r="C3" s="6" t="s">
        <v>150</v>
      </c>
      <c r="D3" s="6" t="s">
        <v>151</v>
      </c>
      <c r="E3" s="6" t="s">
        <v>117</v>
      </c>
      <c r="F3" s="36" t="s">
        <v>120</v>
      </c>
      <c r="G3" s="36" t="s">
        <v>153</v>
      </c>
    </row>
    <row r="4" spans="1:7" ht="15.75">
      <c r="A4" s="9">
        <v>1</v>
      </c>
      <c r="B4" s="1">
        <v>2</v>
      </c>
      <c r="C4" s="12">
        <v>3</v>
      </c>
      <c r="D4" s="12">
        <v>4</v>
      </c>
      <c r="E4" s="12">
        <v>5</v>
      </c>
      <c r="F4" s="12">
        <v>5</v>
      </c>
      <c r="G4" s="12">
        <v>6</v>
      </c>
    </row>
    <row r="5" spans="1:7" ht="48.75" customHeight="1">
      <c r="A5" s="8" t="s">
        <v>1</v>
      </c>
      <c r="B5" s="2" t="s">
        <v>110</v>
      </c>
      <c r="C5" s="5">
        <f>25081880+2506000+15000+12000+12000+66000+59000+96597.55+15000</f>
        <v>27863477.55</v>
      </c>
      <c r="D5" s="41">
        <f>3235673+936141+2568768</f>
        <v>6740582</v>
      </c>
      <c r="E5" s="39"/>
      <c r="F5" s="5"/>
      <c r="G5" s="5">
        <f>C5-D5-E5-F5</f>
        <v>21122895.55</v>
      </c>
    </row>
    <row r="6" spans="1:7" ht="41.25" customHeight="1" hidden="1">
      <c r="A6" s="8" t="s">
        <v>1</v>
      </c>
      <c r="B6" s="15" t="s">
        <v>90</v>
      </c>
      <c r="C6" s="5"/>
      <c r="D6" s="39"/>
      <c r="E6" s="39"/>
      <c r="F6" s="5"/>
      <c r="G6" s="5">
        <f>SUM(C6:F6)</f>
        <v>0</v>
      </c>
    </row>
    <row r="7" spans="1:7" ht="32.25" customHeight="1">
      <c r="A7" s="8" t="s">
        <v>2</v>
      </c>
      <c r="B7" s="2" t="s">
        <v>104</v>
      </c>
      <c r="C7" s="5">
        <f>31393334.07+8434.03+2549.81+5936.55+28846262.5</f>
        <v>60256516.96</v>
      </c>
      <c r="D7" s="40"/>
      <c r="E7" s="40"/>
      <c r="F7" s="5"/>
      <c r="G7" s="5">
        <f>SUM(C7:F7)</f>
        <v>60256516.96</v>
      </c>
    </row>
    <row r="8" spans="1:9" ht="100.5" customHeight="1">
      <c r="A8" s="14" t="s">
        <v>6</v>
      </c>
      <c r="B8" s="2" t="s">
        <v>62</v>
      </c>
      <c r="C8" s="5">
        <f>1196600+136290.62+51428.57+310971.43+1981857.99+867592.8+389446.68+65234.08+119560.61+565400.43+671084.23+4866+12792+24421+452843.19+478200+1225365.65+48925.56+343628.57+15940+28500+19909.8+137279.39+583869.45+3000+288567.94</f>
        <v>10023575.99</v>
      </c>
      <c r="D8" s="40">
        <f>15600+21936.53</f>
        <v>37536.53</v>
      </c>
      <c r="E8" s="40"/>
      <c r="F8" s="5"/>
      <c r="G8" s="5">
        <f aca="true" t="shared" si="0" ref="G8:G39">C8-D8-E8-F8</f>
        <v>9986039.46</v>
      </c>
      <c r="I8" s="7"/>
    </row>
    <row r="9" spans="1:7" ht="45.75" customHeight="1" hidden="1">
      <c r="A9" s="14" t="s">
        <v>95</v>
      </c>
      <c r="B9" s="2" t="s">
        <v>96</v>
      </c>
      <c r="C9" s="5"/>
      <c r="D9" s="40"/>
      <c r="E9" s="40"/>
      <c r="F9" s="5"/>
      <c r="G9" s="5">
        <f t="shared" si="0"/>
        <v>0</v>
      </c>
    </row>
    <row r="10" spans="1:7" ht="56.25" customHeight="1">
      <c r="A10" s="21" t="s">
        <v>82</v>
      </c>
      <c r="B10" s="2" t="s">
        <v>83</v>
      </c>
      <c r="C10" s="5">
        <f>567000+448000</f>
        <v>1015000</v>
      </c>
      <c r="D10" s="40"/>
      <c r="E10" s="40"/>
      <c r="F10" s="5"/>
      <c r="G10" s="5">
        <f t="shared" si="0"/>
        <v>1015000</v>
      </c>
    </row>
    <row r="11" spans="1:7" ht="132.75" customHeight="1">
      <c r="A11" s="8" t="s">
        <v>10</v>
      </c>
      <c r="B11" s="2" t="s">
        <v>80</v>
      </c>
      <c r="C11" s="13">
        <f>1868100+1187000+936800+2300000+1348300+1015000</f>
        <v>8655200</v>
      </c>
      <c r="D11" s="40"/>
      <c r="E11" s="40"/>
      <c r="F11" s="5"/>
      <c r="G11" s="5">
        <f t="shared" si="0"/>
        <v>8655200</v>
      </c>
    </row>
    <row r="12" spans="1:7" ht="42" customHeight="1" hidden="1">
      <c r="A12" s="21" t="s">
        <v>10</v>
      </c>
      <c r="B12" s="2" t="s">
        <v>90</v>
      </c>
      <c r="C12" s="13"/>
      <c r="D12" s="40"/>
      <c r="E12" s="40"/>
      <c r="F12" s="5"/>
      <c r="G12" s="5">
        <f t="shared" si="0"/>
        <v>0</v>
      </c>
    </row>
    <row r="13" spans="1:7" ht="41.25" customHeight="1" hidden="1">
      <c r="A13" s="21" t="s">
        <v>10</v>
      </c>
      <c r="B13" s="35" t="s">
        <v>108</v>
      </c>
      <c r="C13" s="32"/>
      <c r="D13" s="40"/>
      <c r="E13" s="40"/>
      <c r="F13" s="5"/>
      <c r="G13" s="5">
        <f t="shared" si="0"/>
        <v>0</v>
      </c>
    </row>
    <row r="14" spans="1:7" ht="93.75" customHeight="1" hidden="1">
      <c r="A14" s="22"/>
      <c r="B14" s="2"/>
      <c r="C14" s="13"/>
      <c r="D14" s="40"/>
      <c r="E14" s="40"/>
      <c r="F14" s="5"/>
      <c r="G14" s="5">
        <f t="shared" si="0"/>
        <v>0</v>
      </c>
    </row>
    <row r="15" spans="1:7" ht="93.75" customHeight="1" hidden="1">
      <c r="A15" s="23" t="s">
        <v>10</v>
      </c>
      <c r="B15" s="2"/>
      <c r="C15" s="13"/>
      <c r="D15" s="40"/>
      <c r="E15" s="40"/>
      <c r="F15" s="5"/>
      <c r="G15" s="5">
        <f t="shared" si="0"/>
        <v>0</v>
      </c>
    </row>
    <row r="16" spans="1:7" ht="25.5" customHeight="1">
      <c r="A16" s="8" t="s">
        <v>12</v>
      </c>
      <c r="B16" s="2" t="s">
        <v>13</v>
      </c>
      <c r="C16" s="13">
        <f>20190.59+13706.62</f>
        <v>33897.21</v>
      </c>
      <c r="D16" s="40"/>
      <c r="E16" s="40"/>
      <c r="F16" s="5"/>
      <c r="G16" s="5">
        <f t="shared" si="0"/>
        <v>33897.21</v>
      </c>
    </row>
    <row r="17" spans="1:7" ht="40.5" customHeight="1">
      <c r="A17" s="14" t="s">
        <v>7</v>
      </c>
      <c r="B17" s="15" t="s">
        <v>85</v>
      </c>
      <c r="C17" s="13">
        <f>428100</f>
        <v>428100</v>
      </c>
      <c r="D17" s="40"/>
      <c r="E17" s="40"/>
      <c r="F17" s="5"/>
      <c r="G17" s="5">
        <f t="shared" si="0"/>
        <v>428100</v>
      </c>
    </row>
    <row r="18" spans="1:17" ht="28.5" customHeight="1">
      <c r="A18" s="19" t="s">
        <v>29</v>
      </c>
      <c r="B18" s="2" t="s">
        <v>39</v>
      </c>
      <c r="C18" s="13">
        <f>142498+209114+72652</f>
        <v>424264</v>
      </c>
      <c r="D18" s="40"/>
      <c r="E18" s="40"/>
      <c r="F18" s="5"/>
      <c r="G18" s="5">
        <f t="shared" si="0"/>
        <v>424264</v>
      </c>
      <c r="H18" s="24"/>
      <c r="I18" s="24"/>
      <c r="J18" s="24"/>
      <c r="K18" s="24"/>
      <c r="L18" s="24"/>
      <c r="M18" s="24"/>
      <c r="N18" s="24"/>
      <c r="O18" s="24"/>
      <c r="P18" s="24"/>
      <c r="Q18" s="24"/>
    </row>
    <row r="19" spans="1:17" ht="24" customHeight="1">
      <c r="A19" s="14" t="s">
        <v>3</v>
      </c>
      <c r="B19" s="15" t="s">
        <v>0</v>
      </c>
      <c r="C19" s="13">
        <f>450000+547250+396404.75+49402.55+1231500+7235.57+4244106.64+22773.33+8307114.84+19799694+226376+7822783.15</f>
        <v>43104640.83</v>
      </c>
      <c r="D19" s="40"/>
      <c r="E19" s="40"/>
      <c r="F19" s="5"/>
      <c r="G19" s="5">
        <f t="shared" si="0"/>
        <v>43104640.83</v>
      </c>
      <c r="H19" s="24"/>
      <c r="I19" s="24"/>
      <c r="J19" s="24"/>
      <c r="K19" s="24"/>
      <c r="L19" s="24"/>
      <c r="M19" s="24"/>
      <c r="N19" s="24"/>
      <c r="O19" s="24"/>
      <c r="P19" s="24"/>
      <c r="Q19" s="24"/>
    </row>
    <row r="20" spans="1:17" ht="39" customHeight="1">
      <c r="A20" s="14" t="s">
        <v>122</v>
      </c>
      <c r="B20" s="15" t="s">
        <v>123</v>
      </c>
      <c r="C20" s="13">
        <f>176142</f>
        <v>176142</v>
      </c>
      <c r="D20" s="40"/>
      <c r="E20" s="40"/>
      <c r="F20" s="5"/>
      <c r="G20" s="5">
        <f t="shared" si="0"/>
        <v>176142</v>
      </c>
      <c r="H20" s="24"/>
      <c r="I20" s="24"/>
      <c r="J20" s="24"/>
      <c r="K20" s="24"/>
      <c r="L20" s="24"/>
      <c r="M20" s="24"/>
      <c r="N20" s="24"/>
      <c r="O20" s="24"/>
      <c r="P20" s="24"/>
      <c r="Q20" s="24"/>
    </row>
    <row r="21" spans="1:17" ht="39" customHeight="1">
      <c r="A21" s="14" t="s">
        <v>130</v>
      </c>
      <c r="B21" s="15" t="s">
        <v>131</v>
      </c>
      <c r="C21" s="13">
        <f>29755.18</f>
        <v>29755.18</v>
      </c>
      <c r="D21" s="40"/>
      <c r="E21" s="40"/>
      <c r="F21" s="5"/>
      <c r="G21" s="5">
        <f t="shared" si="0"/>
        <v>29755.18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</row>
    <row r="22" spans="1:17" ht="36.75" customHeight="1">
      <c r="A22" s="14" t="s">
        <v>14</v>
      </c>
      <c r="B22" s="15" t="s">
        <v>81</v>
      </c>
      <c r="C22" s="13">
        <f>1160400+6016463.32+5558424.6+5623212.7+16307802.42+176000+439573+9727376.02+8735666.37+12031526.82+10189394.17</f>
        <v>75965839.42</v>
      </c>
      <c r="D22" s="40">
        <v>308600</v>
      </c>
      <c r="E22" s="40"/>
      <c r="F22" s="5"/>
      <c r="G22" s="5">
        <f>C22-D22-E22-F22</f>
        <v>75657239.42</v>
      </c>
      <c r="H22" s="24"/>
      <c r="I22" s="43"/>
      <c r="J22" s="24"/>
      <c r="K22" s="24"/>
      <c r="L22" s="24"/>
      <c r="M22" s="24"/>
      <c r="N22" s="24"/>
      <c r="O22" s="24"/>
      <c r="P22" s="24"/>
      <c r="Q22" s="24"/>
    </row>
    <row r="23" spans="1:17" ht="36.75" customHeight="1" hidden="1">
      <c r="A23" s="14" t="s">
        <v>14</v>
      </c>
      <c r="B23" s="15" t="s">
        <v>90</v>
      </c>
      <c r="C23" s="13"/>
      <c r="D23" s="40"/>
      <c r="E23" s="40"/>
      <c r="F23" s="5"/>
      <c r="G23" s="5">
        <f t="shared" si="0"/>
        <v>0</v>
      </c>
      <c r="H23" s="24"/>
      <c r="I23" s="24"/>
      <c r="J23" s="24"/>
      <c r="K23" s="24"/>
      <c r="L23" s="24"/>
      <c r="M23" s="24"/>
      <c r="N23" s="24"/>
      <c r="O23" s="24"/>
      <c r="P23" s="24"/>
      <c r="Q23" s="24"/>
    </row>
    <row r="24" spans="1:17" ht="36.75" customHeight="1" hidden="1">
      <c r="A24" s="14" t="s">
        <v>14</v>
      </c>
      <c r="B24" s="31" t="s">
        <v>108</v>
      </c>
      <c r="C24" s="32"/>
      <c r="D24" s="40"/>
      <c r="E24" s="40"/>
      <c r="F24" s="5"/>
      <c r="G24" s="5">
        <f t="shared" si="0"/>
        <v>0</v>
      </c>
      <c r="H24" s="24"/>
      <c r="I24" s="24"/>
      <c r="J24" s="24"/>
      <c r="K24" s="24"/>
      <c r="L24" s="24"/>
      <c r="M24" s="24"/>
      <c r="N24" s="24"/>
      <c r="O24" s="24"/>
      <c r="P24" s="24"/>
      <c r="Q24" s="24"/>
    </row>
    <row r="25" spans="1:17" ht="57.75" customHeight="1">
      <c r="A25" s="14" t="s">
        <v>30</v>
      </c>
      <c r="B25" s="15" t="s">
        <v>121</v>
      </c>
      <c r="C25" s="13">
        <f>19428.48+1453.89+1215.88</f>
        <v>22098.25</v>
      </c>
      <c r="D25" s="40"/>
      <c r="E25" s="40"/>
      <c r="F25" s="5"/>
      <c r="G25" s="5">
        <f t="shared" si="0"/>
        <v>22098.25</v>
      </c>
      <c r="H25" s="24"/>
      <c r="I25" s="24"/>
      <c r="J25" s="24"/>
      <c r="K25" s="24"/>
      <c r="L25" s="24"/>
      <c r="M25" s="24"/>
      <c r="N25" s="24"/>
      <c r="O25" s="24"/>
      <c r="P25" s="24"/>
      <c r="Q25" s="24"/>
    </row>
    <row r="26" spans="1:17" ht="57.75" customHeight="1" hidden="1">
      <c r="A26" s="14" t="s">
        <v>30</v>
      </c>
      <c r="B26" s="15" t="s">
        <v>90</v>
      </c>
      <c r="C26" s="13"/>
      <c r="D26" s="40"/>
      <c r="E26" s="40"/>
      <c r="F26" s="5"/>
      <c r="G26" s="5">
        <f t="shared" si="0"/>
        <v>0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</row>
    <row r="27" spans="1:17" ht="57.75" customHeight="1" hidden="1">
      <c r="A27" s="14" t="s">
        <v>30</v>
      </c>
      <c r="B27" s="31" t="s">
        <v>108</v>
      </c>
      <c r="C27" s="32"/>
      <c r="D27" s="40"/>
      <c r="E27" s="40"/>
      <c r="F27" s="5"/>
      <c r="G27" s="5">
        <f t="shared" si="0"/>
        <v>0</v>
      </c>
      <c r="H27" s="24"/>
      <c r="I27" s="24"/>
      <c r="J27" s="24"/>
      <c r="K27" s="24"/>
      <c r="L27" s="24"/>
      <c r="M27" s="24"/>
      <c r="N27" s="24"/>
      <c r="O27" s="24"/>
      <c r="P27" s="24"/>
      <c r="Q27" s="24"/>
    </row>
    <row r="28" spans="1:17" ht="93.75" customHeight="1">
      <c r="A28" s="14" t="s">
        <v>4</v>
      </c>
      <c r="B28" s="15" t="s">
        <v>79</v>
      </c>
      <c r="C28" s="13">
        <f>16400+5585897+469500+45857.04+1438660+27000+5197028+31537.5+2839746</f>
        <v>15651625.54</v>
      </c>
      <c r="D28" s="40">
        <f>24677.48</f>
        <v>24677.48</v>
      </c>
      <c r="E28" s="40"/>
      <c r="F28" s="37"/>
      <c r="G28" s="5">
        <f t="shared" si="0"/>
        <v>15626948.059999999</v>
      </c>
      <c r="H28" s="25"/>
      <c r="I28" s="25"/>
      <c r="J28" s="25"/>
      <c r="K28" s="26"/>
      <c r="L28" s="26"/>
      <c r="M28" s="26"/>
      <c r="N28" s="26"/>
      <c r="O28" s="26"/>
      <c r="P28" s="24"/>
      <c r="Q28" s="24"/>
    </row>
    <row r="29" spans="1:17" ht="67.5" customHeight="1" hidden="1">
      <c r="A29" s="14" t="s">
        <v>4</v>
      </c>
      <c r="B29" s="15" t="s">
        <v>90</v>
      </c>
      <c r="C29" s="13"/>
      <c r="D29" s="40"/>
      <c r="E29" s="40"/>
      <c r="F29" s="37"/>
      <c r="G29" s="5">
        <f t="shared" si="0"/>
        <v>0</v>
      </c>
      <c r="H29" s="25"/>
      <c r="I29" s="25"/>
      <c r="J29" s="25"/>
      <c r="K29" s="26"/>
      <c r="L29" s="26"/>
      <c r="M29" s="26"/>
      <c r="N29" s="26"/>
      <c r="O29" s="26"/>
      <c r="P29" s="24"/>
      <c r="Q29" s="24"/>
    </row>
    <row r="30" spans="1:17" ht="67.5" customHeight="1" hidden="1">
      <c r="A30" s="14" t="s">
        <v>4</v>
      </c>
      <c r="B30" s="31" t="s">
        <v>108</v>
      </c>
      <c r="C30" s="32"/>
      <c r="D30" s="40"/>
      <c r="E30" s="40"/>
      <c r="F30" s="37"/>
      <c r="G30" s="5">
        <f t="shared" si="0"/>
        <v>0</v>
      </c>
      <c r="H30" s="25"/>
      <c r="I30" s="25"/>
      <c r="J30" s="25"/>
      <c r="K30" s="26"/>
      <c r="L30" s="26"/>
      <c r="M30" s="26"/>
      <c r="N30" s="26"/>
      <c r="O30" s="26"/>
      <c r="P30" s="24"/>
      <c r="Q30" s="24"/>
    </row>
    <row r="31" spans="1:17" ht="129.75" customHeight="1">
      <c r="A31" s="8" t="s">
        <v>8</v>
      </c>
      <c r="B31" s="15" t="s">
        <v>113</v>
      </c>
      <c r="C31" s="13">
        <f>10339038+2342705+1761650+16990680+4108174+1757934+879392+5233980+1019438+180134</f>
        <v>44613125</v>
      </c>
      <c r="D31" s="40"/>
      <c r="E31" s="40"/>
      <c r="F31" s="5"/>
      <c r="G31" s="5">
        <f t="shared" si="0"/>
        <v>44613125</v>
      </c>
      <c r="H31" s="24"/>
      <c r="I31" s="24"/>
      <c r="J31" s="24"/>
      <c r="K31" s="24"/>
      <c r="L31" s="24"/>
      <c r="M31" s="24"/>
      <c r="N31" s="24"/>
      <c r="O31" s="24"/>
      <c r="P31" s="24"/>
      <c r="Q31" s="24"/>
    </row>
    <row r="32" spans="1:7" ht="46.5" customHeight="1" hidden="1">
      <c r="A32" s="8" t="s">
        <v>8</v>
      </c>
      <c r="B32" s="15" t="s">
        <v>90</v>
      </c>
      <c r="C32" s="13"/>
      <c r="D32" s="40"/>
      <c r="E32" s="40"/>
      <c r="F32" s="5"/>
      <c r="G32" s="5">
        <f t="shared" si="0"/>
        <v>0</v>
      </c>
    </row>
    <row r="33" spans="1:7" ht="46.5" customHeight="1" hidden="1">
      <c r="A33" s="8" t="s">
        <v>8</v>
      </c>
      <c r="B33" s="31" t="s">
        <v>108</v>
      </c>
      <c r="C33" s="32"/>
      <c r="D33" s="40"/>
      <c r="E33" s="40"/>
      <c r="F33" s="5"/>
      <c r="G33" s="5">
        <f t="shared" si="0"/>
        <v>0</v>
      </c>
    </row>
    <row r="34" spans="1:7" ht="62.25" customHeight="1">
      <c r="A34" s="8" t="s">
        <v>5</v>
      </c>
      <c r="B34" s="15" t="s">
        <v>127</v>
      </c>
      <c r="C34" s="13">
        <f>7203455+2728338+1537111</f>
        <v>11468904</v>
      </c>
      <c r="D34" s="40"/>
      <c r="E34" s="40"/>
      <c r="F34" s="5"/>
      <c r="G34" s="5">
        <f t="shared" si="0"/>
        <v>11468904</v>
      </c>
    </row>
    <row r="35" spans="1:7" ht="62.25" customHeight="1" hidden="1">
      <c r="A35" s="8" t="s">
        <v>5</v>
      </c>
      <c r="B35" s="15" t="s">
        <v>90</v>
      </c>
      <c r="C35" s="13"/>
      <c r="D35" s="40"/>
      <c r="E35" s="40"/>
      <c r="F35" s="5"/>
      <c r="G35" s="5">
        <f t="shared" si="0"/>
        <v>0</v>
      </c>
    </row>
    <row r="36" spans="1:7" ht="62.25" customHeight="1" hidden="1">
      <c r="A36" s="8" t="s">
        <v>5</v>
      </c>
      <c r="B36" s="31" t="s">
        <v>108</v>
      </c>
      <c r="C36" s="32"/>
      <c r="D36" s="40"/>
      <c r="E36" s="40"/>
      <c r="F36" s="5"/>
      <c r="G36" s="5">
        <f t="shared" si="0"/>
        <v>0</v>
      </c>
    </row>
    <row r="37" spans="1:7" ht="39.75" customHeight="1">
      <c r="A37" s="8" t="s">
        <v>18</v>
      </c>
      <c r="B37" s="15" t="s">
        <v>70</v>
      </c>
      <c r="C37" s="13">
        <f>723916+238892+33560</f>
        <v>996368</v>
      </c>
      <c r="D37" s="40"/>
      <c r="E37" s="40"/>
      <c r="F37" s="5"/>
      <c r="G37" s="5">
        <f t="shared" si="0"/>
        <v>996368</v>
      </c>
    </row>
    <row r="38" spans="1:7" ht="39.75" customHeight="1" hidden="1">
      <c r="A38" s="8" t="s">
        <v>18</v>
      </c>
      <c r="B38" s="15" t="s">
        <v>90</v>
      </c>
      <c r="C38" s="13"/>
      <c r="D38" s="40"/>
      <c r="E38" s="40"/>
      <c r="F38" s="5"/>
      <c r="G38" s="5">
        <f t="shared" si="0"/>
        <v>0</v>
      </c>
    </row>
    <row r="39" spans="1:7" ht="39.75" customHeight="1" hidden="1">
      <c r="A39" s="8" t="s">
        <v>18</v>
      </c>
      <c r="B39" s="31" t="s">
        <v>108</v>
      </c>
      <c r="C39" s="32"/>
      <c r="D39" s="40"/>
      <c r="E39" s="40"/>
      <c r="F39" s="5"/>
      <c r="G39" s="5">
        <f t="shared" si="0"/>
        <v>0</v>
      </c>
    </row>
    <row r="40" spans="1:7" ht="65.25" customHeight="1" hidden="1">
      <c r="A40" s="8" t="s">
        <v>9</v>
      </c>
      <c r="B40" s="15" t="s">
        <v>71</v>
      </c>
      <c r="C40" s="13"/>
      <c r="D40" s="40"/>
      <c r="E40" s="40"/>
      <c r="F40" s="5"/>
      <c r="G40" s="5">
        <f aca="true" t="shared" si="1" ref="G40:G71">C40-D40-E40-F40</f>
        <v>0</v>
      </c>
    </row>
    <row r="41" spans="1:7" ht="54.75" customHeight="1" hidden="1">
      <c r="A41" s="8" t="s">
        <v>28</v>
      </c>
      <c r="B41" s="15" t="s">
        <v>72</v>
      </c>
      <c r="C41" s="13"/>
      <c r="D41" s="40"/>
      <c r="E41" s="40"/>
      <c r="F41" s="5"/>
      <c r="G41" s="5">
        <f t="shared" si="1"/>
        <v>0</v>
      </c>
    </row>
    <row r="42" spans="1:7" ht="133.5" customHeight="1">
      <c r="A42" s="8" t="s">
        <v>15</v>
      </c>
      <c r="B42" s="15" t="s">
        <v>66</v>
      </c>
      <c r="C42" s="13">
        <f>785416</f>
        <v>785416</v>
      </c>
      <c r="D42" s="40"/>
      <c r="E42" s="40"/>
      <c r="F42" s="5"/>
      <c r="G42" s="5">
        <f t="shared" si="1"/>
        <v>785416</v>
      </c>
    </row>
    <row r="43" spans="1:9" ht="89.25" customHeight="1">
      <c r="A43" s="27" t="s">
        <v>51</v>
      </c>
      <c r="B43" s="15" t="s">
        <v>97</v>
      </c>
      <c r="C43" s="13">
        <f>320000+200000+2868190+30264</f>
        <v>3418454</v>
      </c>
      <c r="D43" s="40">
        <f>80000</f>
        <v>80000</v>
      </c>
      <c r="E43" s="40"/>
      <c r="F43" s="5"/>
      <c r="G43" s="5">
        <f t="shared" si="1"/>
        <v>3338454</v>
      </c>
      <c r="I43" s="7"/>
    </row>
    <row r="44" spans="1:7" ht="55.5" customHeight="1" hidden="1">
      <c r="A44" s="27" t="s">
        <v>51</v>
      </c>
      <c r="B44" s="15" t="s">
        <v>90</v>
      </c>
      <c r="C44" s="13"/>
      <c r="D44" s="40"/>
      <c r="E44" s="40"/>
      <c r="F44" s="5"/>
      <c r="G44" s="5">
        <f t="shared" si="1"/>
        <v>0</v>
      </c>
    </row>
    <row r="45" spans="1:9" ht="184.5" customHeight="1">
      <c r="A45" s="21" t="s">
        <v>26</v>
      </c>
      <c r="B45" s="15" t="s">
        <v>119</v>
      </c>
      <c r="C45" s="13">
        <f>1793.29+1538059+763523+128372.43+14196827.53+2761600.29</f>
        <v>19390175.54</v>
      </c>
      <c r="D45" s="40">
        <v>46659.05</v>
      </c>
      <c r="E45" s="40"/>
      <c r="F45" s="5"/>
      <c r="G45" s="5">
        <f t="shared" si="1"/>
        <v>19343516.49</v>
      </c>
      <c r="I45" s="7"/>
    </row>
    <row r="46" spans="1:7" ht="45" customHeight="1" hidden="1">
      <c r="A46" s="21" t="s">
        <v>26</v>
      </c>
      <c r="B46" s="15" t="s">
        <v>90</v>
      </c>
      <c r="C46" s="13"/>
      <c r="D46" s="40"/>
      <c r="E46" s="40"/>
      <c r="F46" s="5"/>
      <c r="G46" s="5">
        <f t="shared" si="1"/>
        <v>0</v>
      </c>
    </row>
    <row r="47" spans="1:7" ht="45" customHeight="1" hidden="1">
      <c r="A47" s="21" t="s">
        <v>26</v>
      </c>
      <c r="B47" s="31" t="s">
        <v>108</v>
      </c>
      <c r="C47" s="32"/>
      <c r="D47" s="40"/>
      <c r="E47" s="40"/>
      <c r="F47" s="5"/>
      <c r="G47" s="5">
        <f t="shared" si="1"/>
        <v>0</v>
      </c>
    </row>
    <row r="48" spans="1:7" ht="100.5" customHeight="1">
      <c r="A48" s="21" t="s">
        <v>46</v>
      </c>
      <c r="B48" s="15" t="s">
        <v>114</v>
      </c>
      <c r="C48" s="13">
        <f>1858612.43+1916320.58+70574378</f>
        <v>74349311.01</v>
      </c>
      <c r="D48" s="40"/>
      <c r="E48" s="40"/>
      <c r="F48" s="5"/>
      <c r="G48" s="5">
        <f t="shared" si="1"/>
        <v>74349311.01</v>
      </c>
    </row>
    <row r="49" spans="1:7" ht="51.75" customHeight="1" hidden="1">
      <c r="A49" s="21" t="s">
        <v>46</v>
      </c>
      <c r="B49" s="15" t="s">
        <v>90</v>
      </c>
      <c r="C49" s="13"/>
      <c r="D49" s="40"/>
      <c r="E49" s="40"/>
      <c r="F49" s="5"/>
      <c r="G49" s="5">
        <f t="shared" si="1"/>
        <v>0</v>
      </c>
    </row>
    <row r="50" spans="1:7" ht="51.75" customHeight="1" hidden="1">
      <c r="A50" s="21" t="s">
        <v>46</v>
      </c>
      <c r="B50" s="31" t="s">
        <v>108</v>
      </c>
      <c r="C50" s="32"/>
      <c r="D50" s="40"/>
      <c r="E50" s="40"/>
      <c r="F50" s="5"/>
      <c r="G50" s="5">
        <f t="shared" si="1"/>
        <v>0</v>
      </c>
    </row>
    <row r="51" spans="1:7" ht="72.75" customHeight="1" hidden="1">
      <c r="A51" s="8" t="s">
        <v>17</v>
      </c>
      <c r="B51" s="15" t="s">
        <v>86</v>
      </c>
      <c r="C51" s="13"/>
      <c r="D51" s="40"/>
      <c r="E51" s="40"/>
      <c r="F51" s="5"/>
      <c r="G51" s="5">
        <f t="shared" si="1"/>
        <v>0</v>
      </c>
    </row>
    <row r="52" spans="1:7" ht="72.75" customHeight="1" hidden="1">
      <c r="A52" s="8" t="s">
        <v>17</v>
      </c>
      <c r="B52" s="15" t="s">
        <v>88</v>
      </c>
      <c r="C52" s="13"/>
      <c r="D52" s="40"/>
      <c r="E52" s="40"/>
      <c r="F52" s="5"/>
      <c r="G52" s="5">
        <f t="shared" si="1"/>
        <v>0</v>
      </c>
    </row>
    <row r="53" spans="1:7" ht="52.5" customHeight="1" hidden="1">
      <c r="A53" s="8" t="s">
        <v>17</v>
      </c>
      <c r="B53" s="15" t="s">
        <v>90</v>
      </c>
      <c r="C53" s="13"/>
      <c r="D53" s="40"/>
      <c r="E53" s="40"/>
      <c r="F53" s="5"/>
      <c r="G53" s="5">
        <f t="shared" si="1"/>
        <v>0</v>
      </c>
    </row>
    <row r="54" spans="1:7" ht="69" customHeight="1">
      <c r="A54" s="8" t="s">
        <v>41</v>
      </c>
      <c r="B54" s="15" t="s">
        <v>128</v>
      </c>
      <c r="C54" s="13">
        <f>1100000</f>
        <v>1100000</v>
      </c>
      <c r="D54" s="40"/>
      <c r="E54" s="40"/>
      <c r="F54" s="5"/>
      <c r="G54" s="5">
        <f t="shared" si="1"/>
        <v>1100000</v>
      </c>
    </row>
    <row r="55" spans="1:7" ht="65.25" customHeight="1">
      <c r="A55" s="8" t="s">
        <v>27</v>
      </c>
      <c r="B55" s="15" t="s">
        <v>48</v>
      </c>
      <c r="C55" s="13">
        <f>570000</f>
        <v>570000</v>
      </c>
      <c r="D55" s="40"/>
      <c r="E55" s="40"/>
      <c r="F55" s="5"/>
      <c r="G55" s="5">
        <f t="shared" si="1"/>
        <v>570000</v>
      </c>
    </row>
    <row r="56" spans="1:7" ht="81.75" customHeight="1" hidden="1">
      <c r="A56" s="8" t="s">
        <v>16</v>
      </c>
      <c r="B56" s="15" t="s">
        <v>84</v>
      </c>
      <c r="C56" s="13"/>
      <c r="D56" s="40"/>
      <c r="E56" s="40"/>
      <c r="F56" s="5"/>
      <c r="G56" s="5">
        <f t="shared" si="1"/>
        <v>0</v>
      </c>
    </row>
    <row r="57" spans="1:7" ht="51" customHeight="1" hidden="1">
      <c r="A57" s="8" t="s">
        <v>35</v>
      </c>
      <c r="B57" s="15" t="s">
        <v>76</v>
      </c>
      <c r="C57" s="13"/>
      <c r="D57" s="40"/>
      <c r="E57" s="40"/>
      <c r="F57" s="5"/>
      <c r="G57" s="5">
        <f t="shared" si="1"/>
        <v>0</v>
      </c>
    </row>
    <row r="58" spans="1:7" ht="28.5" customHeight="1">
      <c r="A58" s="8" t="s">
        <v>24</v>
      </c>
      <c r="B58" s="15" t="s">
        <v>43</v>
      </c>
      <c r="C58" s="13">
        <f>1976537+210418.56+1382052</f>
        <v>3569007.56</v>
      </c>
      <c r="D58" s="40"/>
      <c r="E58" s="40"/>
      <c r="F58" s="5"/>
      <c r="G58" s="5">
        <f t="shared" si="1"/>
        <v>3569007.56</v>
      </c>
    </row>
    <row r="59" spans="1:7" ht="34.5" customHeight="1" hidden="1">
      <c r="A59" s="8" t="s">
        <v>24</v>
      </c>
      <c r="B59" s="15" t="s">
        <v>90</v>
      </c>
      <c r="C59" s="13"/>
      <c r="D59" s="40"/>
      <c r="E59" s="40"/>
      <c r="F59" s="5"/>
      <c r="G59" s="5">
        <f t="shared" si="1"/>
        <v>0</v>
      </c>
    </row>
    <row r="60" spans="1:7" ht="34.5" customHeight="1" hidden="1">
      <c r="A60" s="8" t="s">
        <v>24</v>
      </c>
      <c r="B60" s="31" t="s">
        <v>108</v>
      </c>
      <c r="C60" s="32"/>
      <c r="D60" s="40"/>
      <c r="E60" s="40"/>
      <c r="F60" s="5"/>
      <c r="G60" s="5">
        <f t="shared" si="1"/>
        <v>0</v>
      </c>
    </row>
    <row r="61" spans="1:7" ht="42.75" customHeight="1">
      <c r="A61" s="21" t="s">
        <v>11</v>
      </c>
      <c r="B61" s="2" t="s">
        <v>109</v>
      </c>
      <c r="C61" s="13">
        <f>122777.77+723606+2611135+1617289+1623679+9959000+859000+2500000+2175000</f>
        <v>22191486.77</v>
      </c>
      <c r="D61" s="40"/>
      <c r="E61" s="40"/>
      <c r="F61" s="5"/>
      <c r="G61" s="5">
        <f t="shared" si="1"/>
        <v>22191486.77</v>
      </c>
    </row>
    <row r="62" spans="1:7" ht="51.75" customHeight="1" hidden="1">
      <c r="A62" s="21" t="s">
        <v>11</v>
      </c>
      <c r="B62" s="15" t="s">
        <v>90</v>
      </c>
      <c r="C62" s="13"/>
      <c r="D62" s="40"/>
      <c r="E62" s="40"/>
      <c r="F62" s="5"/>
      <c r="G62" s="5">
        <f t="shared" si="1"/>
        <v>0</v>
      </c>
    </row>
    <row r="63" spans="1:7" ht="51" customHeight="1">
      <c r="A63" s="8" t="s">
        <v>23</v>
      </c>
      <c r="B63" s="15" t="s">
        <v>91</v>
      </c>
      <c r="C63" s="13">
        <f>132560+3200000+1062298.98+687040+1175734+891407.69+35250+2276446+886640.78+1100000+1578171+221000+294281.8+1200000+2296026.66+1454587+10000000+2000000+1184480+1458882.76+386544+344000+347139.84+1757861+1708930</f>
        <v>37679281.510000005</v>
      </c>
      <c r="D63" s="40">
        <f>975023.45</f>
        <v>975023.45</v>
      </c>
      <c r="E63" s="40"/>
      <c r="F63" s="5"/>
      <c r="G63" s="5">
        <f t="shared" si="1"/>
        <v>36704258.06</v>
      </c>
    </row>
    <row r="64" spans="1:7" ht="43.5" customHeight="1" hidden="1">
      <c r="A64" s="8" t="s">
        <v>23</v>
      </c>
      <c r="B64" s="15" t="s">
        <v>90</v>
      </c>
      <c r="C64" s="13"/>
      <c r="D64" s="40"/>
      <c r="E64" s="40"/>
      <c r="F64" s="5"/>
      <c r="G64" s="5">
        <f t="shared" si="1"/>
        <v>0</v>
      </c>
    </row>
    <row r="65" spans="1:7" ht="43.5" customHeight="1" hidden="1">
      <c r="A65" s="8" t="s">
        <v>23</v>
      </c>
      <c r="B65" s="31" t="s">
        <v>108</v>
      </c>
      <c r="C65" s="32"/>
      <c r="D65" s="40"/>
      <c r="E65" s="40"/>
      <c r="F65" s="5"/>
      <c r="G65" s="5">
        <f t="shared" si="1"/>
        <v>0</v>
      </c>
    </row>
    <row r="66" spans="1:7" ht="113.25" customHeight="1">
      <c r="A66" s="8" t="s">
        <v>38</v>
      </c>
      <c r="B66" s="15" t="s">
        <v>106</v>
      </c>
      <c r="C66" s="13">
        <f>451277+2593292+4950115</f>
        <v>7994684</v>
      </c>
      <c r="D66" s="40"/>
      <c r="E66" s="40"/>
      <c r="F66" s="5"/>
      <c r="G66" s="5">
        <f t="shared" si="1"/>
        <v>7994684</v>
      </c>
    </row>
    <row r="67" spans="1:7" ht="49.5" customHeight="1" hidden="1">
      <c r="A67" s="8" t="s">
        <v>38</v>
      </c>
      <c r="B67" s="15" t="s">
        <v>90</v>
      </c>
      <c r="C67" s="13"/>
      <c r="D67" s="40"/>
      <c r="E67" s="40"/>
      <c r="F67" s="5"/>
      <c r="G67" s="5">
        <f t="shared" si="1"/>
        <v>0</v>
      </c>
    </row>
    <row r="68" spans="1:7" ht="49.5" customHeight="1" hidden="1">
      <c r="A68" s="8" t="s">
        <v>38</v>
      </c>
      <c r="B68" s="31" t="s">
        <v>108</v>
      </c>
      <c r="C68" s="32"/>
      <c r="D68" s="40"/>
      <c r="E68" s="40"/>
      <c r="F68" s="5"/>
      <c r="G68" s="5">
        <f t="shared" si="1"/>
        <v>0</v>
      </c>
    </row>
    <row r="69" spans="1:7" ht="65.25" customHeight="1">
      <c r="A69" s="8" t="s">
        <v>60</v>
      </c>
      <c r="B69" s="15" t="s">
        <v>67</v>
      </c>
      <c r="C69" s="13">
        <f>1490000+1800000+17068131</f>
        <v>20358131</v>
      </c>
      <c r="D69" s="40">
        <v>55787.34</v>
      </c>
      <c r="E69" s="40"/>
      <c r="F69" s="5"/>
      <c r="G69" s="5">
        <f t="shared" si="1"/>
        <v>20302343.66</v>
      </c>
    </row>
    <row r="70" spans="1:7" ht="65.25" customHeight="1" hidden="1">
      <c r="A70" s="8" t="s">
        <v>60</v>
      </c>
      <c r="B70" s="15" t="s">
        <v>87</v>
      </c>
      <c r="C70" s="13"/>
      <c r="D70" s="40"/>
      <c r="E70" s="40"/>
      <c r="F70" s="5"/>
      <c r="G70" s="5">
        <f t="shared" si="1"/>
        <v>0</v>
      </c>
    </row>
    <row r="71" spans="1:7" ht="53.25" customHeight="1">
      <c r="A71" s="8" t="s">
        <v>22</v>
      </c>
      <c r="B71" s="15" t="s">
        <v>100</v>
      </c>
      <c r="C71" s="13">
        <f>2073000</f>
        <v>2073000</v>
      </c>
      <c r="D71" s="40"/>
      <c r="E71" s="40"/>
      <c r="F71" s="5"/>
      <c r="G71" s="5">
        <f t="shared" si="1"/>
        <v>2073000</v>
      </c>
    </row>
    <row r="72" spans="1:7" ht="32.25" customHeight="1">
      <c r="A72" s="8" t="s">
        <v>25</v>
      </c>
      <c r="B72" s="15" t="s">
        <v>133</v>
      </c>
      <c r="C72" s="13">
        <f>10160089.59</f>
        <v>10160089.59</v>
      </c>
      <c r="D72" s="40"/>
      <c r="E72" s="40"/>
      <c r="F72" s="5"/>
      <c r="G72" s="5">
        <f aca="true" t="shared" si="2" ref="G72:G103">C72-D72-E72-F72</f>
        <v>10160089.59</v>
      </c>
    </row>
    <row r="73" spans="1:7" ht="28.5" customHeight="1">
      <c r="A73" s="21" t="s">
        <v>31</v>
      </c>
      <c r="B73" s="15" t="s">
        <v>42</v>
      </c>
      <c r="C73" s="13">
        <v>97509895</v>
      </c>
      <c r="D73" s="40"/>
      <c r="E73" s="40"/>
      <c r="F73" s="5"/>
      <c r="G73" s="5">
        <f t="shared" si="2"/>
        <v>97509895</v>
      </c>
    </row>
    <row r="74" spans="1:7" ht="120.75" customHeight="1" hidden="1">
      <c r="A74" s="21" t="s">
        <v>31</v>
      </c>
      <c r="B74" s="15" t="s">
        <v>47</v>
      </c>
      <c r="C74" s="13"/>
      <c r="D74" s="40"/>
      <c r="E74" s="40"/>
      <c r="F74" s="5"/>
      <c r="G74" s="5">
        <f t="shared" si="2"/>
        <v>0</v>
      </c>
    </row>
    <row r="75" spans="1:7" ht="74.25" customHeight="1">
      <c r="A75" s="8" t="s">
        <v>21</v>
      </c>
      <c r="B75" s="15" t="s">
        <v>125</v>
      </c>
      <c r="C75" s="13">
        <f>5114395</f>
        <v>5114395</v>
      </c>
      <c r="D75" s="40"/>
      <c r="E75" s="40"/>
      <c r="F75" s="5"/>
      <c r="G75" s="5">
        <f t="shared" si="2"/>
        <v>5114395</v>
      </c>
    </row>
    <row r="76" spans="1:7" ht="46.5" customHeight="1" hidden="1">
      <c r="A76" s="8" t="s">
        <v>21</v>
      </c>
      <c r="B76" s="15"/>
      <c r="C76" s="13"/>
      <c r="D76" s="40"/>
      <c r="E76" s="40"/>
      <c r="F76" s="5"/>
      <c r="G76" s="5">
        <f t="shared" si="2"/>
        <v>0</v>
      </c>
    </row>
    <row r="77" spans="1:7" ht="77.25" customHeight="1" hidden="1">
      <c r="A77" s="8" t="s">
        <v>32</v>
      </c>
      <c r="B77" s="15" t="s">
        <v>73</v>
      </c>
      <c r="C77" s="13"/>
      <c r="D77" s="40"/>
      <c r="E77" s="40"/>
      <c r="F77" s="5"/>
      <c r="G77" s="5">
        <f t="shared" si="2"/>
        <v>0</v>
      </c>
    </row>
    <row r="78" spans="1:7" ht="39.75" customHeight="1" hidden="1">
      <c r="A78" s="21" t="s">
        <v>36</v>
      </c>
      <c r="B78" s="15" t="s">
        <v>52</v>
      </c>
      <c r="C78" s="13"/>
      <c r="D78" s="40"/>
      <c r="E78" s="40"/>
      <c r="F78" s="5"/>
      <c r="G78" s="5">
        <f t="shared" si="2"/>
        <v>0</v>
      </c>
    </row>
    <row r="79" spans="1:7" ht="48.75" customHeight="1">
      <c r="A79" s="21" t="s">
        <v>77</v>
      </c>
      <c r="B79" s="15" t="s">
        <v>78</v>
      </c>
      <c r="C79" s="13">
        <f>351055.29+100000+1181462+2994807.31+879000+823201</f>
        <v>6329525.6</v>
      </c>
      <c r="D79" s="40">
        <f>11383.2</f>
        <v>11383.2</v>
      </c>
      <c r="E79" s="40"/>
      <c r="F79" s="5"/>
      <c r="G79" s="5">
        <f t="shared" si="2"/>
        <v>6318142.399999999</v>
      </c>
    </row>
    <row r="80" spans="1:7" ht="48.75" customHeight="1" hidden="1">
      <c r="A80" s="21" t="s">
        <v>77</v>
      </c>
      <c r="B80" s="15" t="s">
        <v>90</v>
      </c>
      <c r="C80" s="13"/>
      <c r="D80" s="40"/>
      <c r="E80" s="40"/>
      <c r="F80" s="5"/>
      <c r="G80" s="5">
        <f t="shared" si="2"/>
        <v>0</v>
      </c>
    </row>
    <row r="81" spans="1:7" ht="81" customHeight="1" hidden="1">
      <c r="A81" s="8" t="s">
        <v>44</v>
      </c>
      <c r="B81" s="15" t="s">
        <v>45</v>
      </c>
      <c r="C81" s="13"/>
      <c r="D81" s="40"/>
      <c r="E81" s="40"/>
      <c r="F81" s="5"/>
      <c r="G81" s="5">
        <f t="shared" si="2"/>
        <v>0</v>
      </c>
    </row>
    <row r="82" spans="1:7" ht="114" customHeight="1">
      <c r="A82" s="3" t="s">
        <v>19</v>
      </c>
      <c r="B82" s="15" t="s">
        <v>141</v>
      </c>
      <c r="C82" s="13">
        <f>815000+500000</f>
        <v>1315000</v>
      </c>
      <c r="D82" s="40"/>
      <c r="E82" s="40"/>
      <c r="F82" s="5"/>
      <c r="G82" s="5">
        <f t="shared" si="2"/>
        <v>1315000</v>
      </c>
    </row>
    <row r="83" spans="1:7" ht="36.75" customHeight="1" hidden="1">
      <c r="A83" s="3" t="s">
        <v>19</v>
      </c>
      <c r="B83" s="15" t="s">
        <v>90</v>
      </c>
      <c r="C83" s="13"/>
      <c r="D83" s="40"/>
      <c r="E83" s="40"/>
      <c r="F83" s="5"/>
      <c r="G83" s="5">
        <f t="shared" si="2"/>
        <v>0</v>
      </c>
    </row>
    <row r="84" spans="1:7" ht="43.5" customHeight="1">
      <c r="A84" s="3" t="s">
        <v>20</v>
      </c>
      <c r="B84" s="15" t="s">
        <v>40</v>
      </c>
      <c r="C84" s="13">
        <f>300000+10000+3900000</f>
        <v>4210000</v>
      </c>
      <c r="D84" s="40"/>
      <c r="E84" s="40"/>
      <c r="F84" s="5"/>
      <c r="G84" s="5">
        <f t="shared" si="2"/>
        <v>4210000</v>
      </c>
    </row>
    <row r="85" spans="1:7" ht="43.5" customHeight="1" hidden="1">
      <c r="A85" s="3" t="s">
        <v>20</v>
      </c>
      <c r="B85" s="15" t="s">
        <v>90</v>
      </c>
      <c r="C85" s="13"/>
      <c r="D85" s="40"/>
      <c r="E85" s="40"/>
      <c r="F85" s="5"/>
      <c r="G85" s="5">
        <f t="shared" si="2"/>
        <v>0</v>
      </c>
    </row>
    <row r="86" spans="1:7" ht="43.5" customHeight="1" hidden="1">
      <c r="A86" s="3" t="s">
        <v>20</v>
      </c>
      <c r="B86" s="31" t="s">
        <v>108</v>
      </c>
      <c r="C86" s="32"/>
      <c r="D86" s="40"/>
      <c r="E86" s="40"/>
      <c r="F86" s="5"/>
      <c r="G86" s="5">
        <f t="shared" si="2"/>
        <v>0</v>
      </c>
    </row>
    <row r="87" spans="1:7" ht="42.75" customHeight="1">
      <c r="A87" s="3" t="s">
        <v>33</v>
      </c>
      <c r="B87" s="15" t="s">
        <v>105</v>
      </c>
      <c r="C87" s="13">
        <f>294000+179000</f>
        <v>473000</v>
      </c>
      <c r="D87" s="40"/>
      <c r="E87" s="40"/>
      <c r="F87" s="5"/>
      <c r="G87" s="5">
        <f t="shared" si="2"/>
        <v>473000</v>
      </c>
    </row>
    <row r="88" spans="1:7" ht="89.25" customHeight="1">
      <c r="A88" s="3" t="s">
        <v>37</v>
      </c>
      <c r="B88" s="15" t="s">
        <v>147</v>
      </c>
      <c r="C88" s="13">
        <f>129000</f>
        <v>129000</v>
      </c>
      <c r="D88" s="40"/>
      <c r="E88" s="40"/>
      <c r="F88" s="5"/>
      <c r="G88" s="5">
        <f t="shared" si="2"/>
        <v>129000</v>
      </c>
    </row>
    <row r="89" spans="1:7" ht="45" customHeight="1" hidden="1">
      <c r="A89" s="3" t="s">
        <v>69</v>
      </c>
      <c r="B89" s="15" t="s">
        <v>75</v>
      </c>
      <c r="C89" s="13"/>
      <c r="D89" s="40"/>
      <c r="E89" s="40"/>
      <c r="F89" s="5"/>
      <c r="G89" s="5">
        <f t="shared" si="2"/>
        <v>0</v>
      </c>
    </row>
    <row r="90" spans="1:7" ht="55.5" customHeight="1" hidden="1">
      <c r="A90" s="3" t="s">
        <v>69</v>
      </c>
      <c r="B90" s="15" t="s">
        <v>90</v>
      </c>
      <c r="C90" s="13"/>
      <c r="D90" s="40"/>
      <c r="E90" s="40"/>
      <c r="F90" s="5"/>
      <c r="G90" s="5">
        <f t="shared" si="2"/>
        <v>0</v>
      </c>
    </row>
    <row r="91" spans="1:7" ht="55.5" customHeight="1" hidden="1">
      <c r="A91" s="3" t="s">
        <v>98</v>
      </c>
      <c r="B91" s="15" t="s">
        <v>52</v>
      </c>
      <c r="C91" s="13"/>
      <c r="D91" s="40"/>
      <c r="E91" s="40"/>
      <c r="F91" s="5"/>
      <c r="G91" s="5">
        <f t="shared" si="2"/>
        <v>0</v>
      </c>
    </row>
    <row r="92" spans="1:7" ht="55.5" customHeight="1" hidden="1">
      <c r="A92" s="3" t="s">
        <v>98</v>
      </c>
      <c r="B92" s="15" t="s">
        <v>90</v>
      </c>
      <c r="C92" s="13"/>
      <c r="D92" s="40"/>
      <c r="E92" s="40"/>
      <c r="F92" s="5"/>
      <c r="G92" s="5">
        <f t="shared" si="2"/>
        <v>0</v>
      </c>
    </row>
    <row r="93" spans="1:7" ht="24" customHeight="1" hidden="1">
      <c r="A93" s="3" t="s">
        <v>98</v>
      </c>
      <c r="B93" s="31" t="s">
        <v>108</v>
      </c>
      <c r="C93" s="32"/>
      <c r="D93" s="40"/>
      <c r="E93" s="40"/>
      <c r="F93" s="5"/>
      <c r="G93" s="5">
        <f t="shared" si="2"/>
        <v>0</v>
      </c>
    </row>
    <row r="94" spans="1:7" ht="48.75" customHeight="1">
      <c r="A94" s="3" t="s">
        <v>74</v>
      </c>
      <c r="B94" s="2" t="s">
        <v>75</v>
      </c>
      <c r="C94" s="13">
        <f>26031.94+363997+19205240+3374574+2400000+539.61+800000+41310.79+84689.44+10000+469000</f>
        <v>26775382.78</v>
      </c>
      <c r="D94" s="40"/>
      <c r="E94" s="40"/>
      <c r="F94" s="5"/>
      <c r="G94" s="5">
        <f t="shared" si="2"/>
        <v>26775382.78</v>
      </c>
    </row>
    <row r="95" spans="1:7" ht="31.5" customHeight="1" hidden="1">
      <c r="A95" s="3" t="s">
        <v>34</v>
      </c>
      <c r="B95" s="28" t="s">
        <v>52</v>
      </c>
      <c r="C95" s="13"/>
      <c r="D95" s="40"/>
      <c r="E95" s="40"/>
      <c r="F95" s="5"/>
      <c r="G95" s="5">
        <f t="shared" si="2"/>
        <v>0</v>
      </c>
    </row>
    <row r="96" spans="1:7" ht="31.5" customHeight="1" hidden="1">
      <c r="A96" s="3" t="s">
        <v>34</v>
      </c>
      <c r="B96" s="15" t="s">
        <v>90</v>
      </c>
      <c r="C96" s="13"/>
      <c r="D96" s="40"/>
      <c r="E96" s="40"/>
      <c r="F96" s="5"/>
      <c r="G96" s="5">
        <f t="shared" si="2"/>
        <v>0</v>
      </c>
    </row>
    <row r="97" spans="1:7" ht="49.5" customHeight="1" hidden="1">
      <c r="A97" s="3" t="s">
        <v>49</v>
      </c>
      <c r="B97" s="15" t="s">
        <v>50</v>
      </c>
      <c r="C97" s="13"/>
      <c r="D97" s="40"/>
      <c r="E97" s="40"/>
      <c r="F97" s="5"/>
      <c r="G97" s="5">
        <f t="shared" si="2"/>
        <v>0</v>
      </c>
    </row>
    <row r="98" spans="1:7" ht="29.25" customHeight="1" hidden="1">
      <c r="A98" s="3" t="s">
        <v>89</v>
      </c>
      <c r="B98" s="15" t="s">
        <v>0</v>
      </c>
      <c r="C98" s="13"/>
      <c r="D98" s="40"/>
      <c r="E98" s="40"/>
      <c r="F98" s="5"/>
      <c r="G98" s="5">
        <f t="shared" si="2"/>
        <v>0</v>
      </c>
    </row>
    <row r="99" spans="1:7" ht="57" customHeight="1">
      <c r="A99" s="3" t="s">
        <v>99</v>
      </c>
      <c r="B99" s="15" t="s">
        <v>142</v>
      </c>
      <c r="C99" s="13">
        <f>2871000</f>
        <v>2871000</v>
      </c>
      <c r="D99" s="40"/>
      <c r="E99" s="40"/>
      <c r="F99" s="5"/>
      <c r="G99" s="5">
        <f t="shared" si="2"/>
        <v>2871000</v>
      </c>
    </row>
    <row r="100" spans="1:7" ht="72" customHeight="1">
      <c r="A100" s="3" t="s">
        <v>99</v>
      </c>
      <c r="B100" s="15" t="s">
        <v>143</v>
      </c>
      <c r="C100" s="13">
        <v>3754989</v>
      </c>
      <c r="D100" s="40"/>
      <c r="E100" s="40"/>
      <c r="F100" s="5"/>
      <c r="G100" s="5">
        <f t="shared" si="2"/>
        <v>3754989</v>
      </c>
    </row>
    <row r="101" spans="1:7" ht="232.5" customHeight="1">
      <c r="A101" s="3" t="s">
        <v>99</v>
      </c>
      <c r="B101" s="15" t="s">
        <v>146</v>
      </c>
      <c r="C101" s="13">
        <v>5500000</v>
      </c>
      <c r="D101" s="40"/>
      <c r="E101" s="40"/>
      <c r="F101" s="5"/>
      <c r="G101" s="5">
        <f t="shared" si="2"/>
        <v>5500000</v>
      </c>
    </row>
    <row r="102" spans="1:7" ht="49.5" customHeight="1" hidden="1">
      <c r="A102" s="3" t="s">
        <v>99</v>
      </c>
      <c r="B102" s="15" t="s">
        <v>90</v>
      </c>
      <c r="C102" s="13"/>
      <c r="D102" s="40"/>
      <c r="E102" s="40"/>
      <c r="F102" s="5"/>
      <c r="G102" s="5">
        <f t="shared" si="2"/>
        <v>0</v>
      </c>
    </row>
    <row r="103" spans="1:7" ht="67.5" customHeight="1">
      <c r="A103" s="3" t="s">
        <v>99</v>
      </c>
      <c r="B103" s="35" t="s">
        <v>108</v>
      </c>
      <c r="C103" s="32">
        <f>SUM(C99:C102)</f>
        <v>12125989</v>
      </c>
      <c r="D103" s="40"/>
      <c r="E103" s="40"/>
      <c r="F103" s="5"/>
      <c r="G103" s="5">
        <f t="shared" si="2"/>
        <v>12125989</v>
      </c>
    </row>
    <row r="104" spans="1:7" ht="80.25" customHeight="1">
      <c r="A104" s="3" t="s">
        <v>139</v>
      </c>
      <c r="B104" s="2" t="s">
        <v>140</v>
      </c>
      <c r="C104" s="13">
        <f>425212</f>
        <v>425212</v>
      </c>
      <c r="D104" s="40"/>
      <c r="E104" s="40"/>
      <c r="F104" s="5"/>
      <c r="G104" s="5">
        <f aca="true" t="shared" si="3" ref="G104:G135">C104-D104-E104-F104</f>
        <v>425212</v>
      </c>
    </row>
    <row r="105" spans="1:7" ht="49.5" customHeight="1" hidden="1">
      <c r="A105" s="3" t="s">
        <v>54</v>
      </c>
      <c r="B105" s="15"/>
      <c r="C105" s="13"/>
      <c r="D105" s="40"/>
      <c r="E105" s="40"/>
      <c r="F105" s="5"/>
      <c r="G105" s="5">
        <f t="shared" si="3"/>
        <v>0</v>
      </c>
    </row>
    <row r="106" spans="1:7" ht="66.75" customHeight="1" hidden="1">
      <c r="A106" s="3" t="s">
        <v>55</v>
      </c>
      <c r="B106" s="15"/>
      <c r="C106" s="13"/>
      <c r="D106" s="40"/>
      <c r="E106" s="40"/>
      <c r="F106" s="5"/>
      <c r="G106" s="5">
        <f t="shared" si="3"/>
        <v>0</v>
      </c>
    </row>
    <row r="107" spans="1:7" ht="66.75" customHeight="1" hidden="1">
      <c r="A107" s="3" t="s">
        <v>57</v>
      </c>
      <c r="B107" s="15"/>
      <c r="C107" s="13"/>
      <c r="D107" s="40"/>
      <c r="E107" s="40"/>
      <c r="F107" s="5"/>
      <c r="G107" s="5">
        <f t="shared" si="3"/>
        <v>0</v>
      </c>
    </row>
    <row r="108" spans="1:7" ht="90.75" customHeight="1" hidden="1">
      <c r="A108" s="3" t="s">
        <v>59</v>
      </c>
      <c r="B108" s="15"/>
      <c r="C108" s="13"/>
      <c r="D108" s="40"/>
      <c r="E108" s="40"/>
      <c r="F108" s="5"/>
      <c r="G108" s="5">
        <f t="shared" si="3"/>
        <v>0</v>
      </c>
    </row>
    <row r="109" spans="1:7" ht="75" customHeight="1" hidden="1">
      <c r="A109" s="3" t="s">
        <v>65</v>
      </c>
      <c r="B109" s="15"/>
      <c r="C109" s="13"/>
      <c r="D109" s="40"/>
      <c r="E109" s="40"/>
      <c r="F109" s="5"/>
      <c r="G109" s="5">
        <f t="shared" si="3"/>
        <v>0</v>
      </c>
    </row>
    <row r="110" spans="1:7" ht="39.75" customHeight="1" hidden="1">
      <c r="A110" s="3" t="s">
        <v>58</v>
      </c>
      <c r="B110" s="15"/>
      <c r="C110" s="13"/>
      <c r="D110" s="40"/>
      <c r="E110" s="40"/>
      <c r="F110" s="5"/>
      <c r="G110" s="5">
        <f t="shared" si="3"/>
        <v>0</v>
      </c>
    </row>
    <row r="111" spans="1:7" ht="66.75" customHeight="1" hidden="1">
      <c r="A111" s="3" t="s">
        <v>56</v>
      </c>
      <c r="B111" s="15"/>
      <c r="C111" s="13"/>
      <c r="D111" s="40"/>
      <c r="E111" s="40"/>
      <c r="F111" s="5"/>
      <c r="G111" s="5">
        <f t="shared" si="3"/>
        <v>0</v>
      </c>
    </row>
    <row r="112" spans="1:7" ht="130.5" customHeight="1" hidden="1">
      <c r="A112" s="3" t="s">
        <v>63</v>
      </c>
      <c r="C112" s="13"/>
      <c r="D112" s="40"/>
      <c r="E112" s="40"/>
      <c r="F112" s="5"/>
      <c r="G112" s="5">
        <f t="shared" si="3"/>
        <v>0</v>
      </c>
    </row>
    <row r="113" spans="1:7" ht="37.5" customHeight="1" hidden="1">
      <c r="A113" s="3" t="s">
        <v>64</v>
      </c>
      <c r="B113" s="15"/>
      <c r="C113" s="13"/>
      <c r="D113" s="40"/>
      <c r="E113" s="40"/>
      <c r="F113" s="5"/>
      <c r="G113" s="5">
        <f t="shared" si="3"/>
        <v>0</v>
      </c>
    </row>
    <row r="114" spans="1:7" ht="137.25" customHeight="1" hidden="1">
      <c r="A114" s="3" t="s">
        <v>53</v>
      </c>
      <c r="B114" s="15"/>
      <c r="C114" s="13"/>
      <c r="D114" s="40"/>
      <c r="E114" s="40"/>
      <c r="F114" s="5"/>
      <c r="G114" s="5">
        <f t="shared" si="3"/>
        <v>0</v>
      </c>
    </row>
    <row r="115" spans="1:7" ht="87" customHeight="1" hidden="1">
      <c r="A115" s="18" t="s">
        <v>68</v>
      </c>
      <c r="B115" s="15"/>
      <c r="C115" s="13"/>
      <c r="D115" s="40"/>
      <c r="E115" s="40"/>
      <c r="F115" s="5"/>
      <c r="G115" s="5">
        <f t="shared" si="3"/>
        <v>0</v>
      </c>
    </row>
    <row r="116" spans="1:7" ht="66.75" customHeight="1" hidden="1">
      <c r="A116" s="18" t="s">
        <v>68</v>
      </c>
      <c r="B116" s="15"/>
      <c r="C116" s="13"/>
      <c r="D116" s="40"/>
      <c r="E116" s="40"/>
      <c r="F116" s="5"/>
      <c r="G116" s="5">
        <f t="shared" si="3"/>
        <v>0</v>
      </c>
    </row>
    <row r="117" spans="1:7" ht="66.75" customHeight="1" hidden="1">
      <c r="A117" s="18" t="s">
        <v>68</v>
      </c>
      <c r="B117" s="15"/>
      <c r="C117" s="13"/>
      <c r="D117" s="40"/>
      <c r="E117" s="40"/>
      <c r="F117" s="5"/>
      <c r="G117" s="5">
        <f t="shared" si="3"/>
        <v>0</v>
      </c>
    </row>
    <row r="118" spans="1:7" ht="48.75" customHeight="1" hidden="1">
      <c r="A118" s="18" t="s">
        <v>68</v>
      </c>
      <c r="B118" s="15"/>
      <c r="C118" s="13"/>
      <c r="D118" s="40"/>
      <c r="E118" s="40"/>
      <c r="F118" s="5"/>
      <c r="G118" s="5">
        <f t="shared" si="3"/>
        <v>0</v>
      </c>
    </row>
    <row r="119" spans="1:7" ht="97.5" customHeight="1" hidden="1">
      <c r="A119" s="18" t="s">
        <v>68</v>
      </c>
      <c r="B119" s="15"/>
      <c r="C119" s="13"/>
      <c r="D119" s="40"/>
      <c r="E119" s="40"/>
      <c r="F119" s="5"/>
      <c r="G119" s="5">
        <f t="shared" si="3"/>
        <v>0</v>
      </c>
    </row>
    <row r="120" spans="1:7" ht="50.25" customHeight="1" hidden="1">
      <c r="A120" s="18" t="s">
        <v>68</v>
      </c>
      <c r="B120" s="15"/>
      <c r="C120" s="13"/>
      <c r="D120" s="40"/>
      <c r="E120" s="40"/>
      <c r="F120" s="5"/>
      <c r="G120" s="5">
        <f t="shared" si="3"/>
        <v>0</v>
      </c>
    </row>
    <row r="121" spans="1:7" s="33" customFormat="1" ht="30" customHeight="1">
      <c r="A121" s="18"/>
      <c r="B121" s="31" t="s">
        <v>92</v>
      </c>
      <c r="C121" s="32">
        <f>C5+C7+C8+C10+C11+C16+C17+C18+C19+C20+C21+C22+C25+C28+C31+C34+C37+C42+C43+C45+C48+C54+C55+C58+C61+C63+C66+C69+C71+C72+C73+C75+C79+C82+C84+C87+C88+C94+C103+C104</f>
        <v>658774966.2899998</v>
      </c>
      <c r="D121" s="32">
        <f>D5+D7+D8+D10+D11+D16+D17+D18+D19+D20+D21+D22+D25+D28+D31+D34+D37+D42+D43+D45+D48+D54+D55+D58+D61+D63+D66+D69+D71+D72+D73+D75+D79+D82+D84+D87+D88+D94+D103+D104</f>
        <v>8280249.050000001</v>
      </c>
      <c r="E121" s="32">
        <f>E5+E7+E8+E10+E11+E16+E17+E18+E19+E20+E21+E22+E25+E28+E31+E34+E37+E42+E43+E45+E48+E54+E55+E58+E61+E63+E66+E69+E71+E72+E73+E75+E79+E82+E84+E87+E88+E94+E103+E104</f>
        <v>0</v>
      </c>
      <c r="F121" s="32">
        <f>F5+F7+F8+F10+F11+F16+F17+F18+F19+F20+F21+F22+F25+F28+F31+F34+F37+F42+F43+F45+F48+F54+F55+F58+F61+F63+F66+F69+F71+F72+F73+F75+F79+F82+F84+F87+F88+F94+F103+F104</f>
        <v>0</v>
      </c>
      <c r="G121" s="32">
        <f>G5+G7+G8+G10+G11+G16+G17+G18+G19+G20+G21+G22+G25+G28+G31+G34+G37+G42+G43+G45+G48+G54+G55+G58+G61+G63+G66+G69+G71+G72+G73+G75+G79+G82+G84+G87+G88+G94+G103+G104</f>
        <v>650494717.2399999</v>
      </c>
    </row>
    <row r="122" spans="1:7" ht="69" customHeight="1">
      <c r="A122" s="48" t="s">
        <v>61</v>
      </c>
      <c r="B122" s="20" t="s">
        <v>111</v>
      </c>
      <c r="C122" s="13">
        <f>5000000+1487000</f>
        <v>6487000</v>
      </c>
      <c r="D122" s="40"/>
      <c r="E122" s="40"/>
      <c r="F122" s="5"/>
      <c r="G122" s="5">
        <f t="shared" si="3"/>
        <v>6487000</v>
      </c>
    </row>
    <row r="123" spans="1:7" ht="41.25" customHeight="1">
      <c r="A123" s="49"/>
      <c r="B123" s="15" t="s">
        <v>112</v>
      </c>
      <c r="C123" s="13">
        <v>5000000</v>
      </c>
      <c r="D123" s="40"/>
      <c r="E123" s="40"/>
      <c r="F123" s="5"/>
      <c r="G123" s="5">
        <f t="shared" si="3"/>
        <v>5000000</v>
      </c>
    </row>
    <row r="124" spans="1:7" ht="65.25" customHeight="1">
      <c r="A124" s="49"/>
      <c r="B124" s="15" t="s">
        <v>124</v>
      </c>
      <c r="C124" s="13">
        <f>415105</f>
        <v>415105</v>
      </c>
      <c r="D124" s="40"/>
      <c r="E124" s="40"/>
      <c r="F124" s="5"/>
      <c r="G124" s="5">
        <f t="shared" si="3"/>
        <v>415105</v>
      </c>
    </row>
    <row r="125" spans="1:7" ht="57.75" customHeight="1">
      <c r="A125" s="49"/>
      <c r="B125" s="20" t="s">
        <v>126</v>
      </c>
      <c r="C125" s="13">
        <v>636608</v>
      </c>
      <c r="D125" s="40"/>
      <c r="E125" s="40"/>
      <c r="F125" s="5"/>
      <c r="G125" s="5">
        <f t="shared" si="3"/>
        <v>636608</v>
      </c>
    </row>
    <row r="126" spans="1:7" ht="63.75" customHeight="1">
      <c r="A126" s="49"/>
      <c r="B126" s="42" t="s">
        <v>137</v>
      </c>
      <c r="C126" s="13">
        <f>1360000</f>
        <v>1360000</v>
      </c>
      <c r="D126" s="40">
        <v>304800</v>
      </c>
      <c r="E126" s="40"/>
      <c r="F126" s="5"/>
      <c r="G126" s="5">
        <f t="shared" si="3"/>
        <v>1055200</v>
      </c>
    </row>
    <row r="127" spans="1:7" ht="102" customHeight="1">
      <c r="A127" s="49"/>
      <c r="B127" s="20" t="s">
        <v>132</v>
      </c>
      <c r="C127" s="13">
        <f>1356000</f>
        <v>1356000</v>
      </c>
      <c r="D127" s="40"/>
      <c r="E127" s="40"/>
      <c r="F127" s="5"/>
      <c r="G127" s="5">
        <f t="shared" si="3"/>
        <v>1356000</v>
      </c>
    </row>
    <row r="128" spans="1:7" ht="51" customHeight="1">
      <c r="A128" s="49"/>
      <c r="B128" s="20" t="s">
        <v>134</v>
      </c>
      <c r="C128" s="13">
        <f>2739883</f>
        <v>2739883</v>
      </c>
      <c r="D128" s="40">
        <f>1206865</f>
        <v>1206865</v>
      </c>
      <c r="E128" s="40"/>
      <c r="F128" s="5"/>
      <c r="G128" s="5">
        <f t="shared" si="3"/>
        <v>1533018</v>
      </c>
    </row>
    <row r="129" spans="1:7" ht="87" customHeight="1">
      <c r="A129" s="49"/>
      <c r="B129" s="15" t="s">
        <v>135</v>
      </c>
      <c r="C129" s="13">
        <v>2099288.92</v>
      </c>
      <c r="D129" s="40"/>
      <c r="E129" s="40"/>
      <c r="F129" s="5"/>
      <c r="G129" s="5">
        <f t="shared" si="3"/>
        <v>2099288.92</v>
      </c>
    </row>
    <row r="130" spans="1:7" ht="66" customHeight="1">
      <c r="A130" s="49"/>
      <c r="B130" s="15" t="s">
        <v>138</v>
      </c>
      <c r="C130" s="13">
        <v>1163628.41</v>
      </c>
      <c r="D130" s="40"/>
      <c r="E130" s="40"/>
      <c r="F130" s="5"/>
      <c r="G130" s="5">
        <f t="shared" si="3"/>
        <v>1163628.41</v>
      </c>
    </row>
    <row r="131" spans="1:7" ht="67.5" customHeight="1" hidden="1">
      <c r="A131" s="49"/>
      <c r="B131" s="15"/>
      <c r="C131" s="13"/>
      <c r="D131" s="40"/>
      <c r="E131" s="40"/>
      <c r="F131" s="5"/>
      <c r="G131" s="5">
        <f t="shared" si="3"/>
        <v>0</v>
      </c>
    </row>
    <row r="132" spans="1:7" ht="96" customHeight="1">
      <c r="A132" s="49"/>
      <c r="B132" s="15" t="s">
        <v>144</v>
      </c>
      <c r="C132" s="13">
        <v>160480</v>
      </c>
      <c r="D132" s="40"/>
      <c r="E132" s="40"/>
      <c r="F132" s="5"/>
      <c r="G132" s="5">
        <f t="shared" si="3"/>
        <v>160480</v>
      </c>
    </row>
    <row r="133" spans="1:7" ht="108.75" customHeight="1">
      <c r="A133" s="49"/>
      <c r="B133" s="20" t="s">
        <v>145</v>
      </c>
      <c r="C133" s="13">
        <v>404496</v>
      </c>
      <c r="D133" s="40"/>
      <c r="E133" s="40"/>
      <c r="F133" s="5"/>
      <c r="G133" s="5">
        <f t="shared" si="3"/>
        <v>404496</v>
      </c>
    </row>
    <row r="134" spans="1:7" ht="63" customHeight="1">
      <c r="A134" s="29"/>
      <c r="B134" s="20" t="s">
        <v>148</v>
      </c>
      <c r="C134" s="13">
        <f>720000</f>
        <v>720000</v>
      </c>
      <c r="D134" s="40"/>
      <c r="E134" s="40"/>
      <c r="F134" s="5"/>
      <c r="G134" s="5">
        <f t="shared" si="3"/>
        <v>720000</v>
      </c>
    </row>
    <row r="135" spans="1:7" ht="62.25" customHeight="1">
      <c r="A135" s="29"/>
      <c r="B135" s="20" t="s">
        <v>149</v>
      </c>
      <c r="C135" s="13">
        <f>200000</f>
        <v>200000</v>
      </c>
      <c r="D135" s="40"/>
      <c r="E135" s="40"/>
      <c r="F135" s="5"/>
      <c r="G135" s="5">
        <f t="shared" si="3"/>
        <v>200000</v>
      </c>
    </row>
    <row r="136" spans="1:7" ht="59.25" customHeight="1" hidden="1">
      <c r="A136" s="29"/>
      <c r="B136" s="20"/>
      <c r="C136" s="13"/>
      <c r="D136" s="40"/>
      <c r="E136" s="40"/>
      <c r="F136" s="5"/>
      <c r="G136" s="5">
        <f aca="true" t="shared" si="4" ref="G136:G149">C136-D136-E136-F136</f>
        <v>0</v>
      </c>
    </row>
    <row r="137" spans="1:7" ht="52.5" customHeight="1" hidden="1">
      <c r="A137" s="29"/>
      <c r="B137" s="20"/>
      <c r="C137" s="13"/>
      <c r="D137" s="40"/>
      <c r="E137" s="40"/>
      <c r="F137" s="5"/>
      <c r="G137" s="5">
        <f t="shared" si="4"/>
        <v>0</v>
      </c>
    </row>
    <row r="138" spans="1:7" ht="71.25" customHeight="1" hidden="1">
      <c r="A138" s="29"/>
      <c r="B138" s="20"/>
      <c r="C138" s="13"/>
      <c r="D138" s="40"/>
      <c r="E138" s="40"/>
      <c r="F138" s="5"/>
      <c r="G138" s="5">
        <f t="shared" si="4"/>
        <v>0</v>
      </c>
    </row>
    <row r="139" spans="1:7" ht="67.5" customHeight="1" hidden="1">
      <c r="A139" s="29"/>
      <c r="B139" s="15"/>
      <c r="C139" s="13"/>
      <c r="D139" s="40"/>
      <c r="E139" s="40"/>
      <c r="F139" s="5"/>
      <c r="G139" s="5">
        <f t="shared" si="4"/>
        <v>0</v>
      </c>
    </row>
    <row r="140" spans="1:7" ht="67.5" customHeight="1" hidden="1">
      <c r="A140" s="29"/>
      <c r="B140" s="15"/>
      <c r="C140" s="13"/>
      <c r="D140" s="40"/>
      <c r="E140" s="40"/>
      <c r="F140" s="5"/>
      <c r="G140" s="5">
        <f t="shared" si="4"/>
        <v>0</v>
      </c>
    </row>
    <row r="141" spans="1:7" ht="87" customHeight="1" hidden="1">
      <c r="A141" s="29"/>
      <c r="B141" s="15"/>
      <c r="C141" s="13"/>
      <c r="D141" s="40"/>
      <c r="E141" s="40"/>
      <c r="F141" s="5"/>
      <c r="G141" s="5">
        <f t="shared" si="4"/>
        <v>0</v>
      </c>
    </row>
    <row r="142" spans="1:7" ht="67.5" customHeight="1" hidden="1">
      <c r="A142" s="30"/>
      <c r="B142" s="15"/>
      <c r="C142" s="13"/>
      <c r="D142" s="40"/>
      <c r="E142" s="40"/>
      <c r="F142" s="5"/>
      <c r="G142" s="5">
        <f t="shared" si="4"/>
        <v>0</v>
      </c>
    </row>
    <row r="143" spans="1:7" ht="40.5" customHeight="1">
      <c r="A143" s="3"/>
      <c r="B143" s="31" t="s">
        <v>94</v>
      </c>
      <c r="C143" s="32">
        <f>SUM(C122:C142)</f>
        <v>22742489.330000002</v>
      </c>
      <c r="D143" s="32">
        <f>SUM(D122:D142)</f>
        <v>1511665</v>
      </c>
      <c r="E143" s="32">
        <f>SUM(E122:E142)</f>
        <v>0</v>
      </c>
      <c r="F143" s="32">
        <f>SUM(F122:F142)</f>
        <v>0</v>
      </c>
      <c r="G143" s="5">
        <f t="shared" si="4"/>
        <v>21230824.330000002</v>
      </c>
    </row>
    <row r="144" spans="1:7" ht="40.5" customHeight="1">
      <c r="A144" s="18" t="s">
        <v>107</v>
      </c>
      <c r="B144" s="15" t="s">
        <v>129</v>
      </c>
      <c r="C144" s="32">
        <f>196800</f>
        <v>196800</v>
      </c>
      <c r="D144" s="32"/>
      <c r="E144" s="32"/>
      <c r="F144" s="32"/>
      <c r="G144" s="5">
        <f t="shared" si="4"/>
        <v>196800</v>
      </c>
    </row>
    <row r="145" spans="1:7" ht="40.5" customHeight="1">
      <c r="A145" s="18" t="s">
        <v>107</v>
      </c>
      <c r="B145" s="15" t="s">
        <v>136</v>
      </c>
      <c r="C145" s="32">
        <f>44656</f>
        <v>44656</v>
      </c>
      <c r="D145" s="32"/>
      <c r="E145" s="32"/>
      <c r="F145" s="32"/>
      <c r="G145" s="5">
        <f t="shared" si="4"/>
        <v>44656</v>
      </c>
    </row>
    <row r="146" spans="1:7" ht="99" customHeight="1">
      <c r="A146" s="18" t="s">
        <v>107</v>
      </c>
      <c r="B146" s="20" t="s">
        <v>118</v>
      </c>
      <c r="C146" s="32"/>
      <c r="D146" s="40"/>
      <c r="E146" s="40"/>
      <c r="F146" s="5">
        <v>75000</v>
      </c>
      <c r="G146" s="5">
        <f t="shared" si="4"/>
        <v>-75000</v>
      </c>
    </row>
    <row r="147" spans="1:7" ht="119.25" customHeight="1" hidden="1">
      <c r="A147" s="18" t="s">
        <v>102</v>
      </c>
      <c r="B147" s="15"/>
      <c r="C147" s="13"/>
      <c r="D147" s="40"/>
      <c r="E147" s="40"/>
      <c r="F147" s="5"/>
      <c r="G147" s="5">
        <f t="shared" si="4"/>
        <v>0</v>
      </c>
    </row>
    <row r="148" spans="1:7" ht="113.25" customHeight="1" hidden="1">
      <c r="A148" s="18" t="s">
        <v>102</v>
      </c>
      <c r="B148" s="15"/>
      <c r="C148" s="13"/>
      <c r="D148" s="40"/>
      <c r="E148" s="40"/>
      <c r="F148" s="5"/>
      <c r="G148" s="5">
        <f t="shared" si="4"/>
        <v>0</v>
      </c>
    </row>
    <row r="149" spans="1:7" ht="39" customHeight="1" hidden="1">
      <c r="A149" s="18"/>
      <c r="B149" s="31" t="s">
        <v>103</v>
      </c>
      <c r="C149" s="32"/>
      <c r="D149" s="40"/>
      <c r="E149" s="40"/>
      <c r="F149" s="5"/>
      <c r="G149" s="5">
        <f t="shared" si="4"/>
        <v>0</v>
      </c>
    </row>
    <row r="150" spans="1:7" ht="23.25" customHeight="1">
      <c r="A150" s="10"/>
      <c r="B150" s="34" t="s">
        <v>93</v>
      </c>
      <c r="C150" s="16">
        <f>C121+C143+C144+C145+C146</f>
        <v>681758911.6199999</v>
      </c>
      <c r="D150" s="16">
        <f>D121+D143+D144+D145+D146</f>
        <v>9791914.05</v>
      </c>
      <c r="E150" s="16">
        <f>E121+E143+E144+E145+E146</f>
        <v>0</v>
      </c>
      <c r="F150" s="16">
        <f>F121+F143+F144+F145+F146</f>
        <v>75000</v>
      </c>
      <c r="G150" s="16">
        <f>G121+G143+G144+G145+G146</f>
        <v>671891997.5699999</v>
      </c>
    </row>
    <row r="152" spans="1:2" ht="12.75">
      <c r="A152" s="46"/>
      <c r="B152" s="46"/>
    </row>
    <row r="153" ht="12.75" customHeight="1"/>
    <row r="154" spans="1:7" ht="15" customHeight="1">
      <c r="A154" s="45"/>
      <c r="B154" s="45"/>
      <c r="G154" s="7"/>
    </row>
  </sheetData>
  <sheetProtection/>
  <mergeCells count="5">
    <mergeCell ref="A2:C2"/>
    <mergeCell ref="A154:B154"/>
    <mergeCell ref="A152:B152"/>
    <mergeCell ref="A1:F1"/>
    <mergeCell ref="A122:A133"/>
  </mergeCells>
  <printOptions horizontalCentered="1"/>
  <pageMargins left="0.2362204724409449" right="0.2362204724409449" top="0.3937007874015748" bottom="0.5905511811023623" header="0.31496062992125984" footer="0.31496062992125984"/>
  <pageSetup horizontalDpi="600" verticalDpi="600" orientation="portrait" paperSize="9" scale="60" r:id="rId1"/>
  <headerFooter alignWithMargins="0">
    <oddFooter>&amp;LZał. Nr 2 
do pisma znak: F-VI.3121.4.22.2023
&amp;RStr.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plachak</dc:creator>
  <cp:keywords/>
  <dc:description/>
  <cp:lastModifiedBy>Kamila Placha-Bogacz</cp:lastModifiedBy>
  <cp:lastPrinted>2024-01-05T09:14:10Z</cp:lastPrinted>
  <dcterms:created xsi:type="dcterms:W3CDTF">2008-02-01T12:26:51Z</dcterms:created>
  <dcterms:modified xsi:type="dcterms:W3CDTF">2024-01-05T09:36:10Z</dcterms:modified>
  <cp:category/>
  <cp:version/>
  <cp:contentType/>
  <cp:contentStatus/>
</cp:coreProperties>
</file>