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<sst xmlns="http://schemas.openxmlformats.org/spreadsheetml/2006/main" count="98" uniqueCount="79">
  <si>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</si>
  <si>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</si>
  <si>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</si>
  <si>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</si>
  <si>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</si>
  <si>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</si>
  <si>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</si>
  <si>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</si>
  <si>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</si>
  <si>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</si>
  <si>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</si>
  <si>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</si>
  <si>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</si>
  <si>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</si>
  <si>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</si>
  <si>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</si>
  <si>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</si>
  <si>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</si>
  <si>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</si>
  <si>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</si>
  <si>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</si>
  <si>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</si>
  <si>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</si>
  <si>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</si>
  <si>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</si>
  <si>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</si>
  <si>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</si>
  <si>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</si>
  <si>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</si>
  <si>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</si>
  <si>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</si>
  <si>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</si>
  <si>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</si>
  <si>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</si>
  <si>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</si>
  <si>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</si>
  <si>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</si>
  <si>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</si>
  <si>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</si>
  <si>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</si>
  <si>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</si>
  <si>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</si>
  <si>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</si>
  <si>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</si>
  <si>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</si>
  <si>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</si>
  <si>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</si>
  <si>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</si>
  <si>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</si>
  <si>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</si>
  <si>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</si>
  <si>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</si>
  <si>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</si>
  <si>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</si>
  <si>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</si>
  <si>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</si>
  <si>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</si>
  <si>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</si>
  <si>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</si>
  <si>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</si>
  <si>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</si>
  <si>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</si>
  <si>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</si>
  <si>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</si>
  <si>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</si>
  <si>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</si>
  <si>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</si>
  <si>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</si>
  <si>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</si>
  <si>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</si>
  <si>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</si>
  <si>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</si>
  <si>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</si>
  <si>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</si>
  <si>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</si>
  <si>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</si>
  <si>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</si>
  <si>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</si>
  <si>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 Kwartał 2021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</si>
</sst>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9.875" style="2" customWidth="1"/>
    <col min="10" max="10" width="12.00390625" style="2" bestFit="1" customWidth="1"/>
    <col min="11" max="11" width="11.25390625" style="2" bestFit="1" customWidth="1"/>
    <col min="12" max="12" width="13.25390625" style="2" customWidth="1"/>
    <col min="13" max="13" width="11.25390625" style="2" bestFit="1" customWidth="1"/>
    <col min="14" max="14" width="10.875" style="2" bestFit="1" customWidth="1"/>
    <col min="15" max="16" width="9.375" style="2" bestFit="1" customWidth="1"/>
    <col min="17" max="17" width="8.7539062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33600944398.3</f>
        <v>33600944398.3</v>
      </c>
      <c r="C13" s="27">
        <f>33600943377.69</f>
        <v>33600943377.69</v>
      </c>
      <c r="D13" s="27">
        <f>2614199289.99</f>
        <v>2614199289.99</v>
      </c>
      <c r="E13" s="27">
        <f>251950576.26</f>
        <v>251950576.26</v>
      </c>
      <c r="F13" s="27">
        <f>311440234.01</f>
        <v>311440234.01</v>
      </c>
      <c r="G13" s="27">
        <f>2048386484.73</f>
        <v>2048386484.73</v>
      </c>
      <c r="H13" s="27">
        <f>2421994.99</f>
        <v>2421994.99</v>
      </c>
      <c r="I13" s="27">
        <f>0</f>
        <v>0</v>
      </c>
      <c r="J13" s="27">
        <f>29421189387.04</f>
        <v>29421189387.04</v>
      </c>
      <c r="K13" s="27">
        <f>1175159323.07</f>
        <v>1175159323.07</v>
      </c>
      <c r="L13" s="27">
        <f>361424957.51</f>
        <v>361424957.51</v>
      </c>
      <c r="M13" s="27">
        <f>17481913.3</f>
        <v>17481913.3</v>
      </c>
      <c r="N13" s="27">
        <f>11488506.78</f>
        <v>11488506.78</v>
      </c>
      <c r="O13" s="27">
        <f>1020.61</f>
        <v>1020.61</v>
      </c>
      <c r="P13" s="27">
        <f>0</f>
        <v>0</v>
      </c>
      <c r="Q13" s="27">
        <f>1020.61</f>
        <v>1020.61</v>
      </c>
    </row>
    <row r="14" spans="1:17" ht="26.25" customHeight="1">
      <c r="A14" s="28" t="s">
        <v>45</v>
      </c>
      <c r="B14" s="27">
        <f>569349693.23</f>
        <v>569349693.23</v>
      </c>
      <c r="C14" s="27">
        <f>569349693.23</f>
        <v>569349693.23</v>
      </c>
      <c r="D14" s="27">
        <f>513000</f>
        <v>513000</v>
      </c>
      <c r="E14" s="27">
        <f>0</f>
        <v>0</v>
      </c>
      <c r="F14" s="27">
        <f>0</f>
        <v>0</v>
      </c>
      <c r="G14" s="27">
        <f>513000</f>
        <v>513000</v>
      </c>
      <c r="H14" s="27">
        <f>0</f>
        <v>0</v>
      </c>
      <c r="I14" s="27">
        <f>0</f>
        <v>0</v>
      </c>
      <c r="J14" s="27">
        <f>506646693.23</f>
        <v>506646693.23</v>
      </c>
      <c r="K14" s="27">
        <f>60950000</f>
        <v>60950000</v>
      </c>
      <c r="L14" s="27">
        <f>1240000</f>
        <v>1240000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569349693.23</f>
        <v>569349693.23</v>
      </c>
      <c r="C16" s="32">
        <f>569349693.23</f>
        <v>569349693.23</v>
      </c>
      <c r="D16" s="32">
        <f>513000</f>
        <v>513000</v>
      </c>
      <c r="E16" s="32">
        <f>0</f>
        <v>0</v>
      </c>
      <c r="F16" s="32">
        <f>0</f>
        <v>0</v>
      </c>
      <c r="G16" s="32">
        <f>513000</f>
        <v>513000</v>
      </c>
      <c r="H16" s="32">
        <f>0</f>
        <v>0</v>
      </c>
      <c r="I16" s="32">
        <f>0</f>
        <v>0</v>
      </c>
      <c r="J16" s="32">
        <f>506646693.23</f>
        <v>506646693.23</v>
      </c>
      <c r="K16" s="32">
        <f>60950000</f>
        <v>60950000</v>
      </c>
      <c r="L16" s="32">
        <f>1240000</f>
        <v>1240000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33000719213.08</f>
        <v>33000719213.08</v>
      </c>
      <c r="C17" s="27">
        <f>33000719213.08</f>
        <v>33000719213.08</v>
      </c>
      <c r="D17" s="27">
        <f>2602218986.32</f>
        <v>2602218986.32</v>
      </c>
      <c r="E17" s="27">
        <f>251562552.04</f>
        <v>251562552.04</v>
      </c>
      <c r="F17" s="27">
        <f>309252503.88</f>
        <v>309252503.88</v>
      </c>
      <c r="G17" s="27">
        <f>2041355140.17</f>
        <v>2041355140.17</v>
      </c>
      <c r="H17" s="27">
        <f>48790.23</f>
        <v>48790.23</v>
      </c>
      <c r="I17" s="27">
        <f>0</f>
        <v>0</v>
      </c>
      <c r="J17" s="27">
        <f>28914226916.01</f>
        <v>28914226916.01</v>
      </c>
      <c r="K17" s="27">
        <f>1114206642.57</f>
        <v>1114206642.57</v>
      </c>
      <c r="L17" s="27">
        <f>350567477.2</f>
        <v>350567477.2</v>
      </c>
      <c r="M17" s="27">
        <f>10917043</f>
        <v>10917043</v>
      </c>
      <c r="N17" s="27">
        <f>8582147.98</f>
        <v>8582147.98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143603727.06</f>
        <v>143603727.06</v>
      </c>
      <c r="C18" s="32">
        <f>143603727.06</f>
        <v>143603727.06</v>
      </c>
      <c r="D18" s="32">
        <f>17492261.36</f>
        <v>17492261.36</v>
      </c>
      <c r="E18" s="32">
        <f>9247160.54</f>
        <v>9247160.54</v>
      </c>
      <c r="F18" s="32">
        <f>1974918.85</f>
        <v>1974918.85</v>
      </c>
      <c r="G18" s="32">
        <f>6270181.97</f>
        <v>6270181.97</v>
      </c>
      <c r="H18" s="32">
        <f>0</f>
        <v>0</v>
      </c>
      <c r="I18" s="32">
        <f>0</f>
        <v>0</v>
      </c>
      <c r="J18" s="32">
        <f>122344884.41</f>
        <v>122344884.41</v>
      </c>
      <c r="K18" s="32">
        <f>57000</f>
        <v>57000</v>
      </c>
      <c r="L18" s="32">
        <f>3361168.34</f>
        <v>3361168.34</v>
      </c>
      <c r="M18" s="32">
        <f>28560</f>
        <v>28560</v>
      </c>
      <c r="N18" s="32">
        <f>319852.95</f>
        <v>319852.95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32857115486.02</f>
        <v>32857115486.02</v>
      </c>
      <c r="C19" s="32">
        <f>32857115486.02</f>
        <v>32857115486.02</v>
      </c>
      <c r="D19" s="32">
        <f>2584726724.96</f>
        <v>2584726724.96</v>
      </c>
      <c r="E19" s="32">
        <f>242315391.5</f>
        <v>242315391.5</v>
      </c>
      <c r="F19" s="32">
        <f>307277585.03</f>
        <v>307277585.03</v>
      </c>
      <c r="G19" s="32">
        <f>2035084958.2</f>
        <v>2035084958.2</v>
      </c>
      <c r="H19" s="32">
        <f>48790.23</f>
        <v>48790.23</v>
      </c>
      <c r="I19" s="32">
        <f>0</f>
        <v>0</v>
      </c>
      <c r="J19" s="32">
        <f>28791882031.6</f>
        <v>28791882031.6</v>
      </c>
      <c r="K19" s="32">
        <f>1114149642.57</f>
        <v>1114149642.57</v>
      </c>
      <c r="L19" s="32">
        <f>347206308.86</f>
        <v>347206308.86</v>
      </c>
      <c r="M19" s="32">
        <f>10888483</f>
        <v>10888483</v>
      </c>
      <c r="N19" s="32">
        <f>8262295.03</f>
        <v>8262295.03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30875491.99</f>
        <v>30875491.99</v>
      </c>
      <c r="C21" s="27">
        <f>30874471.38</f>
        <v>30874471.38</v>
      </c>
      <c r="D21" s="27">
        <f>11467303.67</f>
        <v>11467303.67</v>
      </c>
      <c r="E21" s="27">
        <f>388024.22</f>
        <v>388024.22</v>
      </c>
      <c r="F21" s="27">
        <f>2187730.13</f>
        <v>2187730.13</v>
      </c>
      <c r="G21" s="27">
        <f>6518344.56</f>
        <v>6518344.56</v>
      </c>
      <c r="H21" s="27">
        <f>2373204.76</f>
        <v>2373204.76</v>
      </c>
      <c r="I21" s="27">
        <f>0</f>
        <v>0</v>
      </c>
      <c r="J21" s="27">
        <f>315777.8</f>
        <v>315777.8</v>
      </c>
      <c r="K21" s="27">
        <f>2680.5</f>
        <v>2680.5</v>
      </c>
      <c r="L21" s="27">
        <f>9617480.31</f>
        <v>9617480.31</v>
      </c>
      <c r="M21" s="27">
        <f>6564870.3</f>
        <v>6564870.3</v>
      </c>
      <c r="N21" s="27">
        <f>2906358.8</f>
        <v>2906358.8</v>
      </c>
      <c r="O21" s="27">
        <f>1020.61</f>
        <v>1020.61</v>
      </c>
      <c r="P21" s="27">
        <f>0</f>
        <v>0</v>
      </c>
      <c r="Q21" s="27">
        <f>1020.61</f>
        <v>1020.61</v>
      </c>
    </row>
    <row r="22" spans="1:17" ht="27" customHeight="1">
      <c r="A22" s="18" t="s">
        <v>53</v>
      </c>
      <c r="B22" s="32">
        <f>16030551.04</f>
        <v>16030551.04</v>
      </c>
      <c r="C22" s="32">
        <f>16030551.04</f>
        <v>16030551.04</v>
      </c>
      <c r="D22" s="32">
        <f>741210.21</f>
        <v>741210.21</v>
      </c>
      <c r="E22" s="32">
        <f>0</f>
        <v>0</v>
      </c>
      <c r="F22" s="32">
        <f>0</f>
        <v>0</v>
      </c>
      <c r="G22" s="32">
        <f>741210.21</f>
        <v>741210.21</v>
      </c>
      <c r="H22" s="32">
        <f>0</f>
        <v>0</v>
      </c>
      <c r="I22" s="32">
        <f>0</f>
        <v>0</v>
      </c>
      <c r="J22" s="32">
        <f>0</f>
        <v>0</v>
      </c>
      <c r="K22" s="32">
        <f>136.5</f>
        <v>136.5</v>
      </c>
      <c r="L22" s="32">
        <f>8372005.4</f>
        <v>8372005.4</v>
      </c>
      <c r="M22" s="32">
        <f>4010840.13</f>
        <v>4010840.13</v>
      </c>
      <c r="N22" s="32">
        <f>2906358.8</f>
        <v>2906358.8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14844940.95</f>
        <v>14844940.95</v>
      </c>
      <c r="C23" s="32">
        <f>14843920.34</f>
        <v>14843920.34</v>
      </c>
      <c r="D23" s="32">
        <f>10726093.46</f>
        <v>10726093.46</v>
      </c>
      <c r="E23" s="32">
        <f>388024.22</f>
        <v>388024.22</v>
      </c>
      <c r="F23" s="32">
        <f>2187730.13</f>
        <v>2187730.13</v>
      </c>
      <c r="G23" s="32">
        <f>5777134.35</f>
        <v>5777134.35</v>
      </c>
      <c r="H23" s="32">
        <f>2373204.76</f>
        <v>2373204.76</v>
      </c>
      <c r="I23" s="32">
        <f>0</f>
        <v>0</v>
      </c>
      <c r="J23" s="32">
        <f>315777.8</f>
        <v>315777.8</v>
      </c>
      <c r="K23" s="32">
        <f>2544</f>
        <v>2544</v>
      </c>
      <c r="L23" s="32">
        <f>1245474.91</f>
        <v>1245474.91</v>
      </c>
      <c r="M23" s="32">
        <f>2554030.17</f>
        <v>2554030.17</v>
      </c>
      <c r="N23" s="32">
        <f>0</f>
        <v>0</v>
      </c>
      <c r="O23" s="32">
        <f>1020.61</f>
        <v>1020.61</v>
      </c>
      <c r="P23" s="32">
        <f>0</f>
        <v>0</v>
      </c>
      <c r="Q23" s="32">
        <f>1020.61</f>
        <v>1020.61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2433047.85</f>
        <v>2433047.85</v>
      </c>
      <c r="C45" s="34">
        <f>2433047.85</f>
        <v>2433047.85</v>
      </c>
      <c r="D45" s="34">
        <f>1157403.08</f>
        <v>1157403.08</v>
      </c>
      <c r="E45" s="34">
        <f>0</f>
        <v>0</v>
      </c>
      <c r="F45" s="34">
        <f>0</f>
        <v>0</v>
      </c>
      <c r="G45" s="34">
        <f>1157403.08</f>
        <v>1157403.08</v>
      </c>
      <c r="H45" s="34">
        <f>0</f>
        <v>0</v>
      </c>
      <c r="I45" s="34">
        <f>0</f>
        <v>0</v>
      </c>
      <c r="J45" s="34">
        <f>122784.2</f>
        <v>122784.2</v>
      </c>
      <c r="K45" s="34">
        <f>24850</f>
        <v>24850</v>
      </c>
      <c r="L45" s="34">
        <f>493939.4</f>
        <v>493939.4</v>
      </c>
      <c r="M45" s="34">
        <f>634071.17</f>
        <v>634071.17</v>
      </c>
      <c r="N45" s="34">
        <f>0</f>
        <v>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9730.95</f>
        <v>9730.95</v>
      </c>
      <c r="C46" s="25">
        <f>9730.95</f>
        <v>9730.95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0</f>
        <v>0</v>
      </c>
      <c r="M46" s="25">
        <f>3730.95</f>
        <v>3730.95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2423316.9</f>
        <v>2423316.9</v>
      </c>
      <c r="C47" s="25">
        <f>2423316.9</f>
        <v>2423316.9</v>
      </c>
      <c r="D47" s="25">
        <f>1157403.08</f>
        <v>1157403.08</v>
      </c>
      <c r="E47" s="25">
        <f>0</f>
        <v>0</v>
      </c>
      <c r="F47" s="25">
        <f>0</f>
        <v>0</v>
      </c>
      <c r="G47" s="25">
        <f>1157403.08</f>
        <v>1157403.08</v>
      </c>
      <c r="H47" s="25">
        <f>0</f>
        <v>0</v>
      </c>
      <c r="I47" s="25">
        <f>0</f>
        <v>0</v>
      </c>
      <c r="J47" s="25">
        <f>116784.2</f>
        <v>116784.2</v>
      </c>
      <c r="K47" s="25">
        <f>24850</f>
        <v>24850</v>
      </c>
      <c r="L47" s="25">
        <f>493939.4</f>
        <v>493939.4</v>
      </c>
      <c r="M47" s="25">
        <f>630340.22</f>
        <v>630340.22</v>
      </c>
      <c r="N47" s="25">
        <f>0</f>
        <v>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351347162.91</f>
        <v>351347162.91</v>
      </c>
      <c r="C48" s="25">
        <f>351343237.26</f>
        <v>351343237.26</v>
      </c>
      <c r="D48" s="25">
        <f>31090153.9</f>
        <v>31090153.9</v>
      </c>
      <c r="E48" s="25">
        <f>139262.8</f>
        <v>139262.8</v>
      </c>
      <c r="F48" s="25">
        <f>429879</f>
        <v>429879</v>
      </c>
      <c r="G48" s="25">
        <f>20721012.1</f>
        <v>20721012.1</v>
      </c>
      <c r="H48" s="25">
        <f>9800000</f>
        <v>9800000</v>
      </c>
      <c r="I48" s="25">
        <f>0</f>
        <v>0</v>
      </c>
      <c r="J48" s="25">
        <f>78231.83</f>
        <v>78231.83</v>
      </c>
      <c r="K48" s="25">
        <f>115511.04</f>
        <v>115511.04</v>
      </c>
      <c r="L48" s="25">
        <f>104294393.75</f>
        <v>104294393.75</v>
      </c>
      <c r="M48" s="25">
        <f>193741423.11</f>
        <v>193741423.11</v>
      </c>
      <c r="N48" s="25">
        <f>22023523.63</f>
        <v>22023523.63</v>
      </c>
      <c r="O48" s="14">
        <f>3925.65</f>
        <v>3925.65</v>
      </c>
      <c r="P48" s="14">
        <f>3883.66</f>
        <v>3883.66</v>
      </c>
      <c r="Q48" s="14">
        <f>41.99</f>
        <v>41.99</v>
      </c>
    </row>
    <row r="49" spans="1:17" ht="24.75" customHeight="1">
      <c r="A49" s="22" t="s">
        <v>29</v>
      </c>
      <c r="B49" s="25">
        <f>32364956.62</f>
        <v>32364956.62</v>
      </c>
      <c r="C49" s="25">
        <f>32364956.62</f>
        <v>32364956.62</v>
      </c>
      <c r="D49" s="25">
        <f>15954004</f>
        <v>15954004</v>
      </c>
      <c r="E49" s="25">
        <f>483.6</f>
        <v>483.6</v>
      </c>
      <c r="F49" s="25">
        <f>0</f>
        <v>0</v>
      </c>
      <c r="G49" s="25">
        <f>6153520.4</f>
        <v>6153520.4</v>
      </c>
      <c r="H49" s="25">
        <f>9800000</f>
        <v>9800000</v>
      </c>
      <c r="I49" s="25">
        <f>0</f>
        <v>0</v>
      </c>
      <c r="J49" s="25">
        <f>0</f>
        <v>0</v>
      </c>
      <c r="K49" s="25">
        <f>0</f>
        <v>0</v>
      </c>
      <c r="L49" s="25">
        <f>8269147.83</f>
        <v>8269147.83</v>
      </c>
      <c r="M49" s="25">
        <f>2447740.8</f>
        <v>2447740.8</v>
      </c>
      <c r="N49" s="25">
        <f>5694063.99</f>
        <v>5694063.99</v>
      </c>
      <c r="O49" s="14">
        <f>0</f>
        <v>0</v>
      </c>
      <c r="P49" s="14">
        <f>0</f>
        <v>0</v>
      </c>
      <c r="Q49" s="14">
        <f>0</f>
        <v>0</v>
      </c>
    </row>
    <row r="50" spans="1:17" ht="24.75" customHeight="1">
      <c r="A50" s="22" t="s">
        <v>30</v>
      </c>
      <c r="B50" s="25">
        <f>318982206.29</f>
        <v>318982206.29</v>
      </c>
      <c r="C50" s="25">
        <f>318978280.64</f>
        <v>318978280.64</v>
      </c>
      <c r="D50" s="25">
        <f>15136149.9</f>
        <v>15136149.9</v>
      </c>
      <c r="E50" s="25">
        <f>138779.2</f>
        <v>138779.2</v>
      </c>
      <c r="F50" s="25">
        <f>429879</f>
        <v>429879</v>
      </c>
      <c r="G50" s="25">
        <f>14567491.7</f>
        <v>14567491.7</v>
      </c>
      <c r="H50" s="25">
        <f>0</f>
        <v>0</v>
      </c>
      <c r="I50" s="25">
        <f>0</f>
        <v>0</v>
      </c>
      <c r="J50" s="25">
        <f>78231.83</f>
        <v>78231.83</v>
      </c>
      <c r="K50" s="25">
        <f>115511.04</f>
        <v>115511.04</v>
      </c>
      <c r="L50" s="25">
        <f>96025245.92</f>
        <v>96025245.92</v>
      </c>
      <c r="M50" s="25">
        <f>191293682.31</f>
        <v>191293682.31</v>
      </c>
      <c r="N50" s="25">
        <f>16329459.64</f>
        <v>16329459.64</v>
      </c>
      <c r="O50" s="14">
        <f>3925.65</f>
        <v>3925.65</v>
      </c>
      <c r="P50" s="14">
        <f>3883.66</f>
        <v>3883.66</v>
      </c>
      <c r="Q50" s="14">
        <f>41.99</f>
        <v>41.99</v>
      </c>
    </row>
    <row r="51" spans="1:17" ht="24.75" customHeight="1">
      <c r="A51" s="33" t="s">
        <v>41</v>
      </c>
      <c r="B51" s="34">
        <f>22829691503.81</f>
        <v>22829691503.81</v>
      </c>
      <c r="C51" s="34">
        <f>22829691503.81</f>
        <v>22829691503.81</v>
      </c>
      <c r="D51" s="34">
        <f>22647802.64</f>
        <v>22647802.64</v>
      </c>
      <c r="E51" s="34">
        <f>15270689</f>
        <v>15270689</v>
      </c>
      <c r="F51" s="34">
        <f>13364.58</f>
        <v>13364.58</v>
      </c>
      <c r="G51" s="34">
        <f>7363749.06</f>
        <v>7363749.06</v>
      </c>
      <c r="H51" s="34">
        <f>0</f>
        <v>0</v>
      </c>
      <c r="I51" s="34">
        <f>0</f>
        <v>0</v>
      </c>
      <c r="J51" s="34">
        <f>22802647159.41</f>
        <v>22802647159.41</v>
      </c>
      <c r="K51" s="34">
        <f>11152.16</f>
        <v>11152.16</v>
      </c>
      <c r="L51" s="34">
        <f>4275071.19</f>
        <v>4275071.19</v>
      </c>
      <c r="M51" s="34">
        <f>110318.41</f>
        <v>110318.41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7301338.86</f>
        <v>7301338.86</v>
      </c>
      <c r="C52" s="25">
        <f>7301338.86</f>
        <v>7301338.86</v>
      </c>
      <c r="D52" s="25">
        <f>7300338.86</f>
        <v>7300338.86</v>
      </c>
      <c r="E52" s="25">
        <f>0</f>
        <v>0</v>
      </c>
      <c r="F52" s="25">
        <f>0</f>
        <v>0</v>
      </c>
      <c r="G52" s="25">
        <f>7300338.86</f>
        <v>7300338.86</v>
      </c>
      <c r="H52" s="25">
        <f>0</f>
        <v>0</v>
      </c>
      <c r="I52" s="25">
        <f>0</f>
        <v>0</v>
      </c>
      <c r="J52" s="25">
        <f>1000</f>
        <v>1000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19972363268.85</f>
        <v>19972363268.85</v>
      </c>
      <c r="C53" s="25">
        <f>19972363268.85</f>
        <v>19972363268.85</v>
      </c>
      <c r="D53" s="25">
        <f>15201009</f>
        <v>15201009</v>
      </c>
      <c r="E53" s="25">
        <f>15194139</f>
        <v>15194139</v>
      </c>
      <c r="F53" s="25">
        <f>6870</f>
        <v>6870</v>
      </c>
      <c r="G53" s="25">
        <f>0</f>
        <v>0</v>
      </c>
      <c r="H53" s="25">
        <f>0</f>
        <v>0</v>
      </c>
      <c r="I53" s="25">
        <f>0</f>
        <v>0</v>
      </c>
      <c r="J53" s="25">
        <f>19952927524.75</f>
        <v>19952927524.75</v>
      </c>
      <c r="K53" s="25">
        <f>8465.84</f>
        <v>8465.84</v>
      </c>
      <c r="L53" s="25">
        <f>4226269.26</f>
        <v>4226269.26</v>
      </c>
      <c r="M53" s="25">
        <f>0</f>
        <v>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2850026896.1</f>
        <v>2850026896.1</v>
      </c>
      <c r="C54" s="25">
        <f>2850026896.1</f>
        <v>2850026896.1</v>
      </c>
      <c r="D54" s="25">
        <f>146454.78</f>
        <v>146454.78</v>
      </c>
      <c r="E54" s="25">
        <f>76550</f>
        <v>76550</v>
      </c>
      <c r="F54" s="25">
        <f>6494.58</f>
        <v>6494.58</v>
      </c>
      <c r="G54" s="25">
        <f>63410.2</f>
        <v>63410.2</v>
      </c>
      <c r="H54" s="25">
        <f>0</f>
        <v>0</v>
      </c>
      <c r="I54" s="25">
        <f>0</f>
        <v>0</v>
      </c>
      <c r="J54" s="25">
        <f>2849718634.66</f>
        <v>2849718634.66</v>
      </c>
      <c r="K54" s="25">
        <f>2686.32</f>
        <v>2686.32</v>
      </c>
      <c r="L54" s="25">
        <f>48801.93</f>
        <v>48801.93</v>
      </c>
      <c r="M54" s="25">
        <f>110318.41</f>
        <v>110318.41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9581180446.29</f>
        <v>9581180446.29</v>
      </c>
      <c r="C55" s="34">
        <f>9558598253.68</f>
        <v>9558598253.68</v>
      </c>
      <c r="D55" s="34">
        <f>124542590.6</f>
        <v>124542590.6</v>
      </c>
      <c r="E55" s="34">
        <f>77991077.02</f>
        <v>77991077.02</v>
      </c>
      <c r="F55" s="34">
        <f>2284648.69</f>
        <v>2284648.69</v>
      </c>
      <c r="G55" s="34">
        <f>44114219.97</f>
        <v>44114219.97</v>
      </c>
      <c r="H55" s="34">
        <f>152644.92</f>
        <v>152644.92</v>
      </c>
      <c r="I55" s="34">
        <f>0</f>
        <v>0</v>
      </c>
      <c r="J55" s="34">
        <f>3277453.42</f>
        <v>3277453.42</v>
      </c>
      <c r="K55" s="34">
        <f>15732098.07</f>
        <v>15732098.07</v>
      </c>
      <c r="L55" s="34">
        <f>2071359094.98</f>
        <v>2071359094.98</v>
      </c>
      <c r="M55" s="34">
        <f>7286385315.61</f>
        <v>7286385315.61</v>
      </c>
      <c r="N55" s="34">
        <f>57301701</f>
        <v>57301701</v>
      </c>
      <c r="O55" s="34">
        <f>22582192.61</f>
        <v>22582192.61</v>
      </c>
      <c r="P55" s="34">
        <f>14809787.1</f>
        <v>14809787.1</v>
      </c>
      <c r="Q55" s="34">
        <f>7772405.51</f>
        <v>7772405.51</v>
      </c>
    </row>
    <row r="56" spans="1:17" ht="24.75" customHeight="1">
      <c r="A56" s="21" t="s">
        <v>34</v>
      </c>
      <c r="B56" s="25">
        <f>1167098114.65</f>
        <v>1167098114.65</v>
      </c>
      <c r="C56" s="25">
        <f>1167031926.25</f>
        <v>1167031926.25</v>
      </c>
      <c r="D56" s="25">
        <f>3807155.12</f>
        <v>3807155.12</v>
      </c>
      <c r="E56" s="25">
        <f>1219226.52</f>
        <v>1219226.52</v>
      </c>
      <c r="F56" s="25">
        <f>276412</f>
        <v>276412</v>
      </c>
      <c r="G56" s="25">
        <f>2242541.18</f>
        <v>2242541.18</v>
      </c>
      <c r="H56" s="25">
        <f>68975.42</f>
        <v>68975.42</v>
      </c>
      <c r="I56" s="25">
        <f>0</f>
        <v>0</v>
      </c>
      <c r="J56" s="25">
        <f>110976.29</f>
        <v>110976.29</v>
      </c>
      <c r="K56" s="25">
        <f>406062.84</f>
        <v>406062.84</v>
      </c>
      <c r="L56" s="25">
        <f>175002453.02</f>
        <v>175002453.02</v>
      </c>
      <c r="M56" s="25">
        <f>980364436.11</f>
        <v>980364436.11</v>
      </c>
      <c r="N56" s="25">
        <f>7340842.87</f>
        <v>7340842.87</v>
      </c>
      <c r="O56" s="14">
        <f>66188.4</f>
        <v>66188.4</v>
      </c>
      <c r="P56" s="14">
        <f>50847.61</f>
        <v>50847.61</v>
      </c>
      <c r="Q56" s="14">
        <f>15340.79</f>
        <v>15340.79</v>
      </c>
    </row>
    <row r="57" spans="1:17" ht="24.75" customHeight="1">
      <c r="A57" s="22" t="s">
        <v>35</v>
      </c>
      <c r="B57" s="25">
        <f>8414082331.64</f>
        <v>8414082331.64</v>
      </c>
      <c r="C57" s="25">
        <f>8391566327.43</f>
        <v>8391566327.43</v>
      </c>
      <c r="D57" s="25">
        <f>120735435.48</f>
        <v>120735435.48</v>
      </c>
      <c r="E57" s="25">
        <f>76771850.5</f>
        <v>76771850.5</v>
      </c>
      <c r="F57" s="25">
        <f>2008236.69</f>
        <v>2008236.69</v>
      </c>
      <c r="G57" s="25">
        <f>41871678.79</f>
        <v>41871678.79</v>
      </c>
      <c r="H57" s="25">
        <f>83669.5</f>
        <v>83669.5</v>
      </c>
      <c r="I57" s="25">
        <f>0</f>
        <v>0</v>
      </c>
      <c r="J57" s="25">
        <f>3166477.13</f>
        <v>3166477.13</v>
      </c>
      <c r="K57" s="25">
        <f>15326035.23</f>
        <v>15326035.23</v>
      </c>
      <c r="L57" s="25">
        <f>1896356641.96</f>
        <v>1896356641.96</v>
      </c>
      <c r="M57" s="25">
        <f>6306020879.5</f>
        <v>6306020879.5</v>
      </c>
      <c r="N57" s="25">
        <f>49960858.13</f>
        <v>49960858.13</v>
      </c>
      <c r="O57" s="14">
        <f>22516004.21</f>
        <v>22516004.21</v>
      </c>
      <c r="P57" s="14">
        <f>14758939.49</f>
        <v>14758939.49</v>
      </c>
      <c r="Q57" s="14">
        <f>7757064.72</f>
        <v>7757064.72</v>
      </c>
    </row>
    <row r="58" spans="1:17" ht="24.75" customHeight="1">
      <c r="A58" s="33" t="s">
        <v>43</v>
      </c>
      <c r="B58" s="34">
        <f>18099843073.65</f>
        <v>18099843073.65</v>
      </c>
      <c r="C58" s="34">
        <f>18096838181.76</f>
        <v>18096838181.76</v>
      </c>
      <c r="D58" s="34">
        <f>1120457427.09</f>
        <v>1120457427.09</v>
      </c>
      <c r="E58" s="34">
        <f>743941814.79</f>
        <v>743941814.79</v>
      </c>
      <c r="F58" s="34">
        <f>59710559.07</f>
        <v>59710559.07</v>
      </c>
      <c r="G58" s="34">
        <f>308274884.51</f>
        <v>308274884.51</v>
      </c>
      <c r="H58" s="34">
        <f>8530168.72</f>
        <v>8530168.72</v>
      </c>
      <c r="I58" s="34">
        <f>291575</f>
        <v>291575</v>
      </c>
      <c r="J58" s="34">
        <f>17092282.32</f>
        <v>17092282.32</v>
      </c>
      <c r="K58" s="34">
        <f>64312374.04</f>
        <v>64312374.04</v>
      </c>
      <c r="L58" s="34">
        <f>9317718781.28</f>
        <v>9317718781.28</v>
      </c>
      <c r="M58" s="34">
        <f>7447078132.01</f>
        <v>7447078132.01</v>
      </c>
      <c r="N58" s="34">
        <f>129887610.02</f>
        <v>129887610.02</v>
      </c>
      <c r="O58" s="34">
        <f>3004891.89</f>
        <v>3004891.89</v>
      </c>
      <c r="P58" s="34">
        <f>1821018.27</f>
        <v>1821018.27</v>
      </c>
      <c r="Q58" s="34">
        <f>1183873.62</f>
        <v>1183873.62</v>
      </c>
    </row>
    <row r="59" spans="1:17" ht="30" customHeight="1">
      <c r="A59" s="21" t="s">
        <v>36</v>
      </c>
      <c r="B59" s="25">
        <f>915651591.22</f>
        <v>915651591.22</v>
      </c>
      <c r="C59" s="25">
        <f>915626735.36</f>
        <v>915626735.36</v>
      </c>
      <c r="D59" s="25">
        <f>35045247.26</f>
        <v>35045247.26</v>
      </c>
      <c r="E59" s="25">
        <f>2029763.54</f>
        <v>2029763.54</v>
      </c>
      <c r="F59" s="25">
        <f>1329166.87</f>
        <v>1329166.87</v>
      </c>
      <c r="G59" s="25">
        <f>31162971.29</f>
        <v>31162971.29</v>
      </c>
      <c r="H59" s="25">
        <f>523345.56</f>
        <v>523345.56</v>
      </c>
      <c r="I59" s="25">
        <f>0</f>
        <v>0</v>
      </c>
      <c r="J59" s="25">
        <f>955401.69</f>
        <v>955401.69</v>
      </c>
      <c r="K59" s="25">
        <f>1976431.37</f>
        <v>1976431.37</v>
      </c>
      <c r="L59" s="25">
        <f>287479408.4</f>
        <v>287479408.4</v>
      </c>
      <c r="M59" s="25">
        <f>584018207.61</f>
        <v>584018207.61</v>
      </c>
      <c r="N59" s="25">
        <f>6152039.03</f>
        <v>6152039.03</v>
      </c>
      <c r="O59" s="14">
        <f>24855.86</f>
        <v>24855.86</v>
      </c>
      <c r="P59" s="14">
        <f>3414.07</f>
        <v>3414.07</v>
      </c>
      <c r="Q59" s="14">
        <f>21441.79</f>
        <v>21441.79</v>
      </c>
    </row>
    <row r="60" spans="1:17" ht="36">
      <c r="A60" s="21" t="s">
        <v>37</v>
      </c>
      <c r="B60" s="25">
        <f>11691392617.87</f>
        <v>11691392617.87</v>
      </c>
      <c r="C60" s="25">
        <f>11689525127.32</f>
        <v>11689525127.32</v>
      </c>
      <c r="D60" s="25">
        <f>666421373.02</f>
        <v>666421373.02</v>
      </c>
      <c r="E60" s="25">
        <f>491492358.44</f>
        <v>491492358.44</v>
      </c>
      <c r="F60" s="25">
        <f>33882594.41</f>
        <v>33882594.41</v>
      </c>
      <c r="G60" s="25">
        <f>137269645.23</f>
        <v>137269645.23</v>
      </c>
      <c r="H60" s="25">
        <f>3776774.94</f>
        <v>3776774.94</v>
      </c>
      <c r="I60" s="25">
        <f>291575</f>
        <v>291575</v>
      </c>
      <c r="J60" s="25">
        <f>13416746.6</f>
        <v>13416746.6</v>
      </c>
      <c r="K60" s="25">
        <f>36966768.71</f>
        <v>36966768.71</v>
      </c>
      <c r="L60" s="25">
        <f>7138153131.5</f>
        <v>7138153131.5</v>
      </c>
      <c r="M60" s="25">
        <f>3790672640</f>
        <v>3790672640</v>
      </c>
      <c r="N60" s="25">
        <f>43602892.49</f>
        <v>43602892.49</v>
      </c>
      <c r="O60" s="14">
        <f>1867490.55</f>
        <v>1867490.55</v>
      </c>
      <c r="P60" s="14">
        <f>1797681.13</f>
        <v>1797681.13</v>
      </c>
      <c r="Q60" s="14">
        <f>69809.42</f>
        <v>69809.42</v>
      </c>
    </row>
    <row r="61" spans="1:17" ht="30.75" customHeight="1">
      <c r="A61" s="21" t="s">
        <v>38</v>
      </c>
      <c r="B61" s="25">
        <f>5492798864.56</f>
        <v>5492798864.56</v>
      </c>
      <c r="C61" s="25">
        <f>5491686319.08</f>
        <v>5491686319.08</v>
      </c>
      <c r="D61" s="25">
        <f>418990806.81</f>
        <v>418990806.81</v>
      </c>
      <c r="E61" s="25">
        <f>250419692.81</f>
        <v>250419692.81</v>
      </c>
      <c r="F61" s="25">
        <f>24498797.79</f>
        <v>24498797.79</v>
      </c>
      <c r="G61" s="25">
        <f>139842267.99</f>
        <v>139842267.99</v>
      </c>
      <c r="H61" s="25">
        <f>4230048.22</f>
        <v>4230048.22</v>
      </c>
      <c r="I61" s="25">
        <f>0</f>
        <v>0</v>
      </c>
      <c r="J61" s="25">
        <f>2720134.03</f>
        <v>2720134.03</v>
      </c>
      <c r="K61" s="25">
        <f>25369173.96</f>
        <v>25369173.96</v>
      </c>
      <c r="L61" s="25">
        <f>1892086241.38</f>
        <v>1892086241.38</v>
      </c>
      <c r="M61" s="25">
        <f>3072387284.4</f>
        <v>3072387284.4</v>
      </c>
      <c r="N61" s="25">
        <f>80132678.5</f>
        <v>80132678.5</v>
      </c>
      <c r="O61" s="14">
        <f>1112545.48</f>
        <v>1112545.48</v>
      </c>
      <c r="P61" s="14">
        <f>19923.07</f>
        <v>19923.07</v>
      </c>
      <c r="Q61" s="14">
        <f>1092622.41</f>
        <v>1092622.41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999782619.49</f>
        <v>999782619.49</v>
      </c>
      <c r="G88" s="32">
        <f>414230932.63</f>
        <v>414230932.63</v>
      </c>
      <c r="H88" s="32">
        <f>31825457.94</f>
        <v>31825457.94</v>
      </c>
      <c r="I88" s="32">
        <f>177826087.02</f>
        <v>177826087.02</v>
      </c>
      <c r="J88" s="32">
        <f>199038237.83</f>
        <v>199038237.83</v>
      </c>
      <c r="K88" s="32">
        <f>5541149.84</f>
        <v>5541149.84</v>
      </c>
      <c r="L88" s="32">
        <f>585551686.86</f>
        <v>585551686.86</v>
      </c>
    </row>
    <row r="89" spans="2:12" ht="33.75" customHeight="1">
      <c r="B89" s="72" t="s">
        <v>56</v>
      </c>
      <c r="C89" s="73"/>
      <c r="D89" s="73"/>
      <c r="E89" s="74"/>
      <c r="F89" s="32">
        <f>2121080.24</f>
        <v>2121080.24</v>
      </c>
      <c r="G89" s="32">
        <f>1170883</f>
        <v>1170883</v>
      </c>
      <c r="H89" s="32">
        <f>0</f>
        <v>0</v>
      </c>
      <c r="I89" s="32">
        <f>0</f>
        <v>0</v>
      </c>
      <c r="J89" s="32">
        <f>1170883</f>
        <v>1170883</v>
      </c>
      <c r="K89" s="32">
        <f>0</f>
        <v>0</v>
      </c>
      <c r="L89" s="32">
        <f>950197.24</f>
        <v>950197.24</v>
      </c>
    </row>
    <row r="90" spans="2:12" ht="33.75" customHeight="1">
      <c r="B90" s="72" t="s">
        <v>57</v>
      </c>
      <c r="C90" s="73"/>
      <c r="D90" s="73"/>
      <c r="E90" s="74"/>
      <c r="F90" s="32">
        <f>14157718.59</f>
        <v>14157718.59</v>
      </c>
      <c r="G90" s="32">
        <f>3812071.52</f>
        <v>3812071.52</v>
      </c>
      <c r="H90" s="32">
        <f>0</f>
        <v>0</v>
      </c>
      <c r="I90" s="32">
        <f>1000000</f>
        <v>1000000</v>
      </c>
      <c r="J90" s="32">
        <f>2764941.52</f>
        <v>2764941.52</v>
      </c>
      <c r="K90" s="32">
        <f>47130</f>
        <v>47130</v>
      </c>
      <c r="L90" s="32">
        <f>10345647.07</f>
        <v>10345647.07</v>
      </c>
    </row>
    <row r="91" spans="2:12" ht="22.5" customHeight="1">
      <c r="B91" s="72" t="s">
        <v>58</v>
      </c>
      <c r="C91" s="73"/>
      <c r="D91" s="73"/>
      <c r="E91" s="74"/>
      <c r="F91" s="32">
        <f>12782842.11</f>
        <v>12782842.11</v>
      </c>
      <c r="G91" s="32">
        <f>0</f>
        <v>0</v>
      </c>
      <c r="H91" s="32">
        <f>0</f>
        <v>0</v>
      </c>
      <c r="I91" s="32">
        <f>0</f>
        <v>0</v>
      </c>
      <c r="J91" s="32">
        <f>0</f>
        <v>0</v>
      </c>
      <c r="K91" s="32">
        <f>0</f>
        <v>0</v>
      </c>
      <c r="L91" s="32">
        <f>12782842.11</f>
        <v>12782842.11</v>
      </c>
    </row>
    <row r="92" spans="2:12" ht="33.75" customHeight="1">
      <c r="B92" s="72" t="s">
        <v>59</v>
      </c>
      <c r="C92" s="73"/>
      <c r="D92" s="73"/>
      <c r="E92" s="74"/>
      <c r="F92" s="32">
        <f>50293.95</f>
        <v>50293.95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50293.95</f>
        <v>50293.95</v>
      </c>
    </row>
    <row r="93" spans="2:12" ht="33.75" customHeight="1">
      <c r="B93" s="72" t="s">
        <v>60</v>
      </c>
      <c r="C93" s="73"/>
      <c r="D93" s="73"/>
      <c r="E93" s="74"/>
      <c r="F93" s="32">
        <f>656467.88</f>
        <v>656467.88</v>
      </c>
      <c r="G93" s="32">
        <f>0</f>
        <v>0</v>
      </c>
      <c r="H93" s="32">
        <f>0</f>
        <v>0</v>
      </c>
      <c r="I93" s="32">
        <f>0</f>
        <v>0</v>
      </c>
      <c r="J93" s="32">
        <f>0</f>
        <v>0</v>
      </c>
      <c r="K93" s="32">
        <f>0</f>
        <v>0</v>
      </c>
      <c r="L93" s="32">
        <f>656467.88</f>
        <v>656467.88</v>
      </c>
    </row>
    <row r="94" spans="2:12" ht="22.5" customHeight="1">
      <c r="B94" s="72" t="s">
        <v>61</v>
      </c>
      <c r="C94" s="73"/>
      <c r="D94" s="73"/>
      <c r="E94" s="74"/>
      <c r="F94" s="32">
        <f>54055.48</f>
        <v>54055.48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54055.48</f>
        <v>54055.48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2329</f>
        <v>2329</v>
      </c>
      <c r="H100" s="66"/>
      <c r="I100" s="67">
        <f>7234864875.06</f>
        <v>7234864875.06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82</f>
        <v>82</v>
      </c>
      <c r="H101" s="76"/>
      <c r="I101" s="77">
        <f>-88116656.7</f>
        <v>-88116656.7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2021-05-31T09:26:04Z</dcterms:modified>
  <cp:category/>
  <cp:version/>
  <cp:contentType/>
  <cp:contentStatus/>
</cp:coreProperties>
</file>