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<sst xmlns="http://schemas.openxmlformats.org/spreadsheetml/2006/main" count="94" uniqueCount="80">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</sst>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169" fontId="5" fillId="0" borderId="19" xfId="0" applyNumberFormat="1" applyFont="1" applyBorder="1" applyAlignment="1">
      <alignment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7"/>
  <sheetViews>
    <sheetView tabSelected="1" zoomScaleSheetLayoutView="50" workbookViewId="0" topLeftCell="A1">
      <selection activeCell="A6" sqref="A6:A11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8" t="str">
        <f>CONCATENATE("Informacja z wykonania budżetów jednostek samorządu terytorialnego za ",$C$95," ",$B$96," roku")</f>
        <v>Informacja z wykonania budżetów jednostek samorządu terytorialnego za IV Kwartały 2021 roku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11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0"/>
      <c r="O5" s="10"/>
      <c r="P5" s="10"/>
      <c r="Q5" s="10"/>
    </row>
    <row r="6" spans="1:17" ht="13.5" customHeight="1">
      <c r="A6" s="43" t="s">
        <v>0</v>
      </c>
      <c r="B6" s="40" t="s">
        <v>62</v>
      </c>
      <c r="C6" s="47" t="s">
        <v>66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65</v>
      </c>
      <c r="P6" s="48"/>
      <c r="Q6" s="49"/>
    </row>
    <row r="7" spans="1:17" ht="13.5" customHeight="1">
      <c r="A7" s="44"/>
      <c r="B7" s="36"/>
      <c r="C7" s="35" t="s">
        <v>63</v>
      </c>
      <c r="D7" s="35" t="s">
        <v>74</v>
      </c>
      <c r="E7" s="35" t="s">
        <v>67</v>
      </c>
      <c r="F7" s="35" t="s">
        <v>68</v>
      </c>
      <c r="G7" s="35" t="s">
        <v>27</v>
      </c>
      <c r="H7" s="35" t="s">
        <v>28</v>
      </c>
      <c r="I7" s="41" t="s">
        <v>64</v>
      </c>
      <c r="J7" s="35" t="s">
        <v>16</v>
      </c>
      <c r="K7" s="35" t="s">
        <v>17</v>
      </c>
      <c r="L7" s="35" t="s">
        <v>18</v>
      </c>
      <c r="M7" s="35" t="s">
        <v>19</v>
      </c>
      <c r="N7" s="36" t="s">
        <v>20</v>
      </c>
      <c r="O7" s="31" t="s">
        <v>21</v>
      </c>
      <c r="P7" s="31" t="s">
        <v>22</v>
      </c>
      <c r="Q7" s="31" t="s">
        <v>23</v>
      </c>
    </row>
    <row r="8" spans="1:17" ht="13.5" customHeight="1">
      <c r="A8" s="44"/>
      <c r="B8" s="36"/>
      <c r="C8" s="31"/>
      <c r="D8" s="31"/>
      <c r="E8" s="31"/>
      <c r="F8" s="31"/>
      <c r="G8" s="31"/>
      <c r="H8" s="31"/>
      <c r="I8" s="41"/>
      <c r="J8" s="31"/>
      <c r="K8" s="31"/>
      <c r="L8" s="31"/>
      <c r="M8" s="31"/>
      <c r="N8" s="36"/>
      <c r="O8" s="31"/>
      <c r="P8" s="31"/>
      <c r="Q8" s="31"/>
    </row>
    <row r="9" spans="1:17" ht="13.5" customHeight="1">
      <c r="A9" s="44"/>
      <c r="B9" s="36"/>
      <c r="C9" s="31"/>
      <c r="D9" s="31"/>
      <c r="E9" s="31"/>
      <c r="F9" s="31"/>
      <c r="G9" s="31"/>
      <c r="H9" s="31"/>
      <c r="I9" s="41"/>
      <c r="J9" s="31"/>
      <c r="K9" s="31"/>
      <c r="L9" s="31"/>
      <c r="M9" s="31"/>
      <c r="N9" s="36"/>
      <c r="O9" s="31"/>
      <c r="P9" s="31"/>
      <c r="Q9" s="31"/>
    </row>
    <row r="10" spans="1:17" ht="11.25" customHeight="1">
      <c r="A10" s="44"/>
      <c r="B10" s="36"/>
      <c r="C10" s="31"/>
      <c r="D10" s="31"/>
      <c r="E10" s="31"/>
      <c r="F10" s="31"/>
      <c r="G10" s="31"/>
      <c r="H10" s="31"/>
      <c r="I10" s="41"/>
      <c r="J10" s="31"/>
      <c r="K10" s="31"/>
      <c r="L10" s="31"/>
      <c r="M10" s="31"/>
      <c r="N10" s="36"/>
      <c r="O10" s="31"/>
      <c r="P10" s="31"/>
      <c r="Q10" s="31"/>
    </row>
    <row r="11" spans="1:17" ht="27.75" customHeight="1">
      <c r="A11" s="45"/>
      <c r="B11" s="35"/>
      <c r="C11" s="31"/>
      <c r="D11" s="31"/>
      <c r="E11" s="31"/>
      <c r="F11" s="31"/>
      <c r="G11" s="31"/>
      <c r="H11" s="31"/>
      <c r="I11" s="42"/>
      <c r="J11" s="31"/>
      <c r="K11" s="31"/>
      <c r="L11" s="31"/>
      <c r="M11" s="31"/>
      <c r="N11" s="35"/>
      <c r="O11" s="31"/>
      <c r="P11" s="31"/>
      <c r="Q11" s="31"/>
    </row>
    <row r="12" spans="1:17" ht="13.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</row>
    <row r="13" spans="1:17" ht="52.5" customHeight="1">
      <c r="A13" s="21" t="s">
        <v>46</v>
      </c>
      <c r="B13" s="23">
        <f>91122816387.6</f>
        <v>91122816387.6</v>
      </c>
      <c r="C13" s="23">
        <f>67051046210.65</f>
        <v>67051046210.65</v>
      </c>
      <c r="D13" s="23">
        <f>3623719662.81</f>
        <v>3623719662.81</v>
      </c>
      <c r="E13" s="23">
        <f>654825576.01</f>
        <v>654825576.01</v>
      </c>
      <c r="F13" s="23">
        <f>699232875.99</f>
        <v>699232875.99</v>
      </c>
      <c r="G13" s="23">
        <f>2264633425.53</f>
        <v>2264633425.53</v>
      </c>
      <c r="H13" s="23">
        <f>5027785.28</f>
        <v>5027785.28</v>
      </c>
      <c r="I13" s="23">
        <f>0</f>
        <v>0</v>
      </c>
      <c r="J13" s="23">
        <f>58899349572.27</f>
        <v>58899349572.27</v>
      </c>
      <c r="K13" s="23">
        <f>2403816209.34</f>
        <v>2403816209.34</v>
      </c>
      <c r="L13" s="23">
        <f>2075216854.32</f>
        <v>2075216854.32</v>
      </c>
      <c r="M13" s="23">
        <f>29891599.51</f>
        <v>29891599.51</v>
      </c>
      <c r="N13" s="23">
        <f>19052312.4</f>
        <v>19052312.4</v>
      </c>
      <c r="O13" s="23">
        <f>24071770176.95</f>
        <v>24071770176.95</v>
      </c>
      <c r="P13" s="23">
        <f>23995069215.65</f>
        <v>23995069215.65</v>
      </c>
      <c r="Q13" s="23">
        <f>76700961.3</f>
        <v>76700961.3</v>
      </c>
    </row>
    <row r="14" spans="1:17" ht="41.25" customHeight="1">
      <c r="A14" s="21" t="s">
        <v>76</v>
      </c>
      <c r="B14" s="23">
        <f>4036809000</f>
        <v>4036809000</v>
      </c>
      <c r="C14" s="23">
        <f>4036809000</f>
        <v>4036809000</v>
      </c>
      <c r="D14" s="23">
        <f>0</f>
        <v>0</v>
      </c>
      <c r="E14" s="23">
        <f>0</f>
        <v>0</v>
      </c>
      <c r="F14" s="23">
        <f>0</f>
        <v>0</v>
      </c>
      <c r="G14" s="23">
        <f>0</f>
        <v>0</v>
      </c>
      <c r="H14" s="23">
        <f>0</f>
        <v>0</v>
      </c>
      <c r="I14" s="23">
        <f>0</f>
        <v>0</v>
      </c>
      <c r="J14" s="23">
        <f>3989122000</f>
        <v>3989122000</v>
      </c>
      <c r="K14" s="23">
        <f>47687000</f>
        <v>47687000</v>
      </c>
      <c r="L14" s="23">
        <f>0</f>
        <v>0</v>
      </c>
      <c r="M14" s="23">
        <f>0</f>
        <v>0</v>
      </c>
      <c r="N14" s="23">
        <f>0</f>
        <v>0</v>
      </c>
      <c r="O14" s="23">
        <f>0</f>
        <v>0</v>
      </c>
      <c r="P14" s="23">
        <f>0</f>
        <v>0</v>
      </c>
      <c r="Q14" s="23">
        <f>0</f>
        <v>0</v>
      </c>
    </row>
    <row r="15" spans="1:17" ht="22.5">
      <c r="A15" s="18" t="s">
        <v>47</v>
      </c>
      <c r="B15" s="24">
        <f>4000000</f>
        <v>4000000</v>
      </c>
      <c r="C15" s="24">
        <f>4000000</f>
        <v>4000000</v>
      </c>
      <c r="D15" s="24">
        <f>0</f>
        <v>0</v>
      </c>
      <c r="E15" s="24">
        <f>0</f>
        <v>0</v>
      </c>
      <c r="F15" s="24">
        <f>0</f>
        <v>0</v>
      </c>
      <c r="G15" s="24">
        <f>0</f>
        <v>0</v>
      </c>
      <c r="H15" s="24">
        <f>0</f>
        <v>0</v>
      </c>
      <c r="I15" s="24">
        <f>0</f>
        <v>0</v>
      </c>
      <c r="J15" s="24">
        <f>4000000</f>
        <v>4000000</v>
      </c>
      <c r="K15" s="24">
        <f>0</f>
        <v>0</v>
      </c>
      <c r="L15" s="24">
        <f>0</f>
        <v>0</v>
      </c>
      <c r="M15" s="24">
        <f>0</f>
        <v>0</v>
      </c>
      <c r="N15" s="24">
        <f>0</f>
        <v>0</v>
      </c>
      <c r="O15" s="24">
        <f>0</f>
        <v>0</v>
      </c>
      <c r="P15" s="24">
        <f>0</f>
        <v>0</v>
      </c>
      <c r="Q15" s="24">
        <f>0</f>
        <v>0</v>
      </c>
    </row>
    <row r="16" spans="1:17" ht="23.25" customHeight="1">
      <c r="A16" s="18" t="s">
        <v>48</v>
      </c>
      <c r="B16" s="24">
        <f>4032809000</f>
        <v>4032809000</v>
      </c>
      <c r="C16" s="24">
        <f>4032809000</f>
        <v>4032809000</v>
      </c>
      <c r="D16" s="24">
        <f>0</f>
        <v>0</v>
      </c>
      <c r="E16" s="24">
        <f>0</f>
        <v>0</v>
      </c>
      <c r="F16" s="24">
        <f>0</f>
        <v>0</v>
      </c>
      <c r="G16" s="24">
        <f>0</f>
        <v>0</v>
      </c>
      <c r="H16" s="24">
        <f>0</f>
        <v>0</v>
      </c>
      <c r="I16" s="24">
        <f>0</f>
        <v>0</v>
      </c>
      <c r="J16" s="24">
        <f>3985122000</f>
        <v>3985122000</v>
      </c>
      <c r="K16" s="24">
        <f>47687000</f>
        <v>47687000</v>
      </c>
      <c r="L16" s="24">
        <f>0</f>
        <v>0</v>
      </c>
      <c r="M16" s="24">
        <f>0</f>
        <v>0</v>
      </c>
      <c r="N16" s="24">
        <f>0</f>
        <v>0</v>
      </c>
      <c r="O16" s="24">
        <f>0</f>
        <v>0</v>
      </c>
      <c r="P16" s="24">
        <f>0</f>
        <v>0</v>
      </c>
      <c r="Q16" s="24">
        <f>0</f>
        <v>0</v>
      </c>
    </row>
    <row r="17" spans="1:17" ht="33" customHeight="1">
      <c r="A17" s="21" t="s">
        <v>77</v>
      </c>
      <c r="B17" s="23">
        <f>87024655627.02</f>
        <v>87024655627.02</v>
      </c>
      <c r="C17" s="23">
        <f>62952886411.37</f>
        <v>62952886411.37</v>
      </c>
      <c r="D17" s="23">
        <f>3600703972.96</f>
        <v>3600703972.96</v>
      </c>
      <c r="E17" s="23">
        <f>653068945.77</f>
        <v>653068945.77</v>
      </c>
      <c r="F17" s="23">
        <f>699227385.99</f>
        <v>699227385.99</v>
      </c>
      <c r="G17" s="23">
        <f>2248407641.2</f>
        <v>2248407641.2</v>
      </c>
      <c r="H17" s="23">
        <f>0</f>
        <v>0</v>
      </c>
      <c r="I17" s="23">
        <f>0</f>
        <v>0</v>
      </c>
      <c r="J17" s="23">
        <f>54910194439.1</f>
        <v>54910194439.1</v>
      </c>
      <c r="K17" s="23">
        <f>2356120802.61</f>
        <v>2356120802.61</v>
      </c>
      <c r="L17" s="23">
        <f>2056108936.14</f>
        <v>2056108936.14</v>
      </c>
      <c r="M17" s="23">
        <f>14725125.98</f>
        <v>14725125.98</v>
      </c>
      <c r="N17" s="23">
        <f>15033134.58</f>
        <v>15033134.58</v>
      </c>
      <c r="O17" s="23">
        <f>24071769215.65</f>
        <v>24071769215.65</v>
      </c>
      <c r="P17" s="23">
        <f>23995069215.65</f>
        <v>23995069215.65</v>
      </c>
      <c r="Q17" s="23">
        <f>76700000</f>
        <v>76700000</v>
      </c>
    </row>
    <row r="18" spans="1:17" ht="22.5">
      <c r="A18" s="18" t="s">
        <v>49</v>
      </c>
      <c r="B18" s="24">
        <f>102805693.42</f>
        <v>102805693.42</v>
      </c>
      <c r="C18" s="24">
        <f>102805693.42</f>
        <v>102805693.42</v>
      </c>
      <c r="D18" s="24">
        <f>21571595.81</f>
        <v>21571595.81</v>
      </c>
      <c r="E18" s="24">
        <f>12817117.62</f>
        <v>12817117.62</v>
      </c>
      <c r="F18" s="24">
        <f>1788035.07</f>
        <v>1788035.07</v>
      </c>
      <c r="G18" s="24">
        <f>6966443.12</f>
        <v>6966443.12</v>
      </c>
      <c r="H18" s="24">
        <f>0</f>
        <v>0</v>
      </c>
      <c r="I18" s="24">
        <f>0</f>
        <v>0</v>
      </c>
      <c r="J18" s="24">
        <f>70990577.63</f>
        <v>70990577.63</v>
      </c>
      <c r="K18" s="24">
        <f>6335674.98</f>
        <v>6335674.98</v>
      </c>
      <c r="L18" s="24">
        <f>1737152.05</f>
        <v>1737152.05</v>
      </c>
      <c r="M18" s="24">
        <f>1458340</f>
        <v>1458340</v>
      </c>
      <c r="N18" s="24">
        <f>712352.95</f>
        <v>712352.95</v>
      </c>
      <c r="O18" s="24">
        <f>0</f>
        <v>0</v>
      </c>
      <c r="P18" s="24">
        <f>0</f>
        <v>0</v>
      </c>
      <c r="Q18" s="24">
        <f>0</f>
        <v>0</v>
      </c>
    </row>
    <row r="19" spans="1:17" ht="24" customHeight="1">
      <c r="A19" s="18" t="s">
        <v>50</v>
      </c>
      <c r="B19" s="24">
        <f>86921849933.6</f>
        <v>86921849933.6</v>
      </c>
      <c r="C19" s="24">
        <f>62850080717.95</f>
        <v>62850080717.95</v>
      </c>
      <c r="D19" s="24">
        <f>3579132377.15</f>
        <v>3579132377.15</v>
      </c>
      <c r="E19" s="24">
        <f>640251828.15</f>
        <v>640251828.15</v>
      </c>
      <c r="F19" s="24">
        <f>697439350.92</f>
        <v>697439350.92</v>
      </c>
      <c r="G19" s="24">
        <f>2241441198.08</f>
        <v>2241441198.08</v>
      </c>
      <c r="H19" s="24">
        <f>0</f>
        <v>0</v>
      </c>
      <c r="I19" s="24">
        <f>0</f>
        <v>0</v>
      </c>
      <c r="J19" s="24">
        <f>54839203861.47</f>
        <v>54839203861.47</v>
      </c>
      <c r="K19" s="24">
        <f>2349785127.63</f>
        <v>2349785127.63</v>
      </c>
      <c r="L19" s="24">
        <f>2054371784.09</f>
        <v>2054371784.09</v>
      </c>
      <c r="M19" s="24">
        <f>13266785.98</f>
        <v>13266785.98</v>
      </c>
      <c r="N19" s="24">
        <f>14320781.63</f>
        <v>14320781.63</v>
      </c>
      <c r="O19" s="24">
        <f>24071769215.65</f>
        <v>24071769215.65</v>
      </c>
      <c r="P19" s="24">
        <f>23995069215.65</f>
        <v>23995069215.65</v>
      </c>
      <c r="Q19" s="24">
        <f>76700000</f>
        <v>76700000</v>
      </c>
    </row>
    <row r="20" spans="1:17" ht="24.75" customHeight="1">
      <c r="A20" s="28" t="s">
        <v>51</v>
      </c>
      <c r="B20" s="29">
        <f>4000000</f>
        <v>4000000</v>
      </c>
      <c r="C20" s="29">
        <f>4000000</f>
        <v>4000000</v>
      </c>
      <c r="D20" s="29">
        <f>4000000</f>
        <v>4000000</v>
      </c>
      <c r="E20" s="29">
        <f>0</f>
        <v>0</v>
      </c>
      <c r="F20" s="29">
        <f>0</f>
        <v>0</v>
      </c>
      <c r="G20" s="29">
        <f>4000000</f>
        <v>4000000</v>
      </c>
      <c r="H20" s="29">
        <f>0</f>
        <v>0</v>
      </c>
      <c r="I20" s="29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</row>
    <row r="21" spans="1:17" ht="38.25" customHeight="1">
      <c r="A21" s="22" t="s">
        <v>78</v>
      </c>
      <c r="B21" s="23">
        <f>57351760.58</f>
        <v>57351760.58</v>
      </c>
      <c r="C21" s="23">
        <f>57350799.28</f>
        <v>57350799.28</v>
      </c>
      <c r="D21" s="23">
        <f>19015689.85</f>
        <v>19015689.85</v>
      </c>
      <c r="E21" s="23">
        <f>1756630.24</f>
        <v>1756630.24</v>
      </c>
      <c r="F21" s="23">
        <f>5490</f>
        <v>5490</v>
      </c>
      <c r="G21" s="23">
        <f>12225784.33</f>
        <v>12225784.33</v>
      </c>
      <c r="H21" s="23">
        <f>5027785.28</f>
        <v>5027785.28</v>
      </c>
      <c r="I21" s="23">
        <f>0</f>
        <v>0</v>
      </c>
      <c r="J21" s="23">
        <f>33133.17</f>
        <v>33133.17</v>
      </c>
      <c r="K21" s="23">
        <f>8406.73</f>
        <v>8406.73</v>
      </c>
      <c r="L21" s="23">
        <f>19107918.18</f>
        <v>19107918.18</v>
      </c>
      <c r="M21" s="23">
        <f>15166473.53</f>
        <v>15166473.53</v>
      </c>
      <c r="N21" s="23">
        <f>4019177.82</f>
        <v>4019177.82</v>
      </c>
      <c r="O21" s="23">
        <f>961.3</f>
        <v>961.3</v>
      </c>
      <c r="P21" s="23">
        <f>0</f>
        <v>0</v>
      </c>
      <c r="Q21" s="23">
        <f>961.3</f>
        <v>961.3</v>
      </c>
    </row>
    <row r="22" spans="1:17" ht="33" customHeight="1">
      <c r="A22" s="19" t="s">
        <v>52</v>
      </c>
      <c r="B22" s="24">
        <f>27449944.77</f>
        <v>27449944.77</v>
      </c>
      <c r="C22" s="24">
        <f>27449944.77</f>
        <v>27449944.77</v>
      </c>
      <c r="D22" s="24">
        <f>2174138.66</f>
        <v>2174138.66</v>
      </c>
      <c r="E22" s="24">
        <f>196.71</f>
        <v>196.71</v>
      </c>
      <c r="F22" s="24">
        <f>1500</f>
        <v>1500</v>
      </c>
      <c r="G22" s="24">
        <f>2172441.95</f>
        <v>2172441.95</v>
      </c>
      <c r="H22" s="24">
        <f>0</f>
        <v>0</v>
      </c>
      <c r="I22" s="24">
        <f>0</f>
        <v>0</v>
      </c>
      <c r="J22" s="24">
        <f>17813.79</f>
        <v>17813.79</v>
      </c>
      <c r="K22" s="24">
        <f>6319.56</f>
        <v>6319.56</v>
      </c>
      <c r="L22" s="24">
        <f>10650949.22</f>
        <v>10650949.22</v>
      </c>
      <c r="M22" s="24">
        <f>10593535.09</f>
        <v>10593535.09</v>
      </c>
      <c r="N22" s="24">
        <f>4007188.45</f>
        <v>4007188.45</v>
      </c>
      <c r="O22" s="24">
        <f>0</f>
        <v>0</v>
      </c>
      <c r="P22" s="24">
        <f>0</f>
        <v>0</v>
      </c>
      <c r="Q22" s="24">
        <f>0</f>
        <v>0</v>
      </c>
    </row>
    <row r="23" spans="1:17" ht="23.25" customHeight="1">
      <c r="A23" s="19" t="s">
        <v>53</v>
      </c>
      <c r="B23" s="24">
        <f>29901815.81</f>
        <v>29901815.81</v>
      </c>
      <c r="C23" s="24">
        <f>29900854.51</f>
        <v>29900854.51</v>
      </c>
      <c r="D23" s="24">
        <f>16841551.19</f>
        <v>16841551.19</v>
      </c>
      <c r="E23" s="24">
        <f>1756433.53</f>
        <v>1756433.53</v>
      </c>
      <c r="F23" s="24">
        <f>3990</f>
        <v>3990</v>
      </c>
      <c r="G23" s="24">
        <f>10053342.38</f>
        <v>10053342.38</v>
      </c>
      <c r="H23" s="24">
        <f>5027785.28</f>
        <v>5027785.28</v>
      </c>
      <c r="I23" s="24">
        <f>0</f>
        <v>0</v>
      </c>
      <c r="J23" s="24">
        <f>15319.38</f>
        <v>15319.38</v>
      </c>
      <c r="K23" s="24">
        <f>2087.17</f>
        <v>2087.17</v>
      </c>
      <c r="L23" s="24">
        <f>8456968.96</f>
        <v>8456968.96</v>
      </c>
      <c r="M23" s="24">
        <f>4572938.44</f>
        <v>4572938.44</v>
      </c>
      <c r="N23" s="24">
        <f>11989.37</f>
        <v>11989.37</v>
      </c>
      <c r="O23" s="24">
        <f>961.3</f>
        <v>961.3</v>
      </c>
      <c r="P23" s="24">
        <f>0</f>
        <v>0</v>
      </c>
      <c r="Q23" s="24">
        <f>961.3</f>
        <v>961.3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3" ht="45.75" customHeight="1">
      <c r="A30" s="38" t="str">
        <f>CONCATENATE("Informacja z wykonania budżetów jednostek samorządu terytorialnego za ",$C$95," ",$B$96," roku")</f>
        <v>Informacja z wykonania budżetów jednostek samorządu terytorialnego za IV Kwartały 2021 roku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2" spans="1:13" ht="13.5" customHeight="1">
      <c r="A32" s="39" t="s">
        <v>11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4" spans="1:17" ht="13.5" customHeight="1">
      <c r="A34" s="43" t="s">
        <v>0</v>
      </c>
      <c r="B34" s="40" t="s">
        <v>12</v>
      </c>
      <c r="C34" s="32" t="s">
        <v>14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2" t="s">
        <v>24</v>
      </c>
      <c r="P34" s="33"/>
      <c r="Q34" s="34"/>
    </row>
    <row r="35" spans="1:17" ht="13.5" customHeight="1">
      <c r="A35" s="44"/>
      <c r="B35" s="36"/>
      <c r="C35" s="36" t="s">
        <v>13</v>
      </c>
      <c r="D35" s="31" t="s">
        <v>15</v>
      </c>
      <c r="E35" s="31" t="s">
        <v>25</v>
      </c>
      <c r="F35" s="31" t="s">
        <v>26</v>
      </c>
      <c r="G35" s="31" t="s">
        <v>71</v>
      </c>
      <c r="H35" s="31" t="s">
        <v>28</v>
      </c>
      <c r="I35" s="31" t="s">
        <v>1</v>
      </c>
      <c r="J35" s="31" t="s">
        <v>16</v>
      </c>
      <c r="K35" s="31" t="s">
        <v>17</v>
      </c>
      <c r="L35" s="31" t="s">
        <v>18</v>
      </c>
      <c r="M35" s="31" t="s">
        <v>19</v>
      </c>
      <c r="N35" s="37" t="s">
        <v>20</v>
      </c>
      <c r="O35" s="31" t="s">
        <v>21</v>
      </c>
      <c r="P35" s="31" t="s">
        <v>22</v>
      </c>
      <c r="Q35" s="40" t="s">
        <v>23</v>
      </c>
    </row>
    <row r="36" spans="1:17" ht="13.5" customHeight="1">
      <c r="A36" s="44"/>
      <c r="B36" s="36"/>
      <c r="C36" s="3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7"/>
      <c r="O36" s="31"/>
      <c r="P36" s="31"/>
      <c r="Q36" s="36"/>
    </row>
    <row r="37" spans="1:17" ht="11.25" customHeight="1">
      <c r="A37" s="44"/>
      <c r="B37" s="36"/>
      <c r="C37" s="36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7"/>
      <c r="O37" s="31"/>
      <c r="P37" s="31"/>
      <c r="Q37" s="36"/>
    </row>
    <row r="38" spans="1:17" ht="32.25" customHeight="1">
      <c r="A38" s="45"/>
      <c r="B38" s="35"/>
      <c r="C38" s="35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7"/>
      <c r="O38" s="31"/>
      <c r="P38" s="31"/>
      <c r="Q38" s="35"/>
    </row>
    <row r="39" spans="1:17" ht="13.5" customHeight="1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12">
        <v>8</v>
      </c>
      <c r="I39" s="12">
        <v>9</v>
      </c>
      <c r="J39" s="12">
        <v>10</v>
      </c>
      <c r="K39" s="12">
        <v>11</v>
      </c>
      <c r="L39" s="12">
        <v>12</v>
      </c>
      <c r="M39" s="12">
        <v>13</v>
      </c>
      <c r="N39" s="12">
        <v>14</v>
      </c>
      <c r="O39" s="12">
        <v>15</v>
      </c>
      <c r="P39" s="12">
        <v>16</v>
      </c>
      <c r="Q39" s="12">
        <v>17</v>
      </c>
    </row>
    <row r="40" spans="1:17" ht="27.75" customHeight="1" hidden="1">
      <c r="A40" s="13" t="s">
        <v>29</v>
      </c>
      <c r="B40" s="14">
        <f>0</f>
        <v>0</v>
      </c>
      <c r="C40" s="14">
        <f>0</f>
        <v>0</v>
      </c>
      <c r="D40" s="14">
        <f>0</f>
        <v>0</v>
      </c>
      <c r="E40" s="14">
        <f>0</f>
        <v>0</v>
      </c>
      <c r="F40" s="14">
        <f>0</f>
        <v>0</v>
      </c>
      <c r="G40" s="14">
        <f>0</f>
        <v>0</v>
      </c>
      <c r="H40" s="14">
        <f>0</f>
        <v>0</v>
      </c>
      <c r="I40" s="14">
        <f>0</f>
        <v>0</v>
      </c>
      <c r="J40" s="14">
        <f>0</f>
        <v>0</v>
      </c>
      <c r="K40" s="14">
        <f>0</f>
        <v>0</v>
      </c>
      <c r="L40" s="14">
        <f>0</f>
        <v>0</v>
      </c>
      <c r="M40" s="14">
        <f>0</f>
        <v>0</v>
      </c>
      <c r="N40" s="14">
        <f>0</f>
        <v>0</v>
      </c>
      <c r="O40" s="14">
        <f>0</f>
        <v>0</v>
      </c>
      <c r="P40" s="14">
        <f>0</f>
        <v>0</v>
      </c>
      <c r="Q40" s="14">
        <f>0</f>
        <v>0</v>
      </c>
    </row>
    <row r="41" spans="1:17" ht="35.25" customHeight="1">
      <c r="A41" s="30" t="s">
        <v>41</v>
      </c>
      <c r="B41" s="25">
        <f>16991595.41</f>
        <v>16991595.41</v>
      </c>
      <c r="C41" s="25">
        <f>16991595.41</f>
        <v>16991595.41</v>
      </c>
      <c r="D41" s="25">
        <f>1950000</f>
        <v>1950000</v>
      </c>
      <c r="E41" s="25">
        <f>50000</f>
        <v>50000</v>
      </c>
      <c r="F41" s="25">
        <f>0</f>
        <v>0</v>
      </c>
      <c r="G41" s="25">
        <f>1900000</f>
        <v>1900000</v>
      </c>
      <c r="H41" s="25">
        <f>0</f>
        <v>0</v>
      </c>
      <c r="I41" s="25">
        <f>0</f>
        <v>0</v>
      </c>
      <c r="J41" s="25">
        <f>13505289.17</f>
        <v>13505289.17</v>
      </c>
      <c r="K41" s="25">
        <f>25550</f>
        <v>25550</v>
      </c>
      <c r="L41" s="25">
        <f>821357.66</f>
        <v>821357.66</v>
      </c>
      <c r="M41" s="25">
        <f>689398.58</f>
        <v>689398.58</v>
      </c>
      <c r="N41" s="25">
        <f>0</f>
        <v>0</v>
      </c>
      <c r="O41" s="25">
        <f>0</f>
        <v>0</v>
      </c>
      <c r="P41" s="25">
        <f>0</f>
        <v>0</v>
      </c>
      <c r="Q41" s="25">
        <f>0</f>
        <v>0</v>
      </c>
    </row>
    <row r="42" spans="1:17" ht="28.5" customHeight="1">
      <c r="A42" s="20" t="s">
        <v>30</v>
      </c>
      <c r="B42" s="26">
        <f>13354898.02</f>
        <v>13354898.02</v>
      </c>
      <c r="C42" s="26">
        <f>13354898.02</f>
        <v>13354898.02</v>
      </c>
      <c r="D42" s="26">
        <f>0</f>
        <v>0</v>
      </c>
      <c r="E42" s="26">
        <f>0</f>
        <v>0</v>
      </c>
      <c r="F42" s="26">
        <f>0</f>
        <v>0</v>
      </c>
      <c r="G42" s="26">
        <f>0</f>
        <v>0</v>
      </c>
      <c r="H42" s="26">
        <f>0</f>
        <v>0</v>
      </c>
      <c r="I42" s="26">
        <f>0</f>
        <v>0</v>
      </c>
      <c r="J42" s="26">
        <f>13290614.91</f>
        <v>13290614.91</v>
      </c>
      <c r="K42" s="26">
        <f>0</f>
        <v>0</v>
      </c>
      <c r="L42" s="26">
        <f>38172</f>
        <v>38172</v>
      </c>
      <c r="M42" s="26">
        <f>26111.11</f>
        <v>26111.11</v>
      </c>
      <c r="N42" s="26">
        <f>0</f>
        <v>0</v>
      </c>
      <c r="O42" s="26">
        <f>0</f>
        <v>0</v>
      </c>
      <c r="P42" s="26">
        <f>0</f>
        <v>0</v>
      </c>
      <c r="Q42" s="26">
        <f>0</f>
        <v>0</v>
      </c>
    </row>
    <row r="43" spans="1:17" ht="28.5" customHeight="1">
      <c r="A43" s="20" t="s">
        <v>31</v>
      </c>
      <c r="B43" s="26">
        <f>3636697.39</f>
        <v>3636697.39</v>
      </c>
      <c r="C43" s="26">
        <f>3636697.39</f>
        <v>3636697.39</v>
      </c>
      <c r="D43" s="26">
        <f>1950000</f>
        <v>1950000</v>
      </c>
      <c r="E43" s="26">
        <f>50000</f>
        <v>50000</v>
      </c>
      <c r="F43" s="26">
        <f>0</f>
        <v>0</v>
      </c>
      <c r="G43" s="26">
        <f>1900000</f>
        <v>1900000</v>
      </c>
      <c r="H43" s="26">
        <f>0</f>
        <v>0</v>
      </c>
      <c r="I43" s="26">
        <f>0</f>
        <v>0</v>
      </c>
      <c r="J43" s="26">
        <f>214674.26</f>
        <v>214674.26</v>
      </c>
      <c r="K43" s="26">
        <f>25550</f>
        <v>25550</v>
      </c>
      <c r="L43" s="26">
        <f>783185.66</f>
        <v>783185.66</v>
      </c>
      <c r="M43" s="26">
        <f>663287.47</f>
        <v>663287.47</v>
      </c>
      <c r="N43" s="26">
        <f>0</f>
        <v>0</v>
      </c>
      <c r="O43" s="26">
        <f>0</f>
        <v>0</v>
      </c>
      <c r="P43" s="26">
        <f>0</f>
        <v>0</v>
      </c>
      <c r="Q43" s="26">
        <f>0</f>
        <v>0</v>
      </c>
    </row>
    <row r="44" spans="1:17" ht="28.5" customHeight="1">
      <c r="A44" s="30" t="s">
        <v>42</v>
      </c>
      <c r="B44" s="25">
        <f>1527408719.46</f>
        <v>1527408719.46</v>
      </c>
      <c r="C44" s="25">
        <f>1527401968.57</f>
        <v>1527401968.57</v>
      </c>
      <c r="D44" s="25">
        <f>569821786.3</f>
        <v>569821786.3</v>
      </c>
      <c r="E44" s="25">
        <f>715892.3</f>
        <v>715892.3</v>
      </c>
      <c r="F44" s="25">
        <f>1021770.56</f>
        <v>1021770.56</v>
      </c>
      <c r="G44" s="25">
        <f>552984123.44</f>
        <v>552984123.44</v>
      </c>
      <c r="H44" s="25">
        <f>15100000</f>
        <v>15100000</v>
      </c>
      <c r="I44" s="25">
        <f>0</f>
        <v>0</v>
      </c>
      <c r="J44" s="25">
        <f>9762782.84</f>
        <v>9762782.84</v>
      </c>
      <c r="K44" s="25">
        <f>2149980.92</f>
        <v>2149980.92</v>
      </c>
      <c r="L44" s="25">
        <f>475090785.22</f>
        <v>475090785.22</v>
      </c>
      <c r="M44" s="25">
        <f>437011193.91</f>
        <v>437011193.91</v>
      </c>
      <c r="N44" s="25">
        <f>33565439.38</f>
        <v>33565439.38</v>
      </c>
      <c r="O44" s="25">
        <f>6750.89</f>
        <v>6750.89</v>
      </c>
      <c r="P44" s="25">
        <f>3883.66</f>
        <v>3883.66</v>
      </c>
      <c r="Q44" s="25">
        <f>2867.23</f>
        <v>2867.23</v>
      </c>
    </row>
    <row r="45" spans="1:17" ht="32.25" customHeight="1">
      <c r="A45" s="20" t="s">
        <v>32</v>
      </c>
      <c r="B45" s="26">
        <f>85387378.39</f>
        <v>85387378.39</v>
      </c>
      <c r="C45" s="26">
        <f>85387378.39</f>
        <v>85387378.39</v>
      </c>
      <c r="D45" s="26">
        <f>36509554.56</f>
        <v>36509554.56</v>
      </c>
      <c r="E45" s="26">
        <f>309244.01</f>
        <v>309244.01</v>
      </c>
      <c r="F45" s="26">
        <f>500000</f>
        <v>500000</v>
      </c>
      <c r="G45" s="26">
        <f>35700310.55</f>
        <v>35700310.55</v>
      </c>
      <c r="H45" s="26">
        <f>0</f>
        <v>0</v>
      </c>
      <c r="I45" s="26">
        <f>0</f>
        <v>0</v>
      </c>
      <c r="J45" s="26">
        <f>0</f>
        <v>0</v>
      </c>
      <c r="K45" s="26">
        <f>4560</f>
        <v>4560</v>
      </c>
      <c r="L45" s="26">
        <f>18697352.09</f>
        <v>18697352.09</v>
      </c>
      <c r="M45" s="26">
        <f>19985488.65</f>
        <v>19985488.65</v>
      </c>
      <c r="N45" s="26">
        <f>10190423.09</f>
        <v>10190423.09</v>
      </c>
      <c r="O45" s="26">
        <f>0</f>
        <v>0</v>
      </c>
      <c r="P45" s="26">
        <f>0</f>
        <v>0</v>
      </c>
      <c r="Q45" s="26">
        <f>0</f>
        <v>0</v>
      </c>
    </row>
    <row r="46" spans="1:17" ht="32.25" customHeight="1">
      <c r="A46" s="20" t="s">
        <v>33</v>
      </c>
      <c r="B46" s="26">
        <f>1442021341.07</f>
        <v>1442021341.07</v>
      </c>
      <c r="C46" s="26">
        <f>1442014590.18</f>
        <v>1442014590.18</v>
      </c>
      <c r="D46" s="26">
        <f>533312231.74</f>
        <v>533312231.74</v>
      </c>
      <c r="E46" s="26">
        <f>406648.29</f>
        <v>406648.29</v>
      </c>
      <c r="F46" s="26">
        <f>521770.56</f>
        <v>521770.56</v>
      </c>
      <c r="G46" s="26">
        <f>517283812.89</f>
        <v>517283812.89</v>
      </c>
      <c r="H46" s="26">
        <f>15100000</f>
        <v>15100000</v>
      </c>
      <c r="I46" s="26">
        <f>0</f>
        <v>0</v>
      </c>
      <c r="J46" s="26">
        <f>9762782.84</f>
        <v>9762782.84</v>
      </c>
      <c r="K46" s="26">
        <f>2145420.92</f>
        <v>2145420.92</v>
      </c>
      <c r="L46" s="26">
        <f>456393433.13</f>
        <v>456393433.13</v>
      </c>
      <c r="M46" s="26">
        <f>417025705.26</f>
        <v>417025705.26</v>
      </c>
      <c r="N46" s="26">
        <f>23375016.29</f>
        <v>23375016.29</v>
      </c>
      <c r="O46" s="26">
        <f>6750.89</f>
        <v>6750.89</v>
      </c>
      <c r="P46" s="26">
        <f>3883.66</f>
        <v>3883.66</v>
      </c>
      <c r="Q46" s="26">
        <f>2867.23</f>
        <v>2867.23</v>
      </c>
    </row>
    <row r="47" spans="1:17" ht="35.25" customHeight="1">
      <c r="A47" s="30" t="s">
        <v>43</v>
      </c>
      <c r="B47" s="25">
        <f>57262439965.35</f>
        <v>57262439965.35</v>
      </c>
      <c r="C47" s="25">
        <f>57262260089.39</f>
        <v>57262260089.39</v>
      </c>
      <c r="D47" s="25">
        <f>22904187.94</f>
        <v>22904187.94</v>
      </c>
      <c r="E47" s="25">
        <f>19130174.95</f>
        <v>19130174.95</v>
      </c>
      <c r="F47" s="25">
        <f>40711.39</f>
        <v>40711.39</v>
      </c>
      <c r="G47" s="25">
        <f>3733301.6</f>
        <v>3733301.6</v>
      </c>
      <c r="H47" s="25">
        <f>0</f>
        <v>0</v>
      </c>
      <c r="I47" s="25">
        <f>14922222.25</f>
        <v>14922222.25</v>
      </c>
      <c r="J47" s="25">
        <f>57212319985.14</f>
        <v>57212319985.14</v>
      </c>
      <c r="K47" s="25">
        <f>1888773.92</f>
        <v>1888773.92</v>
      </c>
      <c r="L47" s="25">
        <f>9828071.65</f>
        <v>9828071.65</v>
      </c>
      <c r="M47" s="25">
        <f>145550.11</f>
        <v>145550.11</v>
      </c>
      <c r="N47" s="25">
        <f>251298.38</f>
        <v>251298.38</v>
      </c>
      <c r="O47" s="25">
        <f>179875.96</f>
        <v>179875.96</v>
      </c>
      <c r="P47" s="25">
        <f>179875.96</f>
        <v>179875.96</v>
      </c>
      <c r="Q47" s="25">
        <f>0</f>
        <v>0</v>
      </c>
    </row>
    <row r="48" spans="1:17" ht="28.5" customHeight="1">
      <c r="A48" s="20" t="s">
        <v>34</v>
      </c>
      <c r="B48" s="26">
        <f>3588875.33</f>
        <v>3588875.33</v>
      </c>
      <c r="C48" s="26">
        <f>3588875.33</f>
        <v>3588875.33</v>
      </c>
      <c r="D48" s="26">
        <f>3588875.33</f>
        <v>3588875.33</v>
      </c>
      <c r="E48" s="26">
        <f>0</f>
        <v>0</v>
      </c>
      <c r="F48" s="26">
        <f>0</f>
        <v>0</v>
      </c>
      <c r="G48" s="26">
        <f>3588875.33</f>
        <v>3588875.33</v>
      </c>
      <c r="H48" s="26">
        <f>0</f>
        <v>0</v>
      </c>
      <c r="I48" s="26">
        <f>0</f>
        <v>0</v>
      </c>
      <c r="J48" s="26">
        <f>0</f>
        <v>0</v>
      </c>
      <c r="K48" s="26">
        <f>0</f>
        <v>0</v>
      </c>
      <c r="L48" s="26">
        <f>0</f>
        <v>0</v>
      </c>
      <c r="M48" s="26">
        <f>0</f>
        <v>0</v>
      </c>
      <c r="N48" s="26">
        <f>0</f>
        <v>0</v>
      </c>
      <c r="O48" s="26">
        <f>0</f>
        <v>0</v>
      </c>
      <c r="P48" s="26">
        <f>0</f>
        <v>0</v>
      </c>
      <c r="Q48" s="26">
        <f>0</f>
        <v>0</v>
      </c>
    </row>
    <row r="49" spans="1:17" ht="28.5" customHeight="1">
      <c r="A49" s="20" t="s">
        <v>35</v>
      </c>
      <c r="B49" s="26">
        <f>54596381157.06</f>
        <v>54596381157.06</v>
      </c>
      <c r="C49" s="26">
        <f>54596381157.06</f>
        <v>54596381157.06</v>
      </c>
      <c r="D49" s="26">
        <f>18978732.4</f>
        <v>18978732.4</v>
      </c>
      <c r="E49" s="26">
        <f>18952888.63</f>
        <v>18952888.63</v>
      </c>
      <c r="F49" s="26">
        <f>6795.81</f>
        <v>6795.81</v>
      </c>
      <c r="G49" s="26">
        <f>19047.96</f>
        <v>19047.96</v>
      </c>
      <c r="H49" s="26">
        <f>0</f>
        <v>0</v>
      </c>
      <c r="I49" s="26">
        <f>14869806.25</f>
        <v>14869806.25</v>
      </c>
      <c r="J49" s="26">
        <f>54552291498.79</f>
        <v>54552291498.79</v>
      </c>
      <c r="K49" s="26">
        <f>1880227.6</f>
        <v>1880227.6</v>
      </c>
      <c r="L49" s="26">
        <f>8256436.57</f>
        <v>8256436.57</v>
      </c>
      <c r="M49" s="26">
        <f>10172.33</f>
        <v>10172.33</v>
      </c>
      <c r="N49" s="26">
        <f>94283.12</f>
        <v>94283.12</v>
      </c>
      <c r="O49" s="26">
        <f>0</f>
        <v>0</v>
      </c>
      <c r="P49" s="26">
        <f>0</f>
        <v>0</v>
      </c>
      <c r="Q49" s="26">
        <f>0</f>
        <v>0</v>
      </c>
    </row>
    <row r="50" spans="1:17" ht="28.5" customHeight="1">
      <c r="A50" s="20" t="s">
        <v>36</v>
      </c>
      <c r="B50" s="26">
        <f>2662469932.96</f>
        <v>2662469932.96</v>
      </c>
      <c r="C50" s="26">
        <f>2662290057</f>
        <v>2662290057</v>
      </c>
      <c r="D50" s="26">
        <f>336580.21</f>
        <v>336580.21</v>
      </c>
      <c r="E50" s="26">
        <f>177286.32</f>
        <v>177286.32</v>
      </c>
      <c r="F50" s="26">
        <f>33915.58</f>
        <v>33915.58</v>
      </c>
      <c r="G50" s="26">
        <f>125378.31</f>
        <v>125378.31</v>
      </c>
      <c r="H50" s="26">
        <f>0</f>
        <v>0</v>
      </c>
      <c r="I50" s="26">
        <f>52416</f>
        <v>52416</v>
      </c>
      <c r="J50" s="26">
        <f>2660028486.35</f>
        <v>2660028486.35</v>
      </c>
      <c r="K50" s="26">
        <f>8546.32</f>
        <v>8546.32</v>
      </c>
      <c r="L50" s="26">
        <f>1571635.08</f>
        <v>1571635.08</v>
      </c>
      <c r="M50" s="26">
        <f>135377.78</f>
        <v>135377.78</v>
      </c>
      <c r="N50" s="26">
        <f>157015.26</f>
        <v>157015.26</v>
      </c>
      <c r="O50" s="26">
        <f>179875.96</f>
        <v>179875.96</v>
      </c>
      <c r="P50" s="26">
        <f>179875.96</f>
        <v>179875.96</v>
      </c>
      <c r="Q50" s="26">
        <f>0</f>
        <v>0</v>
      </c>
    </row>
    <row r="51" spans="1:17" ht="35.25" customHeight="1">
      <c r="A51" s="30" t="s">
        <v>44</v>
      </c>
      <c r="B51" s="25">
        <f>23763906883.62</f>
        <v>23763906883.62</v>
      </c>
      <c r="C51" s="25">
        <f>23711728333.28</f>
        <v>23711728333.28</v>
      </c>
      <c r="D51" s="25">
        <f>624250952.68</f>
        <v>624250952.68</v>
      </c>
      <c r="E51" s="25">
        <f>237781427.28</f>
        <v>237781427.28</v>
      </c>
      <c r="F51" s="25">
        <f>13751174.15</f>
        <v>13751174.15</v>
      </c>
      <c r="G51" s="25">
        <f>366078548.57</f>
        <v>366078548.57</v>
      </c>
      <c r="H51" s="25">
        <f>6639802.68</f>
        <v>6639802.68</v>
      </c>
      <c r="I51" s="25">
        <f>191720.77</f>
        <v>191720.77</v>
      </c>
      <c r="J51" s="25">
        <f>10036239.21</f>
        <v>10036239.21</v>
      </c>
      <c r="K51" s="25">
        <f>29387079.73</f>
        <v>29387079.73</v>
      </c>
      <c r="L51" s="25">
        <f>6214850648.44</f>
        <v>6214850648.44</v>
      </c>
      <c r="M51" s="25">
        <f>16655730579.15</f>
        <v>16655730579.15</v>
      </c>
      <c r="N51" s="25">
        <f>177281113.3</f>
        <v>177281113.3</v>
      </c>
      <c r="O51" s="25">
        <f>52178550.34</f>
        <v>52178550.34</v>
      </c>
      <c r="P51" s="25">
        <f>32126615.64</f>
        <v>32126615.64</v>
      </c>
      <c r="Q51" s="25">
        <f>20051934.7</f>
        <v>20051934.7</v>
      </c>
    </row>
    <row r="52" spans="1:17" ht="28.5" customHeight="1">
      <c r="A52" s="20" t="s">
        <v>37</v>
      </c>
      <c r="B52" s="26">
        <f>6464010505.81</f>
        <v>6464010505.81</v>
      </c>
      <c r="C52" s="26">
        <f>6461973795.76</f>
        <v>6461973795.76</v>
      </c>
      <c r="D52" s="26">
        <f>80836932.04</f>
        <v>80836932.04</v>
      </c>
      <c r="E52" s="26">
        <f>3612427.77</f>
        <v>3612427.77</v>
      </c>
      <c r="F52" s="26">
        <f>2282668.04</f>
        <v>2282668.04</v>
      </c>
      <c r="G52" s="26">
        <f>74352879.72</f>
        <v>74352879.72</v>
      </c>
      <c r="H52" s="26">
        <f>588956.51</f>
        <v>588956.51</v>
      </c>
      <c r="I52" s="26">
        <f>0</f>
        <v>0</v>
      </c>
      <c r="J52" s="26">
        <f>73302.27</f>
        <v>73302.27</v>
      </c>
      <c r="K52" s="26">
        <f>1240266</f>
        <v>1240266</v>
      </c>
      <c r="L52" s="26">
        <f>983278387.26</f>
        <v>983278387.26</v>
      </c>
      <c r="M52" s="26">
        <f>5332685654.54</f>
        <v>5332685654.54</v>
      </c>
      <c r="N52" s="26">
        <f>63859253.65</f>
        <v>63859253.65</v>
      </c>
      <c r="O52" s="26">
        <f>2036710.05</f>
        <v>2036710.05</v>
      </c>
      <c r="P52" s="26">
        <f>641904.95</f>
        <v>641904.95</v>
      </c>
      <c r="Q52" s="26">
        <f>1394805.1</f>
        <v>1394805.1</v>
      </c>
    </row>
    <row r="53" spans="1:17" ht="28.5" customHeight="1">
      <c r="A53" s="20" t="s">
        <v>38</v>
      </c>
      <c r="B53" s="26">
        <f>17299896377.81</f>
        <v>17299896377.81</v>
      </c>
      <c r="C53" s="26">
        <f>17249754537.52</f>
        <v>17249754537.52</v>
      </c>
      <c r="D53" s="26">
        <f>543414020.64</f>
        <v>543414020.64</v>
      </c>
      <c r="E53" s="26">
        <f>234168999.51</f>
        <v>234168999.51</v>
      </c>
      <c r="F53" s="26">
        <f>11468506.11</f>
        <v>11468506.11</v>
      </c>
      <c r="G53" s="26">
        <f>291725668.85</f>
        <v>291725668.85</v>
      </c>
      <c r="H53" s="26">
        <f>6050846.17</f>
        <v>6050846.17</v>
      </c>
      <c r="I53" s="26">
        <f>191720.77</f>
        <v>191720.77</v>
      </c>
      <c r="J53" s="26">
        <f>9962936.94</f>
        <v>9962936.94</v>
      </c>
      <c r="K53" s="26">
        <f>28146813.73</f>
        <v>28146813.73</v>
      </c>
      <c r="L53" s="26">
        <f>5231572261.18</f>
        <v>5231572261.18</v>
      </c>
      <c r="M53" s="26">
        <f>11323044924.61</f>
        <v>11323044924.61</v>
      </c>
      <c r="N53" s="26">
        <f>113421859.65</f>
        <v>113421859.65</v>
      </c>
      <c r="O53" s="26">
        <f>50141840.29</f>
        <v>50141840.29</v>
      </c>
      <c r="P53" s="26">
        <f>31484710.69</f>
        <v>31484710.69</v>
      </c>
      <c r="Q53" s="26">
        <f>18657129.6</f>
        <v>18657129.6</v>
      </c>
    </row>
    <row r="54" spans="1:17" ht="35.25" customHeight="1">
      <c r="A54" s="30" t="s">
        <v>45</v>
      </c>
      <c r="B54" s="25">
        <f>6882982042.06</f>
        <v>6882982042.06</v>
      </c>
      <c r="C54" s="25">
        <f>6854735489.85</f>
        <v>6854735489.85</v>
      </c>
      <c r="D54" s="25">
        <f>1475546264.77</f>
        <v>1475546264.77</v>
      </c>
      <c r="E54" s="25">
        <f>839797456.82</f>
        <v>839797456.82</v>
      </c>
      <c r="F54" s="25">
        <f>17570005.24</f>
        <v>17570005.24</v>
      </c>
      <c r="G54" s="25">
        <f>603566414.03</f>
        <v>603566414.03</v>
      </c>
      <c r="H54" s="25">
        <f>14612388.68</f>
        <v>14612388.68</v>
      </c>
      <c r="I54" s="25">
        <f>2083.31</f>
        <v>2083.31</v>
      </c>
      <c r="J54" s="25">
        <f>2889348.47</f>
        <v>2889348.47</v>
      </c>
      <c r="K54" s="25">
        <f>15212050.61</f>
        <v>15212050.61</v>
      </c>
      <c r="L54" s="25">
        <f>3177727536.08</f>
        <v>3177727536.08</v>
      </c>
      <c r="M54" s="25">
        <f>1939569163.13</f>
        <v>1939569163.13</v>
      </c>
      <c r="N54" s="25">
        <f>243789043.48</f>
        <v>243789043.48</v>
      </c>
      <c r="O54" s="25">
        <f>28246552.21</f>
        <v>28246552.21</v>
      </c>
      <c r="P54" s="25">
        <f>25108131.68</f>
        <v>25108131.68</v>
      </c>
      <c r="Q54" s="25">
        <f>3138420.53</f>
        <v>3138420.53</v>
      </c>
    </row>
    <row r="55" spans="1:17" ht="28.5" customHeight="1">
      <c r="A55" s="20" t="s">
        <v>39</v>
      </c>
      <c r="B55" s="26">
        <f>1041762338.23</f>
        <v>1041762338.23</v>
      </c>
      <c r="C55" s="26">
        <f>1041642797.79</f>
        <v>1041642797.79</v>
      </c>
      <c r="D55" s="26">
        <f>67455616.99</f>
        <v>67455616.99</v>
      </c>
      <c r="E55" s="26">
        <f>10050589.01</f>
        <v>10050589.01</v>
      </c>
      <c r="F55" s="26">
        <f>4058534.09</f>
        <v>4058534.09</v>
      </c>
      <c r="G55" s="26">
        <f>52132855.65</f>
        <v>52132855.65</v>
      </c>
      <c r="H55" s="26">
        <f>1213638.24</f>
        <v>1213638.24</v>
      </c>
      <c r="I55" s="26">
        <f>0</f>
        <v>0</v>
      </c>
      <c r="J55" s="26">
        <f>968978.35</f>
        <v>968978.35</v>
      </c>
      <c r="K55" s="26">
        <f>2458271.36</f>
        <v>2458271.36</v>
      </c>
      <c r="L55" s="26">
        <f>435326558.64</f>
        <v>435326558.64</v>
      </c>
      <c r="M55" s="26">
        <f>519765902.85</f>
        <v>519765902.85</v>
      </c>
      <c r="N55" s="26">
        <f>15667469.6</f>
        <v>15667469.6</v>
      </c>
      <c r="O55" s="26">
        <f>119540.44</f>
        <v>119540.44</v>
      </c>
      <c r="P55" s="26">
        <f>114060.38</f>
        <v>114060.38</v>
      </c>
      <c r="Q55" s="26">
        <f>5480.06</f>
        <v>5480.06</v>
      </c>
    </row>
    <row r="56" spans="1:17" ht="47.25" customHeight="1">
      <c r="A56" s="20" t="s">
        <v>79</v>
      </c>
      <c r="B56" s="26">
        <f>665904617.91</f>
        <v>665904617.91</v>
      </c>
      <c r="C56" s="26">
        <f>665902400.63</f>
        <v>665902400.63</v>
      </c>
      <c r="D56" s="26">
        <f>288595924.97</f>
        <v>288595924.97</v>
      </c>
      <c r="E56" s="26">
        <f>270094722.84</f>
        <v>270094722.84</v>
      </c>
      <c r="F56" s="26">
        <f>3498934.16</f>
        <v>3498934.16</v>
      </c>
      <c r="G56" s="26">
        <f>13513413.93</f>
        <v>13513413.93</v>
      </c>
      <c r="H56" s="26">
        <f>1488854.04</f>
        <v>1488854.04</v>
      </c>
      <c r="I56" s="26">
        <f>0</f>
        <v>0</v>
      </c>
      <c r="J56" s="26">
        <f>22988.02</f>
        <v>22988.02</v>
      </c>
      <c r="K56" s="26">
        <f>887749.37</f>
        <v>887749.37</v>
      </c>
      <c r="L56" s="26">
        <f>227462667.65</f>
        <v>227462667.65</v>
      </c>
      <c r="M56" s="26">
        <f>145816068.93</f>
        <v>145816068.93</v>
      </c>
      <c r="N56" s="26">
        <f>3117001.69</f>
        <v>3117001.69</v>
      </c>
      <c r="O56" s="26">
        <f>2217.28</f>
        <v>2217.28</v>
      </c>
      <c r="P56" s="26">
        <f>1232</f>
        <v>1232</v>
      </c>
      <c r="Q56" s="26">
        <f>985.28</f>
        <v>985.28</v>
      </c>
    </row>
    <row r="57" spans="1:17" ht="35.25" customHeight="1">
      <c r="A57" s="20" t="s">
        <v>40</v>
      </c>
      <c r="B57" s="26">
        <f>5175315085.92</f>
        <v>5175315085.92</v>
      </c>
      <c r="C57" s="26">
        <f>5147190291.43</f>
        <v>5147190291.43</v>
      </c>
      <c r="D57" s="26">
        <f>1119494722.81</f>
        <v>1119494722.81</v>
      </c>
      <c r="E57" s="26">
        <f>559652144.97</f>
        <v>559652144.97</v>
      </c>
      <c r="F57" s="26">
        <f>10012536.99</f>
        <v>10012536.99</v>
      </c>
      <c r="G57" s="26">
        <f>537920144.45</f>
        <v>537920144.45</v>
      </c>
      <c r="H57" s="26">
        <f>11909896.4</f>
        <v>11909896.4</v>
      </c>
      <c r="I57" s="26">
        <f>2083.31</f>
        <v>2083.31</v>
      </c>
      <c r="J57" s="26">
        <f>1897382.1</f>
        <v>1897382.1</v>
      </c>
      <c r="K57" s="26">
        <f>11866029.88</f>
        <v>11866029.88</v>
      </c>
      <c r="L57" s="26">
        <f>2514938309.79</f>
        <v>2514938309.79</v>
      </c>
      <c r="M57" s="26">
        <f>1273987191.35</f>
        <v>1273987191.35</v>
      </c>
      <c r="N57" s="26">
        <f>225004572.19</f>
        <v>225004572.19</v>
      </c>
      <c r="O57" s="26">
        <f>28124794.49</f>
        <v>28124794.49</v>
      </c>
      <c r="P57" s="26">
        <f>24992839.3</f>
        <v>24992839.3</v>
      </c>
      <c r="Q57" s="26">
        <f>3131955.19</f>
        <v>3131955.19</v>
      </c>
    </row>
    <row r="68" spans="1:13" ht="75" customHeight="1">
      <c r="A68" s="38" t="str">
        <f>CONCATENATE("Informacja z wykonania budżetów jednostek samorządu terytorialnego za ",$C$95," ",$B$96," roku")</f>
        <v>Informacja z wykonania budżetów jednostek samorządu terytorialnego za IV Kwartały 2021 roku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9" t="s">
        <v>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2" spans="2:12" ht="13.5" customHeight="1">
      <c r="B72" s="68" t="s">
        <v>0</v>
      </c>
      <c r="C72" s="69"/>
      <c r="D72" s="69"/>
      <c r="E72" s="70"/>
      <c r="F72" s="56" t="s">
        <v>69</v>
      </c>
      <c r="G72" s="47" t="s">
        <v>75</v>
      </c>
      <c r="H72" s="48"/>
      <c r="I72" s="48"/>
      <c r="J72" s="48"/>
      <c r="K72" s="48"/>
      <c r="L72" s="49"/>
    </row>
    <row r="73" spans="2:12" ht="13.5" customHeight="1">
      <c r="B73" s="71"/>
      <c r="C73" s="72"/>
      <c r="D73" s="72"/>
      <c r="E73" s="73"/>
      <c r="F73" s="41"/>
      <c r="G73" s="31" t="s">
        <v>70</v>
      </c>
      <c r="H73" s="31" t="s">
        <v>67</v>
      </c>
      <c r="I73" s="31" t="s">
        <v>68</v>
      </c>
      <c r="J73" s="31" t="s">
        <v>71</v>
      </c>
      <c r="K73" s="31" t="s">
        <v>72</v>
      </c>
      <c r="L73" s="37" t="s">
        <v>73</v>
      </c>
    </row>
    <row r="74" spans="2:12" ht="13.5" customHeight="1">
      <c r="B74" s="71"/>
      <c r="C74" s="72"/>
      <c r="D74" s="72"/>
      <c r="E74" s="73"/>
      <c r="F74" s="41"/>
      <c r="G74" s="31"/>
      <c r="H74" s="31"/>
      <c r="I74" s="31"/>
      <c r="J74" s="31"/>
      <c r="K74" s="31"/>
      <c r="L74" s="37"/>
    </row>
    <row r="75" spans="2:12" ht="11.25" customHeight="1">
      <c r="B75" s="71"/>
      <c r="C75" s="72"/>
      <c r="D75" s="72"/>
      <c r="E75" s="73"/>
      <c r="F75" s="41"/>
      <c r="G75" s="31"/>
      <c r="H75" s="31"/>
      <c r="I75" s="31"/>
      <c r="J75" s="31"/>
      <c r="K75" s="31"/>
      <c r="L75" s="37"/>
    </row>
    <row r="76" spans="2:12" ht="20.25" customHeight="1">
      <c r="B76" s="74"/>
      <c r="C76" s="75"/>
      <c r="D76" s="75"/>
      <c r="E76" s="76"/>
      <c r="F76" s="42"/>
      <c r="G76" s="31"/>
      <c r="H76" s="31"/>
      <c r="I76" s="31"/>
      <c r="J76" s="31"/>
      <c r="K76" s="31"/>
      <c r="L76" s="37"/>
    </row>
    <row r="77" spans="2:12" ht="13.5" customHeight="1">
      <c r="B77" s="31">
        <v>1</v>
      </c>
      <c r="C77" s="31"/>
      <c r="D77" s="31"/>
      <c r="E77" s="31"/>
      <c r="F77" s="17">
        <v>2</v>
      </c>
      <c r="G77" s="17">
        <v>3</v>
      </c>
      <c r="H77" s="17">
        <v>4</v>
      </c>
      <c r="I77" s="17">
        <v>5</v>
      </c>
      <c r="J77" s="17">
        <v>6</v>
      </c>
      <c r="K77" s="17">
        <v>7</v>
      </c>
      <c r="L77" s="17">
        <v>8</v>
      </c>
    </row>
    <row r="78" spans="2:12" ht="33.75" customHeight="1">
      <c r="B78" s="53" t="s">
        <v>54</v>
      </c>
      <c r="C78" s="54"/>
      <c r="D78" s="54"/>
      <c r="E78" s="55"/>
      <c r="F78" s="24">
        <f>4659657731.35</f>
        <v>4659657731.35</v>
      </c>
      <c r="G78" s="24">
        <f>1185342821.94</f>
        <v>1185342821.94</v>
      </c>
      <c r="H78" s="24">
        <f>70928246.07</f>
        <v>70928246.07</v>
      </c>
      <c r="I78" s="24">
        <f>292850960.18</f>
        <v>292850960.18</v>
      </c>
      <c r="J78" s="24">
        <f>807412123.79</f>
        <v>807412123.79</v>
      </c>
      <c r="K78" s="24">
        <f>14151491.9</f>
        <v>14151491.9</v>
      </c>
      <c r="L78" s="24">
        <f>3474314909.41</f>
        <v>3474314909.41</v>
      </c>
    </row>
    <row r="79" spans="2:12" ht="33.75" customHeight="1">
      <c r="B79" s="50" t="s">
        <v>55</v>
      </c>
      <c r="C79" s="51"/>
      <c r="D79" s="51"/>
      <c r="E79" s="52"/>
      <c r="F79" s="27">
        <f>19690846.25</f>
        <v>19690846.25</v>
      </c>
      <c r="G79" s="27">
        <f>7497693.55</f>
        <v>7497693.55</v>
      </c>
      <c r="H79" s="27">
        <f>0</f>
        <v>0</v>
      </c>
      <c r="I79" s="27">
        <f>0</f>
        <v>0</v>
      </c>
      <c r="J79" s="27">
        <f>7497693.55</f>
        <v>7497693.55</v>
      </c>
      <c r="K79" s="27">
        <f>0</f>
        <v>0</v>
      </c>
      <c r="L79" s="27">
        <f>12193152.7</f>
        <v>12193152.7</v>
      </c>
    </row>
    <row r="80" spans="2:12" ht="33.75" customHeight="1">
      <c r="B80" s="50" t="s">
        <v>56</v>
      </c>
      <c r="C80" s="51"/>
      <c r="D80" s="51"/>
      <c r="E80" s="52"/>
      <c r="F80" s="27">
        <f>248839351.83</f>
        <v>248839351.83</v>
      </c>
      <c r="G80" s="27">
        <f>100335588.96</f>
        <v>100335588.96</v>
      </c>
      <c r="H80" s="27">
        <f>200000</f>
        <v>200000</v>
      </c>
      <c r="I80" s="27">
        <f>4000000</f>
        <v>4000000</v>
      </c>
      <c r="J80" s="27">
        <f>96026002.92</f>
        <v>96026002.92</v>
      </c>
      <c r="K80" s="27">
        <f>109586.04</f>
        <v>109586.04</v>
      </c>
      <c r="L80" s="27">
        <f>148503762.87</f>
        <v>148503762.87</v>
      </c>
    </row>
    <row r="81" spans="2:12" ht="22.5" customHeight="1">
      <c r="B81" s="50" t="s">
        <v>57</v>
      </c>
      <c r="C81" s="51"/>
      <c r="D81" s="51"/>
      <c r="E81" s="52"/>
      <c r="F81" s="27">
        <f>92422965.71</f>
        <v>92422965.71</v>
      </c>
      <c r="G81" s="27">
        <f>46019869.66</f>
        <v>46019869.66</v>
      </c>
      <c r="H81" s="27">
        <f>0</f>
        <v>0</v>
      </c>
      <c r="I81" s="27">
        <f>5158358.93</f>
        <v>5158358.93</v>
      </c>
      <c r="J81" s="27">
        <f>40861510.73</f>
        <v>40861510.73</v>
      </c>
      <c r="K81" s="27">
        <f>0</f>
        <v>0</v>
      </c>
      <c r="L81" s="27">
        <f>46403096.05</f>
        <v>46403096.05</v>
      </c>
    </row>
    <row r="82" spans="2:12" ht="33.75" customHeight="1">
      <c r="B82" s="50" t="s">
        <v>58</v>
      </c>
      <c r="C82" s="51"/>
      <c r="D82" s="51"/>
      <c r="E82" s="52"/>
      <c r="F82" s="27">
        <f>15933639.65</f>
        <v>15933639.65</v>
      </c>
      <c r="G82" s="27">
        <f>13002048.69</f>
        <v>13002048.69</v>
      </c>
      <c r="H82" s="27">
        <f>0</f>
        <v>0</v>
      </c>
      <c r="I82" s="27">
        <f>0</f>
        <v>0</v>
      </c>
      <c r="J82" s="27">
        <f>13002048.69</f>
        <v>13002048.69</v>
      </c>
      <c r="K82" s="27">
        <f>0</f>
        <v>0</v>
      </c>
      <c r="L82" s="27">
        <f>2931590.96</f>
        <v>2931590.96</v>
      </c>
    </row>
    <row r="83" spans="2:12" ht="33.75" customHeight="1">
      <c r="B83" s="50" t="s">
        <v>59</v>
      </c>
      <c r="C83" s="51"/>
      <c r="D83" s="51"/>
      <c r="E83" s="52"/>
      <c r="F83" s="27">
        <f>32144821.42</f>
        <v>32144821.42</v>
      </c>
      <c r="G83" s="27">
        <f>15318999.57</f>
        <v>15318999.57</v>
      </c>
      <c r="H83" s="27">
        <f>0</f>
        <v>0</v>
      </c>
      <c r="I83" s="27">
        <f>0</f>
        <v>0</v>
      </c>
      <c r="J83" s="27">
        <f>15318999.57</f>
        <v>15318999.57</v>
      </c>
      <c r="K83" s="27">
        <f>0</f>
        <v>0</v>
      </c>
      <c r="L83" s="27">
        <f>16825821.85</f>
        <v>16825821.85</v>
      </c>
    </row>
    <row r="84" spans="2:12" ht="33" customHeight="1">
      <c r="B84" s="53" t="s">
        <v>60</v>
      </c>
      <c r="C84" s="54"/>
      <c r="D84" s="54"/>
      <c r="E84" s="55"/>
      <c r="F84" s="24">
        <f>3281947.94</f>
        <v>3281947.94</v>
      </c>
      <c r="G84" s="24">
        <f>1553768.46</f>
        <v>1553768.46</v>
      </c>
      <c r="H84" s="24">
        <f>0</f>
        <v>0</v>
      </c>
      <c r="I84" s="24">
        <f>0</f>
        <v>0</v>
      </c>
      <c r="J84" s="24">
        <f>1553768.46</f>
        <v>1553768.46</v>
      </c>
      <c r="K84" s="24">
        <f>0</f>
        <v>0</v>
      </c>
      <c r="L84" s="24">
        <f>1728179.48</f>
        <v>1728179.48</v>
      </c>
    </row>
    <row r="87" spans="1:13" ht="75" customHeight="1">
      <c r="A87" s="38" t="str">
        <f>CONCATENATE("Informacja z wykonania budżetów jednostek samorządu terytorialnego za ",$C$95," ",$B$96," roku")</f>
        <v>Informacja z wykonania budżetów jednostek samorządu terytorialnego za IV Kwartały 2021 roku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ht="13.5" customHeight="1">
      <c r="B88" s="3"/>
    </row>
    <row r="89" spans="2:11" ht="13.5" customHeight="1">
      <c r="B89" s="4"/>
      <c r="C89" s="61"/>
      <c r="D89" s="62"/>
      <c r="E89" s="62"/>
      <c r="F89" s="63"/>
      <c r="G89" s="61" t="s">
        <v>3</v>
      </c>
      <c r="H89" s="63"/>
      <c r="I89" s="61" t="s">
        <v>4</v>
      </c>
      <c r="J89" s="63"/>
      <c r="K89" s="4"/>
    </row>
    <row r="90" spans="2:11" ht="13.5" customHeight="1">
      <c r="B90" s="5"/>
      <c r="C90" s="53" t="s">
        <v>5</v>
      </c>
      <c r="D90" s="54"/>
      <c r="E90" s="54"/>
      <c r="F90" s="55"/>
      <c r="G90" s="57">
        <f>2447</f>
        <v>2447</v>
      </c>
      <c r="H90" s="58"/>
      <c r="I90" s="59">
        <f>19359740591.53</f>
        <v>19359740591.53</v>
      </c>
      <c r="J90" s="60"/>
      <c r="K90" s="6"/>
    </row>
    <row r="91" spans="2:11" ht="13.5" customHeight="1">
      <c r="B91" s="5"/>
      <c r="C91" s="50" t="s">
        <v>6</v>
      </c>
      <c r="D91" s="51"/>
      <c r="E91" s="51"/>
      <c r="F91" s="52"/>
      <c r="G91" s="64">
        <f>360</f>
        <v>360</v>
      </c>
      <c r="H91" s="65"/>
      <c r="I91" s="66">
        <f>-1917902629.04</f>
        <v>-1917902629.04</v>
      </c>
      <c r="J91" s="67"/>
      <c r="K91" s="6"/>
    </row>
    <row r="92" spans="2:11" ht="13.5" customHeight="1">
      <c r="B92" s="5"/>
      <c r="C92" s="53" t="s">
        <v>7</v>
      </c>
      <c r="D92" s="54"/>
      <c r="E92" s="54"/>
      <c r="F92" s="55"/>
      <c r="G92" s="57">
        <f>0</f>
        <v>0</v>
      </c>
      <c r="H92" s="58"/>
      <c r="I92" s="59">
        <f>0</f>
        <v>0</v>
      </c>
      <c r="J92" s="60"/>
      <c r="K92" s="6"/>
    </row>
    <row r="95" spans="1:3" ht="13.5" customHeight="1">
      <c r="A95" s="7" t="s">
        <v>8</v>
      </c>
      <c r="B95" s="7">
        <f>4</f>
        <v>4</v>
      </c>
      <c r="C95" s="7" t="str">
        <f>IF(B95=1,"I Kwartał",IF(B95=2,"II Kwartały",IF(B95=3,"III Kwartały",IF(B95=4,"IV Kwartały","-"))))</f>
        <v>IV Kwartały</v>
      </c>
    </row>
    <row r="96" spans="1:3" ht="13.5" customHeight="1">
      <c r="A96" s="7" t="s">
        <v>9</v>
      </c>
      <c r="B96" s="7">
        <f>2021</f>
        <v>2021</v>
      </c>
      <c r="C96" s="8"/>
    </row>
    <row r="97" spans="1:3" ht="13.5" customHeight="1">
      <c r="A97" s="7" t="s">
        <v>10</v>
      </c>
      <c r="B97" s="9" t="str">
        <f>"Mar 21 2022 12:00AM"</f>
        <v>Mar 21 2022 12:00AM</v>
      </c>
      <c r="C97" s="8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2016-08-26T11:29:32Z</cp:lastPrinted>
  <dcterms:created xsi:type="dcterms:W3CDTF">2001-05-17T08:58:03Z</dcterms:created>
  <dcterms:modified xsi:type="dcterms:W3CDTF">2022-04-05T07:04:04Z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2022-04-05T09:03:43.5464891+02:00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GRN-add9cbb0-70bc-4b61-973c-6f84caf544fc</vt:lpwstr>
  </property>
  <property fmtid="{D5CDD505-2E9C-101B-9397-08002B2CF9AE}" pid="7" name="MFHash">
    <vt:lpwstr>gell1YsYwQVWf3Uff0Agb1tHzpiPRLkQE+PNWJnu9Js=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