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3\Listy 2023\"/>
    </mc:Choice>
  </mc:AlternateContent>
  <xr:revisionPtr revIDLastSave="0" documentId="13_ncr:1_{CB03766C-6267-4EC1-AAD4-0DBC9E3452CE}" xr6:coauthVersionLast="47" xr6:coauthVersionMax="47" xr10:uidLastSave="{00000000-0000-0000-0000-000000000000}"/>
  <bookViews>
    <workbookView xWindow="-120" yWindow="-120" windowWidth="29040" windowHeight="15720" tabRatio="500" activeTab="2" xr2:uid="{00000000-000D-0000-FFFF-FFFF00000000}"/>
  </bookViews>
  <sheets>
    <sheet name="02 - dolnośląskie" sheetId="6" r:id="rId1"/>
    <sheet name="pow podst" sheetId="1" r:id="rId2"/>
    <sheet name="gm podst" sheetId="2" r:id="rId3"/>
    <sheet name="pow rez" sheetId="3" r:id="rId4"/>
    <sheet name="gm rez" sheetId="4" r:id="rId5"/>
  </sheets>
  <definedNames>
    <definedName name="_xlnm._FilterDatabase" localSheetId="2" hidden="1">'gm podst'!$A$2:$AW$101</definedName>
    <definedName name="_xlnm._FilterDatabase" localSheetId="4" hidden="1">'gm rez'!$A$2:$AC$2</definedName>
    <definedName name="_xlnm._FilterDatabase" localSheetId="1" hidden="1">'pow podst'!$A$2:$AA$38</definedName>
    <definedName name="_xlnm.Print_Area" localSheetId="0">'02 - dolnośląskie'!$A$1:$O$36</definedName>
    <definedName name="_xlnm.Print_Area" localSheetId="2">'gm podst'!$A$1:$X$108</definedName>
    <definedName name="_xlnm.Print_Area" localSheetId="4">'gm rez'!$A$1:$X$52</definedName>
    <definedName name="_xlnm.Print_Area" localSheetId="1">'pow podst'!$A$1:$W$45</definedName>
    <definedName name="_xlnm.Print_Area" localSheetId="3">'pow rez'!$A$1:$W$22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7" i="2" l="1"/>
  <c r="L8" i="1"/>
  <c r="L28" i="1" l="1"/>
  <c r="AB95" i="2"/>
  <c r="AB97" i="2"/>
  <c r="Z95" i="2"/>
  <c r="AA95" i="2" s="1"/>
  <c r="Z97" i="2"/>
  <c r="AA97" i="2" s="1"/>
  <c r="Y95" i="2"/>
  <c r="Y97" i="2"/>
  <c r="L96" i="2"/>
  <c r="Z96" i="2" s="1"/>
  <c r="AA96" i="2" s="1"/>
  <c r="S96" i="2" l="1"/>
  <c r="Y96" i="2" s="1"/>
  <c r="M96" i="2"/>
  <c r="AB96" i="2" s="1"/>
  <c r="AA32" i="1"/>
  <c r="AA33" i="1"/>
  <c r="AA34" i="1"/>
  <c r="Z32" i="1"/>
  <c r="Z33" i="1"/>
  <c r="Z34" i="1"/>
  <c r="Y32" i="1"/>
  <c r="Y33" i="1"/>
  <c r="Y34" i="1"/>
  <c r="X32" i="1"/>
  <c r="X33" i="1"/>
  <c r="X34" i="1"/>
  <c r="K32" i="1"/>
  <c r="R32" i="1" s="1"/>
  <c r="M70" i="2"/>
  <c r="L32" i="1" l="1"/>
  <c r="M91" i="2"/>
  <c r="L31" i="1"/>
  <c r="R24" i="1" l="1"/>
  <c r="L24" i="1"/>
  <c r="M82" i="2"/>
  <c r="L16" i="1"/>
  <c r="M80" i="2"/>
  <c r="M47" i="2"/>
  <c r="AB92" i="2"/>
  <c r="AB93" i="2"/>
  <c r="AB94" i="2"/>
  <c r="AA92" i="2"/>
  <c r="AA93" i="2"/>
  <c r="Z92" i="2"/>
  <c r="Z93" i="2"/>
  <c r="Z94" i="2"/>
  <c r="AA94" i="2" s="1"/>
  <c r="Y92" i="2"/>
  <c r="Y93" i="2"/>
  <c r="Y94" i="2"/>
  <c r="M64" i="2" l="1"/>
  <c r="M35" i="2" l="1"/>
  <c r="S88" i="2"/>
  <c r="M88" i="2"/>
  <c r="S26" i="2"/>
  <c r="M26" i="2"/>
  <c r="M41" i="2"/>
  <c r="M56" i="2"/>
  <c r="M51" i="2"/>
  <c r="M67" i="2"/>
  <c r="L45" i="2" l="1"/>
  <c r="S45" i="2" s="1"/>
  <c r="L9" i="1"/>
  <c r="M34" i="2"/>
  <c r="R20" i="1"/>
  <c r="L20" i="1"/>
  <c r="M45" i="2" l="1"/>
  <c r="Z25" i="2"/>
  <c r="Z26" i="2"/>
  <c r="Z27" i="2"/>
  <c r="Z28" i="2"/>
  <c r="Z29" i="2"/>
  <c r="Z30" i="2"/>
  <c r="Z31" i="2"/>
  <c r="Z32" i="2"/>
  <c r="Z33" i="2"/>
  <c r="Z34" i="2"/>
  <c r="AA31" i="1"/>
  <c r="Y31" i="1"/>
  <c r="Z31" i="1" s="1"/>
  <c r="X31" i="1"/>
  <c r="R17" i="1"/>
  <c r="L17" i="1"/>
  <c r="L48" i="2"/>
  <c r="M48" i="2" s="1"/>
  <c r="AB90" i="2"/>
  <c r="AB91" i="2"/>
  <c r="Z90" i="2"/>
  <c r="AA90" i="2" s="1"/>
  <c r="Z91" i="2"/>
  <c r="AA91" i="2" s="1"/>
  <c r="Y90" i="2"/>
  <c r="Y91" i="2"/>
  <c r="S48" i="2" l="1"/>
  <c r="M89" i="2"/>
  <c r="M33" i="2"/>
  <c r="S76" i="2"/>
  <c r="M76" i="2"/>
  <c r="R19" i="1"/>
  <c r="L19" i="1"/>
  <c r="R25" i="1"/>
  <c r="L25" i="1"/>
  <c r="S77" i="2"/>
  <c r="M77" i="2"/>
  <c r="M69" i="2"/>
  <c r="S28" i="2"/>
  <c r="L10" i="1"/>
  <c r="S15" i="1"/>
  <c r="L15" i="1"/>
  <c r="K18" i="1"/>
  <c r="R18" i="1" s="1"/>
  <c r="M39" i="2"/>
  <c r="L81" i="2"/>
  <c r="S81" i="2" s="1"/>
  <c r="S79" i="2"/>
  <c r="Z89" i="2" l="1"/>
  <c r="AA89" i="2" s="1"/>
  <c r="Y89" i="2"/>
  <c r="AB89" i="2"/>
  <c r="M81" i="2"/>
  <c r="L18" i="1"/>
  <c r="R23" i="1"/>
  <c r="L23" i="1"/>
  <c r="M72" i="2"/>
  <c r="M55" i="2"/>
  <c r="S42" i="2"/>
  <c r="M42" i="2"/>
  <c r="S27" i="2"/>
  <c r="M27" i="2"/>
  <c r="L66" i="2"/>
  <c r="S66" i="2" s="1"/>
  <c r="L54" i="2"/>
  <c r="M54" i="2" s="1"/>
  <c r="M62" i="2"/>
  <c r="S30" i="2"/>
  <c r="M30" i="2"/>
  <c r="S37" i="2"/>
  <c r="M37" i="2"/>
  <c r="S54" i="2" l="1"/>
  <c r="M66" i="2"/>
  <c r="AA30" i="1"/>
  <c r="Y30" i="1"/>
  <c r="Z30" i="1" s="1"/>
  <c r="X30" i="1"/>
  <c r="K29" i="1"/>
  <c r="AB84" i="2"/>
  <c r="AB87" i="2"/>
  <c r="AB88" i="2"/>
  <c r="Z84" i="2"/>
  <c r="AA84" i="2" s="1"/>
  <c r="Z85" i="2"/>
  <c r="AA85" i="2" s="1"/>
  <c r="Z87" i="2"/>
  <c r="AA87" i="2" s="1"/>
  <c r="Z88" i="2"/>
  <c r="Y84" i="2"/>
  <c r="Y85" i="2"/>
  <c r="Y87" i="2"/>
  <c r="Y88" i="2"/>
  <c r="N88" i="2"/>
  <c r="L86" i="2"/>
  <c r="S86" i="2" s="1"/>
  <c r="M85" i="2"/>
  <c r="AB85" i="2" s="1"/>
  <c r="S25" i="2"/>
  <c r="M25" i="2"/>
  <c r="R22" i="1"/>
  <c r="L22" i="1"/>
  <c r="R12" i="1"/>
  <c r="L12" i="1"/>
  <c r="M43" i="2"/>
  <c r="Z83" i="2"/>
  <c r="AA83" i="2" s="1"/>
  <c r="M83" i="2"/>
  <c r="R26" i="1"/>
  <c r="L26" i="1"/>
  <c r="AA88" i="2" l="1"/>
  <c r="Y86" i="2"/>
  <c r="Z86" i="2"/>
  <c r="AA86" i="2" s="1"/>
  <c r="L29" i="1"/>
  <c r="AA29" i="1" s="1"/>
  <c r="R29" i="1"/>
  <c r="X29" i="1" s="1"/>
  <c r="Y29" i="1"/>
  <c r="Z29" i="1" s="1"/>
  <c r="M86" i="2"/>
  <c r="AB86" i="2" s="1"/>
  <c r="Y3" i="4"/>
  <c r="Z3" i="4"/>
  <c r="AA3" i="4" s="1"/>
  <c r="AB3" i="4"/>
  <c r="Y4" i="4"/>
  <c r="Z4" i="4"/>
  <c r="AA4" i="4" s="1"/>
  <c r="AB4" i="4"/>
  <c r="Y5" i="4"/>
  <c r="Z5" i="4"/>
  <c r="AA5" i="4" s="1"/>
  <c r="AB5" i="4"/>
  <c r="Y6" i="4"/>
  <c r="Z6" i="4"/>
  <c r="AA6" i="4" s="1"/>
  <c r="AB6" i="4"/>
  <c r="Y7" i="4"/>
  <c r="Z7" i="4"/>
  <c r="AA7" i="4" s="1"/>
  <c r="AB7" i="4"/>
  <c r="Y8" i="4"/>
  <c r="Z8" i="4"/>
  <c r="AA8" i="4" s="1"/>
  <c r="AB8" i="4"/>
  <c r="Y9" i="4"/>
  <c r="Z9" i="4"/>
  <c r="AA9" i="4" s="1"/>
  <c r="AB9" i="4"/>
  <c r="Y10" i="4"/>
  <c r="Z10" i="4"/>
  <c r="AA10" i="4" s="1"/>
  <c r="AB10" i="4"/>
  <c r="Y11" i="4"/>
  <c r="Z11" i="4"/>
  <c r="AA11" i="4" s="1"/>
  <c r="AB11" i="4"/>
  <c r="Y12" i="4"/>
  <c r="Z12" i="4"/>
  <c r="AA12" i="4" s="1"/>
  <c r="AB12" i="4"/>
  <c r="Y13" i="4"/>
  <c r="Z13" i="4"/>
  <c r="AA13" i="4" s="1"/>
  <c r="AB13" i="4"/>
  <c r="Y15" i="4"/>
  <c r="Z15" i="4"/>
  <c r="AA15" i="4" s="1"/>
  <c r="AB15" i="4"/>
  <c r="Y16" i="4"/>
  <c r="Z16" i="4"/>
  <c r="AA16" i="4" s="1"/>
  <c r="AB16" i="4"/>
  <c r="Y18" i="4"/>
  <c r="Z18" i="4"/>
  <c r="AA18" i="4" s="1"/>
  <c r="AB18" i="4"/>
  <c r="Y19" i="4"/>
  <c r="Z19" i="4"/>
  <c r="AA19" i="4" s="1"/>
  <c r="AB19" i="4"/>
  <c r="Z20" i="4"/>
  <c r="AA20" i="4" s="1"/>
  <c r="AB20" i="4"/>
  <c r="Y21" i="4"/>
  <c r="Z21" i="4"/>
  <c r="AA21" i="4" s="1"/>
  <c r="AB21" i="4"/>
  <c r="Y22" i="4"/>
  <c r="Z22" i="4"/>
  <c r="AA22" i="4" s="1"/>
  <c r="AB22" i="4"/>
  <c r="Y23" i="4"/>
  <c r="Z23" i="4"/>
  <c r="AA23" i="4" s="1"/>
  <c r="AB23" i="4"/>
  <c r="Y24" i="4"/>
  <c r="Z24" i="4"/>
  <c r="AA24" i="4" s="1"/>
  <c r="AB24" i="4"/>
  <c r="Y25" i="4"/>
  <c r="Z25" i="4"/>
  <c r="AA25" i="4" s="1"/>
  <c r="AB25" i="4"/>
  <c r="Y26" i="4"/>
  <c r="Z26" i="4"/>
  <c r="AA26" i="4" s="1"/>
  <c r="AB26" i="4"/>
  <c r="Y27" i="4"/>
  <c r="Z27" i="4"/>
  <c r="AA27" i="4" s="1"/>
  <c r="AB27" i="4"/>
  <c r="Y28" i="4"/>
  <c r="Z28" i="4"/>
  <c r="AA28" i="4" s="1"/>
  <c r="AB28" i="4"/>
  <c r="Y29" i="4"/>
  <c r="Z29" i="4"/>
  <c r="AA29" i="4" s="1"/>
  <c r="AB29" i="4"/>
  <c r="Y30" i="4"/>
  <c r="Z30" i="4"/>
  <c r="AA30" i="4" s="1"/>
  <c r="AB30" i="4"/>
  <c r="Y31" i="4"/>
  <c r="Z31" i="4"/>
  <c r="AA31" i="4" s="1"/>
  <c r="AB31" i="4"/>
  <c r="Y32" i="4"/>
  <c r="Z32" i="4"/>
  <c r="AA32" i="4" s="1"/>
  <c r="AB32" i="4"/>
  <c r="Y33" i="4"/>
  <c r="Z33" i="4"/>
  <c r="AA33" i="4" s="1"/>
  <c r="AB33" i="4"/>
  <c r="Y34" i="4"/>
  <c r="Z34" i="4"/>
  <c r="AA34" i="4" s="1"/>
  <c r="AB34" i="4"/>
  <c r="Y35" i="4"/>
  <c r="Z35" i="4"/>
  <c r="AA35" i="4" s="1"/>
  <c r="AB35" i="4"/>
  <c r="Y36" i="4"/>
  <c r="Z36" i="4"/>
  <c r="AA36" i="4" s="1"/>
  <c r="AB36" i="4"/>
  <c r="Y37" i="4"/>
  <c r="Z37" i="4"/>
  <c r="AA37" i="4" s="1"/>
  <c r="AB37" i="4"/>
  <c r="Y38" i="4"/>
  <c r="Z38" i="4"/>
  <c r="AA38" i="4" s="1"/>
  <c r="AB38" i="4"/>
  <c r="Y39" i="4"/>
  <c r="Z39" i="4"/>
  <c r="AA39" i="4" s="1"/>
  <c r="AB39" i="4"/>
  <c r="Y40" i="4"/>
  <c r="Z40" i="4"/>
  <c r="AA40" i="4" s="1"/>
  <c r="AB40" i="4"/>
  <c r="Y41" i="4"/>
  <c r="Z41" i="4"/>
  <c r="AA41" i="4" s="1"/>
  <c r="AB41" i="4"/>
  <c r="Y42" i="4"/>
  <c r="Z42" i="4"/>
  <c r="AA42" i="4" s="1"/>
  <c r="AB42" i="4"/>
  <c r="Y43" i="4"/>
  <c r="Z43" i="4"/>
  <c r="AA43" i="4" s="1"/>
  <c r="M79" i="2" l="1"/>
  <c r="M28" i="2" l="1"/>
  <c r="AB28" i="2" l="1"/>
  <c r="M74" i="2" l="1"/>
  <c r="C12" i="6" l="1"/>
  <c r="R36" i="1"/>
  <c r="Q36" i="1"/>
  <c r="L38" i="1"/>
  <c r="K38" i="1"/>
  <c r="J38" i="1"/>
  <c r="J37" i="1"/>
  <c r="J36" i="1"/>
  <c r="J35" i="1"/>
  <c r="L101" i="2" l="1"/>
  <c r="K101" i="2"/>
  <c r="K98" i="2"/>
  <c r="AB83" i="2"/>
  <c r="Y83" i="2"/>
  <c r="Y77" i="2"/>
  <c r="Z77" i="2"/>
  <c r="AA77" i="2" s="1"/>
  <c r="AB77" i="2"/>
  <c r="Y82" i="2" l="1"/>
  <c r="Z82" i="2"/>
  <c r="AA82" i="2" s="1"/>
  <c r="AB82" i="2"/>
  <c r="Y81" i="2"/>
  <c r="Z81" i="2"/>
  <c r="AA81" i="2" s="1"/>
  <c r="AB81" i="2"/>
  <c r="Y80" i="2"/>
  <c r="AB80" i="2"/>
  <c r="X28" i="1"/>
  <c r="Y28" i="1"/>
  <c r="Z28" i="1" s="1"/>
  <c r="AA28" i="1"/>
  <c r="Y79" i="2"/>
  <c r="Z79" i="2"/>
  <c r="AB79" i="2"/>
  <c r="Y78" i="2"/>
  <c r="Z78" i="2"/>
  <c r="AA78" i="2" s="1"/>
  <c r="AB78" i="2"/>
  <c r="Z80" i="2" l="1"/>
  <c r="AA80" i="2" s="1"/>
  <c r="AA79" i="2"/>
  <c r="M43" i="4" l="1"/>
  <c r="AB43" i="4" s="1"/>
  <c r="D19" i="6"/>
  <c r="L37" i="1"/>
  <c r="R16" i="1"/>
  <c r="J14" i="6" s="1"/>
  <c r="AB76" i="2"/>
  <c r="Z76" i="2"/>
  <c r="AA76" i="2" s="1"/>
  <c r="Y76" i="2"/>
  <c r="T20" i="4"/>
  <c r="K27" i="6" s="1"/>
  <c r="S20" i="4"/>
  <c r="J29" i="6" s="1"/>
  <c r="L17" i="4"/>
  <c r="L14" i="4"/>
  <c r="AA3" i="3"/>
  <c r="AA4" i="3"/>
  <c r="AA5" i="3"/>
  <c r="AA6" i="3"/>
  <c r="AA7" i="3"/>
  <c r="AA8" i="3"/>
  <c r="AA9" i="3"/>
  <c r="AA10" i="3"/>
  <c r="AA11" i="3"/>
  <c r="AA12" i="3"/>
  <c r="AA13" i="3"/>
  <c r="Y3" i="3"/>
  <c r="Z3" i="3" s="1"/>
  <c r="Y4" i="3"/>
  <c r="Z4" i="3" s="1"/>
  <c r="Y5" i="3"/>
  <c r="Z5" i="3" s="1"/>
  <c r="Y6" i="3"/>
  <c r="Z6" i="3" s="1"/>
  <c r="Y7" i="3"/>
  <c r="Z7" i="3" s="1"/>
  <c r="Y8" i="3"/>
  <c r="Z8" i="3" s="1"/>
  <c r="Y9" i="3"/>
  <c r="Z9" i="3" s="1"/>
  <c r="Y10" i="3"/>
  <c r="Z10" i="3" s="1"/>
  <c r="Y11" i="3"/>
  <c r="Z11" i="3" s="1"/>
  <c r="Y12" i="3"/>
  <c r="Z12" i="3" s="1"/>
  <c r="Y13" i="3"/>
  <c r="Z13" i="3" s="1"/>
  <c r="X3" i="3"/>
  <c r="X4" i="3"/>
  <c r="X5" i="3"/>
  <c r="X6" i="3"/>
  <c r="X7" i="3"/>
  <c r="X8" i="3"/>
  <c r="X9" i="3"/>
  <c r="X10" i="3"/>
  <c r="X11" i="3"/>
  <c r="X12" i="3"/>
  <c r="X13" i="3"/>
  <c r="AB20" i="2"/>
  <c r="Z20" i="2"/>
  <c r="AA20" i="2" s="1"/>
  <c r="Y20" i="2"/>
  <c r="AB23" i="2"/>
  <c r="AB24" i="2"/>
  <c r="AB25" i="2"/>
  <c r="AB26" i="2"/>
  <c r="AB27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43" i="2"/>
  <c r="AB44" i="2"/>
  <c r="AB45" i="2"/>
  <c r="AB46" i="2"/>
  <c r="AB47" i="2"/>
  <c r="AB48" i="2"/>
  <c r="AB49" i="2"/>
  <c r="AB50" i="2"/>
  <c r="AB51" i="2"/>
  <c r="AB52" i="2"/>
  <c r="AB53" i="2"/>
  <c r="AB54" i="2"/>
  <c r="AB55" i="2"/>
  <c r="AB56" i="2"/>
  <c r="AB57" i="2"/>
  <c r="AB58" i="2"/>
  <c r="AB59" i="2"/>
  <c r="AB60" i="2"/>
  <c r="AB61" i="2"/>
  <c r="AB62" i="2"/>
  <c r="AB63" i="2"/>
  <c r="AB64" i="2"/>
  <c r="AB65" i="2"/>
  <c r="AB66" i="2"/>
  <c r="AB67" i="2"/>
  <c r="AB68" i="2"/>
  <c r="AB69" i="2"/>
  <c r="AB70" i="2"/>
  <c r="AB71" i="2"/>
  <c r="AB72" i="2"/>
  <c r="AB73" i="2"/>
  <c r="AB74" i="2"/>
  <c r="AB75" i="2"/>
  <c r="Z23" i="2"/>
  <c r="AA23" i="2" s="1"/>
  <c r="Z24" i="2"/>
  <c r="AA24" i="2" s="1"/>
  <c r="AA25" i="2"/>
  <c r="AA26" i="2"/>
  <c r="AA27" i="2"/>
  <c r="AA28" i="2"/>
  <c r="AA29" i="2"/>
  <c r="AA30" i="2"/>
  <c r="AA31" i="2"/>
  <c r="AA32" i="2"/>
  <c r="AA33" i="2"/>
  <c r="AA34" i="2"/>
  <c r="Z35" i="2"/>
  <c r="AA35" i="2" s="1"/>
  <c r="Z36" i="2"/>
  <c r="AA36" i="2" s="1"/>
  <c r="Z37" i="2"/>
  <c r="AA37" i="2" s="1"/>
  <c r="Z38" i="2"/>
  <c r="AA38" i="2" s="1"/>
  <c r="Z39" i="2"/>
  <c r="AA39" i="2" s="1"/>
  <c r="Z40" i="2"/>
  <c r="AA40" i="2" s="1"/>
  <c r="Z41" i="2"/>
  <c r="AA41" i="2" s="1"/>
  <c r="Z42" i="2"/>
  <c r="AA42" i="2" s="1"/>
  <c r="Z43" i="2"/>
  <c r="AA43" i="2" s="1"/>
  <c r="Z44" i="2"/>
  <c r="AA44" i="2" s="1"/>
  <c r="Z45" i="2"/>
  <c r="AA45" i="2" s="1"/>
  <c r="Z46" i="2"/>
  <c r="AA46" i="2" s="1"/>
  <c r="Z47" i="2"/>
  <c r="AA47" i="2" s="1"/>
  <c r="Z48" i="2"/>
  <c r="AA48" i="2" s="1"/>
  <c r="Z49" i="2"/>
  <c r="AA49" i="2" s="1"/>
  <c r="Z50" i="2"/>
  <c r="AA50" i="2" s="1"/>
  <c r="Z51" i="2"/>
  <c r="AA51" i="2" s="1"/>
  <c r="Z52" i="2"/>
  <c r="AA52" i="2" s="1"/>
  <c r="Z53" i="2"/>
  <c r="AA53" i="2" s="1"/>
  <c r="Z54" i="2"/>
  <c r="AA54" i="2" s="1"/>
  <c r="Z55" i="2"/>
  <c r="AA55" i="2" s="1"/>
  <c r="Z56" i="2"/>
  <c r="AA56" i="2" s="1"/>
  <c r="Z57" i="2"/>
  <c r="AA57" i="2" s="1"/>
  <c r="Z58" i="2"/>
  <c r="AA58" i="2" s="1"/>
  <c r="Z59" i="2"/>
  <c r="AA59" i="2" s="1"/>
  <c r="Z60" i="2"/>
  <c r="AA60" i="2" s="1"/>
  <c r="Z61" i="2"/>
  <c r="AA61" i="2" s="1"/>
  <c r="Z62" i="2"/>
  <c r="AA62" i="2" s="1"/>
  <c r="Z63" i="2"/>
  <c r="AA63" i="2" s="1"/>
  <c r="Z64" i="2"/>
  <c r="AA64" i="2" s="1"/>
  <c r="Z65" i="2"/>
  <c r="AA65" i="2" s="1"/>
  <c r="Z66" i="2"/>
  <c r="AA66" i="2" s="1"/>
  <c r="Z67" i="2"/>
  <c r="AA67" i="2" s="1"/>
  <c r="Z68" i="2"/>
  <c r="AA68" i="2" s="1"/>
  <c r="Z69" i="2"/>
  <c r="AA69" i="2" s="1"/>
  <c r="Z70" i="2"/>
  <c r="AA70" i="2" s="1"/>
  <c r="Z71" i="2"/>
  <c r="AA71" i="2" s="1"/>
  <c r="Z72" i="2"/>
  <c r="AA72" i="2" s="1"/>
  <c r="Z73" i="2"/>
  <c r="AA73" i="2" s="1"/>
  <c r="Z74" i="2"/>
  <c r="AA74" i="2" s="1"/>
  <c r="Z75" i="2"/>
  <c r="AA75" i="2" s="1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Y43" i="2"/>
  <c r="Y44" i="2"/>
  <c r="Y45" i="2"/>
  <c r="Y46" i="2"/>
  <c r="Y47" i="2"/>
  <c r="Y48" i="2"/>
  <c r="Y49" i="2"/>
  <c r="Y50" i="2"/>
  <c r="Y51" i="2"/>
  <c r="Y52" i="2"/>
  <c r="Y53" i="2"/>
  <c r="Y54" i="2"/>
  <c r="Y55" i="2"/>
  <c r="Y56" i="2"/>
  <c r="Y57" i="2"/>
  <c r="Y58" i="2"/>
  <c r="Y59" i="2"/>
  <c r="Y60" i="2"/>
  <c r="Y61" i="2"/>
  <c r="Y62" i="2"/>
  <c r="Y63" i="2"/>
  <c r="Y64" i="2"/>
  <c r="Y65" i="2"/>
  <c r="Y66" i="2"/>
  <c r="Y67" i="2"/>
  <c r="Y68" i="2"/>
  <c r="Y69" i="2"/>
  <c r="Y70" i="2"/>
  <c r="Y71" i="2"/>
  <c r="Y72" i="2"/>
  <c r="Y73" i="2"/>
  <c r="Y74" i="2"/>
  <c r="Y75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Y7" i="1"/>
  <c r="Z7" i="1" s="1"/>
  <c r="Y8" i="1"/>
  <c r="Z8" i="1" s="1"/>
  <c r="Y9" i="1"/>
  <c r="Z9" i="1" s="1"/>
  <c r="Y10" i="1"/>
  <c r="Z10" i="1" s="1"/>
  <c r="Y11" i="1"/>
  <c r="Z11" i="1" s="1"/>
  <c r="Y12" i="1"/>
  <c r="Z12" i="1" s="1"/>
  <c r="Y13" i="1"/>
  <c r="Z13" i="1" s="1"/>
  <c r="Y14" i="1"/>
  <c r="Z14" i="1" s="1"/>
  <c r="Y15" i="1"/>
  <c r="Z15" i="1" s="1"/>
  <c r="Y16" i="1"/>
  <c r="Z16" i="1" s="1"/>
  <c r="Y17" i="1"/>
  <c r="Z17" i="1" s="1"/>
  <c r="Y18" i="1"/>
  <c r="Z18" i="1" s="1"/>
  <c r="Y19" i="1"/>
  <c r="Z19" i="1" s="1"/>
  <c r="Y20" i="1"/>
  <c r="Z20" i="1" s="1"/>
  <c r="Y21" i="1"/>
  <c r="Z21" i="1" s="1"/>
  <c r="Y22" i="1"/>
  <c r="Z22" i="1" s="1"/>
  <c r="Y23" i="1"/>
  <c r="Z23" i="1" s="1"/>
  <c r="Y24" i="1"/>
  <c r="Z24" i="1" s="1"/>
  <c r="Y25" i="1"/>
  <c r="Z25" i="1" s="1"/>
  <c r="Y26" i="1"/>
  <c r="Z26" i="1" s="1"/>
  <c r="Y27" i="1"/>
  <c r="Z27" i="1" s="1"/>
  <c r="X7" i="1"/>
  <c r="X8" i="1"/>
  <c r="X9" i="1"/>
  <c r="X10" i="1"/>
  <c r="X11" i="1"/>
  <c r="X12" i="1"/>
  <c r="X13" i="1"/>
  <c r="X14" i="1"/>
  <c r="X15" i="1"/>
  <c r="X17" i="1"/>
  <c r="X18" i="1"/>
  <c r="X19" i="1"/>
  <c r="X20" i="1"/>
  <c r="X21" i="1"/>
  <c r="X22" i="1"/>
  <c r="X23" i="1"/>
  <c r="X24" i="1"/>
  <c r="X25" i="1"/>
  <c r="X26" i="1"/>
  <c r="X27" i="1"/>
  <c r="H35" i="1"/>
  <c r="N35" i="1"/>
  <c r="H36" i="1"/>
  <c r="N36" i="1"/>
  <c r="H37" i="1"/>
  <c r="K37" i="1"/>
  <c r="N37" i="1"/>
  <c r="S21" i="2"/>
  <c r="S98" i="2" s="1"/>
  <c r="S103" i="2" s="1"/>
  <c r="AB22" i="2"/>
  <c r="Z22" i="2"/>
  <c r="AA22" i="2" s="1"/>
  <c r="Y22" i="2"/>
  <c r="I98" i="2"/>
  <c r="O98" i="2"/>
  <c r="P98" i="2"/>
  <c r="Q98" i="2"/>
  <c r="M19" i="2"/>
  <c r="AB19" i="2" s="1"/>
  <c r="M17" i="2"/>
  <c r="AB17" i="2" s="1"/>
  <c r="B29" i="6"/>
  <c r="B28" i="6"/>
  <c r="B26" i="6"/>
  <c r="B25" i="6"/>
  <c r="B24" i="6"/>
  <c r="X3" i="1"/>
  <c r="Y3" i="1"/>
  <c r="Z3" i="1" s="1"/>
  <c r="X4" i="1"/>
  <c r="Y4" i="1"/>
  <c r="Z4" i="1" s="1"/>
  <c r="X5" i="1"/>
  <c r="Y5" i="1"/>
  <c r="Z5" i="1" s="1"/>
  <c r="Y3" i="2"/>
  <c r="Z3" i="2"/>
  <c r="AA3" i="2" s="1"/>
  <c r="AB3" i="2"/>
  <c r="Y4" i="2"/>
  <c r="Z4" i="2"/>
  <c r="AA4" i="2" s="1"/>
  <c r="Y5" i="2"/>
  <c r="Z5" i="2"/>
  <c r="AA5" i="2" s="1"/>
  <c r="Y8" i="2"/>
  <c r="Z8" i="2"/>
  <c r="AA8" i="2" s="1"/>
  <c r="Y9" i="2"/>
  <c r="Z9" i="2"/>
  <c r="AA9" i="2" s="1"/>
  <c r="Y10" i="2"/>
  <c r="Z10" i="2"/>
  <c r="AA10" i="2" s="1"/>
  <c r="Y14" i="2"/>
  <c r="Z14" i="2"/>
  <c r="AA14" i="2" s="1"/>
  <c r="Y15" i="2"/>
  <c r="Z15" i="2"/>
  <c r="AA15" i="2" s="1"/>
  <c r="Y17" i="2"/>
  <c r="Z17" i="2"/>
  <c r="AA17" i="2" s="1"/>
  <c r="Y19" i="2"/>
  <c r="Z19" i="2"/>
  <c r="AA19" i="2" s="1"/>
  <c r="Z6" i="2"/>
  <c r="AA6" i="2" s="1"/>
  <c r="D24" i="6"/>
  <c r="Z21" i="2"/>
  <c r="AA21" i="2" s="1"/>
  <c r="Z16" i="2"/>
  <c r="AA16" i="2" s="1"/>
  <c r="M11" i="2"/>
  <c r="AB11" i="2" s="1"/>
  <c r="Y7" i="2"/>
  <c r="Z7" i="2"/>
  <c r="AA7" i="2" s="1"/>
  <c r="E12" i="6"/>
  <c r="AB15" i="2"/>
  <c r="AB14" i="2"/>
  <c r="M10" i="2"/>
  <c r="AB10" i="2" s="1"/>
  <c r="AB9" i="2"/>
  <c r="M8" i="2"/>
  <c r="AB8" i="2" s="1"/>
  <c r="M5" i="2"/>
  <c r="M4" i="2"/>
  <c r="L5" i="1"/>
  <c r="AA5" i="1" s="1"/>
  <c r="L4" i="1"/>
  <c r="AA4" i="1" s="1"/>
  <c r="L3" i="1"/>
  <c r="I44" i="4"/>
  <c r="K44" i="4"/>
  <c r="C24" i="6"/>
  <c r="G12" i="6"/>
  <c r="S35" i="1"/>
  <c r="O35" i="1"/>
  <c r="K99" i="2"/>
  <c r="I101" i="2"/>
  <c r="I100" i="2"/>
  <c r="I99" i="2"/>
  <c r="J14" i="3"/>
  <c r="H14" i="3"/>
  <c r="R46" i="4"/>
  <c r="Q46" i="4"/>
  <c r="K46" i="4"/>
  <c r="K45" i="4"/>
  <c r="I46" i="4"/>
  <c r="I45" i="4"/>
  <c r="O26" i="6"/>
  <c r="N26" i="6"/>
  <c r="M26" i="6"/>
  <c r="L26" i="6"/>
  <c r="K26" i="6"/>
  <c r="I26" i="6"/>
  <c r="O25" i="6"/>
  <c r="N25" i="6"/>
  <c r="M25" i="6"/>
  <c r="L25" i="6"/>
  <c r="K25" i="6"/>
  <c r="J26" i="6"/>
  <c r="J25" i="6"/>
  <c r="I25" i="6"/>
  <c r="H26" i="6"/>
  <c r="G26" i="6"/>
  <c r="G25" i="6"/>
  <c r="F26" i="6"/>
  <c r="F25" i="6"/>
  <c r="G24" i="6"/>
  <c r="I24" i="6"/>
  <c r="J24" i="6"/>
  <c r="K24" i="6"/>
  <c r="L24" i="6"/>
  <c r="M24" i="6"/>
  <c r="N24" i="6"/>
  <c r="O24" i="6"/>
  <c r="F24" i="6"/>
  <c r="E26" i="6"/>
  <c r="D26" i="6"/>
  <c r="C26" i="6"/>
  <c r="C25" i="6"/>
  <c r="K13" i="6"/>
  <c r="O15" i="6"/>
  <c r="N15" i="6"/>
  <c r="M15" i="6"/>
  <c r="O14" i="6"/>
  <c r="N14" i="6"/>
  <c r="M14" i="6"/>
  <c r="O13" i="6"/>
  <c r="N13" i="6"/>
  <c r="M13" i="6"/>
  <c r="L15" i="6"/>
  <c r="L14" i="6"/>
  <c r="L13" i="6"/>
  <c r="K15" i="6"/>
  <c r="K14" i="6"/>
  <c r="J15" i="6"/>
  <c r="J13" i="6"/>
  <c r="I15" i="6"/>
  <c r="I13" i="6"/>
  <c r="H15" i="6"/>
  <c r="H13" i="6"/>
  <c r="G15" i="6"/>
  <c r="G14" i="6"/>
  <c r="G13" i="6"/>
  <c r="F15" i="6"/>
  <c r="F14" i="6"/>
  <c r="F13" i="6"/>
  <c r="K12" i="6"/>
  <c r="L12" i="6"/>
  <c r="M12" i="6"/>
  <c r="N12" i="6"/>
  <c r="O12" i="6"/>
  <c r="F12" i="6"/>
  <c r="C15" i="6"/>
  <c r="C14" i="6"/>
  <c r="C13" i="6"/>
  <c r="O15" i="3"/>
  <c r="Q15" i="3"/>
  <c r="R15" i="3"/>
  <c r="S15" i="3"/>
  <c r="T15" i="3"/>
  <c r="U15" i="3"/>
  <c r="V15" i="3"/>
  <c r="W15" i="3"/>
  <c r="O16" i="3"/>
  <c r="P16" i="3"/>
  <c r="Q16" i="3"/>
  <c r="R16" i="3"/>
  <c r="S16" i="3"/>
  <c r="T16" i="3"/>
  <c r="U16" i="3"/>
  <c r="V16" i="3"/>
  <c r="W16" i="3"/>
  <c r="N16" i="3"/>
  <c r="N15" i="3"/>
  <c r="O14" i="3"/>
  <c r="Q14" i="3"/>
  <c r="R14" i="3"/>
  <c r="S14" i="3"/>
  <c r="T14" i="3"/>
  <c r="U14" i="3"/>
  <c r="V14" i="3"/>
  <c r="W14" i="3"/>
  <c r="N14" i="3"/>
  <c r="K16" i="3"/>
  <c r="L16" i="3"/>
  <c r="J16" i="3"/>
  <c r="J15" i="3"/>
  <c r="H15" i="3"/>
  <c r="H16" i="3"/>
  <c r="E24" i="6"/>
  <c r="O38" i="1"/>
  <c r="P38" i="1"/>
  <c r="Q38" i="1"/>
  <c r="R38" i="1"/>
  <c r="S38" i="1"/>
  <c r="T38" i="1"/>
  <c r="U38" i="1"/>
  <c r="V38" i="1"/>
  <c r="W38" i="1"/>
  <c r="O37" i="1"/>
  <c r="R37" i="1"/>
  <c r="S37" i="1"/>
  <c r="T37" i="1"/>
  <c r="U37" i="1"/>
  <c r="V37" i="1"/>
  <c r="W37" i="1"/>
  <c r="O36" i="1"/>
  <c r="P36" i="1"/>
  <c r="S36" i="1"/>
  <c r="T36" i="1"/>
  <c r="U36" i="1"/>
  <c r="V36" i="1"/>
  <c r="W36" i="1"/>
  <c r="T35" i="1"/>
  <c r="U35" i="1"/>
  <c r="V35" i="1"/>
  <c r="W35" i="1"/>
  <c r="O29" i="6"/>
  <c r="N29" i="6"/>
  <c r="N32" i="6" s="1"/>
  <c r="M29" i="6"/>
  <c r="L29" i="6"/>
  <c r="I29" i="6"/>
  <c r="H29" i="6"/>
  <c r="G29" i="6"/>
  <c r="O28" i="6"/>
  <c r="N28" i="6"/>
  <c r="M28" i="6"/>
  <c r="L28" i="6"/>
  <c r="K28" i="6"/>
  <c r="G28" i="6"/>
  <c r="F29" i="6"/>
  <c r="F28" i="6"/>
  <c r="G27" i="6"/>
  <c r="L27" i="6"/>
  <c r="M27" i="6"/>
  <c r="N27" i="6"/>
  <c r="N30" i="6" s="1"/>
  <c r="O27" i="6"/>
  <c r="O30" i="6" s="1"/>
  <c r="F27" i="6"/>
  <c r="O19" i="6"/>
  <c r="O18" i="6"/>
  <c r="O17" i="6"/>
  <c r="N19" i="6"/>
  <c r="N18" i="6"/>
  <c r="N17" i="6"/>
  <c r="M19" i="6"/>
  <c r="M18" i="6"/>
  <c r="M17" i="6"/>
  <c r="L19" i="6"/>
  <c r="L18" i="6"/>
  <c r="L17" i="6"/>
  <c r="K19" i="6"/>
  <c r="K18" i="6"/>
  <c r="K17" i="6"/>
  <c r="J19" i="6"/>
  <c r="J18" i="6"/>
  <c r="H19" i="6"/>
  <c r="G19" i="6"/>
  <c r="G18" i="6"/>
  <c r="F19" i="6"/>
  <c r="F18" i="6"/>
  <c r="F17" i="6"/>
  <c r="C29" i="6"/>
  <c r="C28" i="6"/>
  <c r="C27" i="6"/>
  <c r="P44" i="4"/>
  <c r="C19" i="6"/>
  <c r="C18" i="6"/>
  <c r="C17" i="6"/>
  <c r="K16" i="6"/>
  <c r="L16" i="6"/>
  <c r="M16" i="6"/>
  <c r="N16" i="6"/>
  <c r="O16" i="6"/>
  <c r="F16" i="6"/>
  <c r="C16" i="6"/>
  <c r="P46" i="4"/>
  <c r="P45" i="4"/>
  <c r="T45" i="4"/>
  <c r="U45" i="4"/>
  <c r="V45" i="4"/>
  <c r="W45" i="4"/>
  <c r="X45" i="4"/>
  <c r="U46" i="4"/>
  <c r="V46" i="4"/>
  <c r="W46" i="4"/>
  <c r="X46" i="4"/>
  <c r="U44" i="4"/>
  <c r="V44" i="4"/>
  <c r="W44" i="4"/>
  <c r="X44" i="4"/>
  <c r="L46" i="4"/>
  <c r="S101" i="2"/>
  <c r="T101" i="2"/>
  <c r="U101" i="2"/>
  <c r="V101" i="2"/>
  <c r="W101" i="2"/>
  <c r="X101" i="2"/>
  <c r="S100" i="2"/>
  <c r="T100" i="2"/>
  <c r="U100" i="2"/>
  <c r="V100" i="2"/>
  <c r="W100" i="2"/>
  <c r="X100" i="2"/>
  <c r="T99" i="2"/>
  <c r="U99" i="2"/>
  <c r="V99" i="2"/>
  <c r="W99" i="2"/>
  <c r="X99" i="2"/>
  <c r="T98" i="2"/>
  <c r="U98" i="2"/>
  <c r="V98" i="2"/>
  <c r="W98" i="2"/>
  <c r="X98" i="2"/>
  <c r="Q101" i="2"/>
  <c r="P101" i="2"/>
  <c r="O101" i="2"/>
  <c r="P100" i="2"/>
  <c r="O100" i="2"/>
  <c r="K100" i="2"/>
  <c r="O99" i="2"/>
  <c r="Q99" i="2"/>
  <c r="N38" i="1"/>
  <c r="H38" i="1"/>
  <c r="P99" i="2"/>
  <c r="G16" i="6"/>
  <c r="G20" i="6" s="1"/>
  <c r="H17" i="6"/>
  <c r="G17" i="6"/>
  <c r="H27" i="6"/>
  <c r="Q44" i="4"/>
  <c r="K15" i="3"/>
  <c r="H25" i="6"/>
  <c r="K14" i="3"/>
  <c r="E25" i="6"/>
  <c r="P15" i="3"/>
  <c r="Q45" i="4"/>
  <c r="H28" i="6"/>
  <c r="H24" i="6"/>
  <c r="P14" i="3"/>
  <c r="Q100" i="2"/>
  <c r="H18" i="6"/>
  <c r="H16" i="6"/>
  <c r="H12" i="6"/>
  <c r="P37" i="1"/>
  <c r="P35" i="1"/>
  <c r="H14" i="6"/>
  <c r="D25" i="6"/>
  <c r="L15" i="3"/>
  <c r="L14" i="3"/>
  <c r="M16" i="2"/>
  <c r="AB16" i="2" s="1"/>
  <c r="Y16" i="2"/>
  <c r="I27" i="6"/>
  <c r="I28" i="6"/>
  <c r="R44" i="4"/>
  <c r="R45" i="4"/>
  <c r="R11" i="2"/>
  <c r="Y11" i="2" s="1"/>
  <c r="Z11" i="2"/>
  <c r="AA11" i="2" s="1"/>
  <c r="R6" i="2"/>
  <c r="Y6" i="2" s="1"/>
  <c r="R101" i="2"/>
  <c r="M6" i="2"/>
  <c r="AB6" i="2" s="1"/>
  <c r="M7" i="2"/>
  <c r="AB7" i="2" s="1"/>
  <c r="AB21" i="2"/>
  <c r="E19" i="6"/>
  <c r="AB18" i="2"/>
  <c r="R18" i="2"/>
  <c r="Y18" i="2" s="1"/>
  <c r="Z18" i="2"/>
  <c r="AA18" i="2" s="1"/>
  <c r="E18" i="6"/>
  <c r="L100" i="2"/>
  <c r="E15" i="6"/>
  <c r="E14" i="6"/>
  <c r="D18" i="6"/>
  <c r="I18" i="6"/>
  <c r="R100" i="2"/>
  <c r="M100" i="2"/>
  <c r="I14" i="6"/>
  <c r="I12" i="6"/>
  <c r="Q35" i="1"/>
  <c r="Q37" i="1"/>
  <c r="D15" i="6"/>
  <c r="I19" i="6"/>
  <c r="E29" i="6"/>
  <c r="N20" i="6" l="1"/>
  <c r="I23" i="6"/>
  <c r="L20" i="6"/>
  <c r="O21" i="6"/>
  <c r="O34" i="6" s="1"/>
  <c r="O20" i="6"/>
  <c r="O33" i="6" s="1"/>
  <c r="L31" i="6"/>
  <c r="F32" i="6"/>
  <c r="F20" i="6"/>
  <c r="G21" i="6"/>
  <c r="G34" i="6" s="1"/>
  <c r="L21" i="6"/>
  <c r="L34" i="6" s="1"/>
  <c r="F22" i="6"/>
  <c r="N23" i="6"/>
  <c r="N36" i="6" s="1"/>
  <c r="J22" i="6"/>
  <c r="E23" i="6"/>
  <c r="C23" i="6"/>
  <c r="N31" i="6"/>
  <c r="L30" i="6"/>
  <c r="L33" i="6" s="1"/>
  <c r="K31" i="6"/>
  <c r="S14" i="4"/>
  <c r="Y14" i="4" s="1"/>
  <c r="Z14" i="4"/>
  <c r="AA14" i="4" s="1"/>
  <c r="Z17" i="4"/>
  <c r="AA17" i="4" s="1"/>
  <c r="S46" i="4"/>
  <c r="Y20" i="4"/>
  <c r="K23" i="6"/>
  <c r="AA3" i="1"/>
  <c r="M32" i="6"/>
  <c r="N22" i="6"/>
  <c r="B15" i="6"/>
  <c r="K36" i="1"/>
  <c r="X6" i="1"/>
  <c r="L22" i="6"/>
  <c r="L35" i="6" s="1"/>
  <c r="I31" i="6"/>
  <c r="H31" i="6"/>
  <c r="L23" i="6"/>
  <c r="M20" i="6"/>
  <c r="AB12" i="2"/>
  <c r="L98" i="2"/>
  <c r="AB4" i="2"/>
  <c r="P18" i="6"/>
  <c r="M101" i="2"/>
  <c r="M14" i="4"/>
  <c r="AB14" i="4" s="1"/>
  <c r="O31" i="6"/>
  <c r="P26" i="6"/>
  <c r="K30" i="6"/>
  <c r="P15" i="6"/>
  <c r="H32" i="6"/>
  <c r="C32" i="6"/>
  <c r="I32" i="6"/>
  <c r="K20" i="6"/>
  <c r="M23" i="6"/>
  <c r="P24" i="6"/>
  <c r="K22" i="6"/>
  <c r="G32" i="6"/>
  <c r="H30" i="6"/>
  <c r="I22" i="6"/>
  <c r="D14" i="6"/>
  <c r="D22" i="6" s="1"/>
  <c r="I30" i="6"/>
  <c r="K21" i="6"/>
  <c r="K34" i="6" s="1"/>
  <c r="Q14" i="6"/>
  <c r="H21" i="6"/>
  <c r="H34" i="6" s="1"/>
  <c r="C30" i="6"/>
  <c r="H23" i="6"/>
  <c r="O22" i="6"/>
  <c r="H20" i="6"/>
  <c r="C20" i="6"/>
  <c r="F23" i="6"/>
  <c r="M31" i="6"/>
  <c r="O32" i="6"/>
  <c r="D29" i="6"/>
  <c r="P29" i="6" s="1"/>
  <c r="M46" i="4"/>
  <c r="Y12" i="2"/>
  <c r="B32" i="6"/>
  <c r="G31" i="6"/>
  <c r="T44" i="4"/>
  <c r="C31" i="6"/>
  <c r="G30" i="6"/>
  <c r="G33" i="6" s="1"/>
  <c r="M30" i="6"/>
  <c r="K29" i="6"/>
  <c r="K32" i="6" s="1"/>
  <c r="E27" i="6"/>
  <c r="E30" i="6" s="1"/>
  <c r="Y21" i="2"/>
  <c r="H22" i="6"/>
  <c r="H35" i="6" s="1"/>
  <c r="F31" i="6"/>
  <c r="B31" i="6"/>
  <c r="B16" i="6"/>
  <c r="AB13" i="2"/>
  <c r="Q18" i="6"/>
  <c r="L99" i="2"/>
  <c r="J16" i="6"/>
  <c r="J17" i="6"/>
  <c r="J21" i="6" s="1"/>
  <c r="J34" i="6" s="1"/>
  <c r="M22" i="6"/>
  <c r="E17" i="6"/>
  <c r="O23" i="6"/>
  <c r="R13" i="2"/>
  <c r="Y13" i="2" s="1"/>
  <c r="E16" i="6"/>
  <c r="E20" i="6" s="1"/>
  <c r="S99" i="2"/>
  <c r="Z13" i="2"/>
  <c r="AA13" i="2" s="1"/>
  <c r="C21" i="6"/>
  <c r="C34" i="6" s="1"/>
  <c r="M21" i="6"/>
  <c r="M34" i="6" s="1"/>
  <c r="C22" i="6"/>
  <c r="J23" i="6"/>
  <c r="N21" i="6"/>
  <c r="N34" i="6" s="1"/>
  <c r="Q19" i="6"/>
  <c r="N33" i="6"/>
  <c r="G22" i="6"/>
  <c r="F21" i="6"/>
  <c r="F34" i="6" s="1"/>
  <c r="F30" i="6"/>
  <c r="Q24" i="6"/>
  <c r="J32" i="6"/>
  <c r="Q26" i="6"/>
  <c r="L32" i="6"/>
  <c r="D23" i="6"/>
  <c r="P19" i="6"/>
  <c r="AB5" i="2"/>
  <c r="L45" i="4"/>
  <c r="M17" i="4"/>
  <c r="AB17" i="4" s="1"/>
  <c r="S17" i="4"/>
  <c r="Y17" i="4" s="1"/>
  <c r="L44" i="4"/>
  <c r="B27" i="6"/>
  <c r="B30" i="6" s="1"/>
  <c r="E28" i="6"/>
  <c r="G23" i="6"/>
  <c r="Q25" i="6"/>
  <c r="Y6" i="1"/>
  <c r="Z6" i="1" s="1"/>
  <c r="J12" i="6"/>
  <c r="R35" i="1"/>
  <c r="K35" i="1"/>
  <c r="T46" i="4"/>
  <c r="Q15" i="6"/>
  <c r="P25" i="6"/>
  <c r="B17" i="6"/>
  <c r="B18" i="6"/>
  <c r="L6" i="1"/>
  <c r="D12" i="6" s="1"/>
  <c r="E13" i="6"/>
  <c r="E22" i="6"/>
  <c r="B14" i="6"/>
  <c r="B12" i="6"/>
  <c r="E32" i="6"/>
  <c r="X16" i="1"/>
  <c r="B19" i="6"/>
  <c r="Z12" i="2"/>
  <c r="AA12" i="2" s="1"/>
  <c r="B13" i="6"/>
  <c r="F35" i="6" l="1"/>
  <c r="I36" i="6"/>
  <c r="F36" i="6"/>
  <c r="N35" i="6"/>
  <c r="M36" i="6"/>
  <c r="F33" i="6"/>
  <c r="I35" i="6"/>
  <c r="K35" i="6"/>
  <c r="L36" i="6"/>
  <c r="K36" i="6"/>
  <c r="M33" i="6"/>
  <c r="C36" i="6"/>
  <c r="P14" i="6"/>
  <c r="B23" i="6"/>
  <c r="B36" i="6" s="1"/>
  <c r="L36" i="1"/>
  <c r="R99" i="2"/>
  <c r="D13" i="6"/>
  <c r="P13" i="6" s="1"/>
  <c r="M98" i="2"/>
  <c r="D16" i="6"/>
  <c r="D20" i="6" s="1"/>
  <c r="H36" i="6"/>
  <c r="K33" i="6"/>
  <c r="O35" i="6"/>
  <c r="I16" i="6"/>
  <c r="I20" i="6" s="1"/>
  <c r="I33" i="6" s="1"/>
  <c r="D17" i="6"/>
  <c r="P17" i="6" s="1"/>
  <c r="I17" i="6"/>
  <c r="I21" i="6" s="1"/>
  <c r="I34" i="6" s="1"/>
  <c r="D32" i="6"/>
  <c r="D36" i="6" s="1"/>
  <c r="M99" i="2"/>
  <c r="Q29" i="6"/>
  <c r="D28" i="6"/>
  <c r="P28" i="6" s="1"/>
  <c r="M44" i="4"/>
  <c r="M45" i="4"/>
  <c r="M35" i="6"/>
  <c r="H33" i="6"/>
  <c r="J20" i="6"/>
  <c r="B20" i="6"/>
  <c r="B33" i="6" s="1"/>
  <c r="G35" i="6"/>
  <c r="C35" i="6"/>
  <c r="C33" i="6"/>
  <c r="O36" i="6"/>
  <c r="D27" i="6"/>
  <c r="D30" i="6" s="1"/>
  <c r="P30" i="6" s="1"/>
  <c r="Q12" i="6"/>
  <c r="J36" i="6"/>
  <c r="R98" i="2"/>
  <c r="Q32" i="6"/>
  <c r="B22" i="6"/>
  <c r="B35" i="6" s="1"/>
  <c r="E33" i="6"/>
  <c r="B21" i="6"/>
  <c r="B34" i="6" s="1"/>
  <c r="E36" i="6"/>
  <c r="P23" i="6"/>
  <c r="E31" i="6"/>
  <c r="P12" i="6"/>
  <c r="Q22" i="6"/>
  <c r="P22" i="6"/>
  <c r="G36" i="6"/>
  <c r="Q23" i="6"/>
  <c r="E21" i="6"/>
  <c r="Q13" i="6"/>
  <c r="AA6" i="1"/>
  <c r="L35" i="1"/>
  <c r="S44" i="4"/>
  <c r="S45" i="4"/>
  <c r="J27" i="6"/>
  <c r="J28" i="6"/>
  <c r="J31" i="6" s="1"/>
  <c r="J35" i="6" s="1"/>
  <c r="P16" i="6" l="1"/>
  <c r="Q20" i="6"/>
  <c r="Q16" i="6"/>
  <c r="P32" i="6"/>
  <c r="D21" i="6"/>
  <c r="D34" i="6" s="1"/>
  <c r="Q17" i="6"/>
  <c r="P27" i="6"/>
  <c r="D31" i="6"/>
  <c r="D35" i="6" s="1"/>
  <c r="P36" i="6"/>
  <c r="J30" i="6"/>
  <c r="Q27" i="6"/>
  <c r="D33" i="6"/>
  <c r="P33" i="6" s="1"/>
  <c r="P20" i="6"/>
  <c r="Q28" i="6"/>
  <c r="Q31" i="6"/>
  <c r="E35" i="6"/>
  <c r="Q35" i="6" s="1"/>
  <c r="Q21" i="6"/>
  <c r="E34" i="6"/>
  <c r="Q36" i="6"/>
  <c r="P21" i="6" l="1"/>
  <c r="P31" i="6"/>
  <c r="Q34" i="6"/>
  <c r="P34" i="6"/>
  <c r="P35" i="6"/>
  <c r="J33" i="6"/>
  <c r="Q33" i="6" s="1"/>
  <c r="Q30" i="6"/>
</calcChain>
</file>

<file path=xl/sharedStrings.xml><?xml version="1.0" encoding="utf-8"?>
<sst xmlns="http://schemas.openxmlformats.org/spreadsheetml/2006/main" count="1574" uniqueCount="794">
  <si>
    <t>L.p.</t>
  </si>
  <si>
    <t>Nr ewid.</t>
  </si>
  <si>
    <t>Zadanie nowe/kontynuowane/wieloletnie [N/K/W]</t>
  </si>
  <si>
    <t>Jednostka Samorządu Terytorialnego</t>
  </si>
  <si>
    <t>TERC</t>
  </si>
  <si>
    <t>Nazwa zadania</t>
  </si>
  <si>
    <t>Rodzaj zadania</t>
  </si>
  <si>
    <t>Okres realizacji zadania</t>
  </si>
  <si>
    <t>Deklarowana kwota środków własnych (w zł)</t>
  </si>
  <si>
    <t>% dofinansowania</t>
  </si>
  <si>
    <t>Kwota dofinansowania w podziale na lata</t>
  </si>
  <si>
    <t>spr-lata</t>
  </si>
  <si>
    <t>spr-procent</t>
  </si>
  <si>
    <t>spr-dof</t>
  </si>
  <si>
    <t>spr-montaż</t>
  </si>
  <si>
    <t>K</t>
  </si>
  <si>
    <t>P</t>
  </si>
  <si>
    <t>0218</t>
  </si>
  <si>
    <t>R</t>
  </si>
  <si>
    <t>W</t>
  </si>
  <si>
    <t>0211</t>
  </si>
  <si>
    <t>N</t>
  </si>
  <si>
    <t>0220</t>
  </si>
  <si>
    <t>Powiat Ząbkowicki</t>
  </si>
  <si>
    <t>0224</t>
  </si>
  <si>
    <t>Powiat Kłodzki</t>
  </si>
  <si>
    <t>0208</t>
  </si>
  <si>
    <t>0223</t>
  </si>
  <si>
    <t>B</t>
  </si>
  <si>
    <t>Powiat Lwówecki</t>
  </si>
  <si>
    <t>0212</t>
  </si>
  <si>
    <t>RAZEM, z tego:</t>
  </si>
  <si>
    <t>x</t>
  </si>
  <si>
    <t>kontynuowane zadania wieloletnie</t>
  </si>
  <si>
    <t>nowe zadania jednoroczne</t>
  </si>
  <si>
    <t>nowe zadania wieloletnie</t>
  </si>
  <si>
    <t>B - budowa (rozbudowa), P - przebudowa, R - remont</t>
  </si>
  <si>
    <t>kolorem czerwonym oznaczono zadania wieloletnie</t>
  </si>
  <si>
    <t>N - nowe zadanie jednoroczne, K - kontynuowane zadanie wieloletnie z wcześniejszego naboru, W - nowe zadanie wieloletnie</t>
  </si>
  <si>
    <t>* Kwota dofinansowania zmniejszona do limitu dostępnych środków Funduszu Dróg Samorządowych; zwiększenie dofinansowania możliwe w przypadku wystąpienia oszczędności. W przypadku braku oszczędności w Funduszu, realizacja zadania będzie wymagała zabezpieczenia wkładu własnego wnioskodawcy w większej wysokości.</t>
  </si>
  <si>
    <t>Powiat</t>
  </si>
  <si>
    <t>świdnicki</t>
  </si>
  <si>
    <t>wałbrzyski</t>
  </si>
  <si>
    <t>polkowicki</t>
  </si>
  <si>
    <t>średzki</t>
  </si>
  <si>
    <t>dzierżoniowski</t>
  </si>
  <si>
    <t>bolesławiecki</t>
  </si>
  <si>
    <t>kłodzki</t>
  </si>
  <si>
    <t>ząbkowicki</t>
  </si>
  <si>
    <t>Gmina Marcinowice</t>
  </si>
  <si>
    <t>Gmina Żmigród</t>
  </si>
  <si>
    <t>trzebnicki</t>
  </si>
  <si>
    <t>oleśnicki</t>
  </si>
  <si>
    <t>wrocławski</t>
  </si>
  <si>
    <t>Gmina Legnickie Pole</t>
  </si>
  <si>
    <t>legnicki</t>
  </si>
  <si>
    <t>lubiński</t>
  </si>
  <si>
    <t>A/2021/G-154</t>
  </si>
  <si>
    <t>Gmina Gaworzyce</t>
  </si>
  <si>
    <t>0216022</t>
  </si>
  <si>
    <t>Przebudowa drogi gminnej nr 100093D pomiędzy miejscowościami Gaworzyce i Kłobuczyn</t>
  </si>
  <si>
    <t>07/2021 - 04/2023</t>
  </si>
  <si>
    <t>Gmina Gromadka</t>
  </si>
  <si>
    <t>kamiennogórski</t>
  </si>
  <si>
    <t>Gmina Sobótka</t>
  </si>
  <si>
    <t>Zadanie nowe/wieloletnie [N/W]</t>
  </si>
  <si>
    <t>N - zadanie nowe, W - nowe zadanie wieloletnie</t>
  </si>
  <si>
    <t>* Kwota dofinansowania zmniejszona z uwagi na osiągnięcie ustawowej wartości list rezerwowych. Nie ma możliwości zwiększenia kwoty dofinansowania. Realizacja zadania będzie wymagała zabezpieczenia wkładu własnego wnioskodawcy w większej wysokości</t>
  </si>
  <si>
    <t>Gmina Polanica-Zdrój</t>
  </si>
  <si>
    <t>Gmina Siechnice</t>
  </si>
  <si>
    <t>Gmina Prusice</t>
  </si>
  <si>
    <t>lubański</t>
  </si>
  <si>
    <t>złotoryjski</t>
  </si>
  <si>
    <t>Gmina Ścinawa</t>
  </si>
  <si>
    <t>Gmina Dobroszyce</t>
  </si>
  <si>
    <t>karkonoski</t>
  </si>
  <si>
    <t>ZATWIERDZAM</t>
  </si>
  <si>
    <t>………………………………………………………………………………….</t>
  </si>
  <si>
    <t>Podsumowanie naboru:</t>
  </si>
  <si>
    <t>Kategoria drogi - rodzaj listy</t>
  </si>
  <si>
    <t>Liczba zadań</t>
  </si>
  <si>
    <t>Wartość zadań ogółem</t>
  </si>
  <si>
    <t>Deklarowana kwota środków własnych</t>
  </si>
  <si>
    <t>Kwota dofinasowania ogółem</t>
  </si>
  <si>
    <t>powiatowe - lista podstawowa, z tego:</t>
  </si>
  <si>
    <t>gminne - lista podstawowa, z tego:</t>
  </si>
  <si>
    <t>RAZEM listy podstawowe, z tego:</t>
  </si>
  <si>
    <t>powiatowe - lista rezerwowa</t>
  </si>
  <si>
    <t>gminne - lista rezerwowa</t>
  </si>
  <si>
    <t>RAZEM listy rezerwowe, z tego:</t>
  </si>
  <si>
    <t>RAZEM listy, z tego:</t>
  </si>
  <si>
    <t>Wnioskowana kwota dofinansowania 
(w zł)</t>
  </si>
  <si>
    <t>Ogółem wartość projektu  
(w zł)</t>
  </si>
  <si>
    <t>Długość odcinka 
(w km)</t>
  </si>
  <si>
    <t>RFRD/2022/A/P-24</t>
  </si>
  <si>
    <t>RFRD/2022/A/P-9</t>
  </si>
  <si>
    <t>RFRD/2022/A/P-10</t>
  </si>
  <si>
    <t>Powiat Świdnicki</t>
  </si>
  <si>
    <t>0219</t>
  </si>
  <si>
    <t xml:space="preserve">Powiat Lubiński </t>
  </si>
  <si>
    <t xml:space="preserve">Powiat Trzebnicki </t>
  </si>
  <si>
    <t xml:space="preserve">Remont drogi powiatowej nr 3275D Niemojów - Różanka </t>
  </si>
  <si>
    <t>V.2022-IX.2023</t>
  </si>
  <si>
    <t>Remont drogi powiatowej nr 1232D relacji Lisiec-Zimna Woda</t>
  </si>
  <si>
    <t>IV.2022-VI.2023</t>
  </si>
  <si>
    <t>Remont drogi powiatowej nr 1211D na odcinkach Olszany- Górzyn - Naroczyce</t>
  </si>
  <si>
    <t>RFRD/2022/A/P-6</t>
  </si>
  <si>
    <t>RFRD/2022/A/P-19</t>
  </si>
  <si>
    <t>Gmina Wałbrzych</t>
  </si>
  <si>
    <t>Gmina Legnica</t>
  </si>
  <si>
    <t>0262</t>
  </si>
  <si>
    <t>Powiat Karkonoski</t>
  </si>
  <si>
    <t>0206</t>
  </si>
  <si>
    <t>Przebudowa ul. Sikorskiego w Legnicy</t>
  </si>
  <si>
    <t>VI.2022-VI.2023</t>
  </si>
  <si>
    <t>Przebudowa ul. 1-go Maja na odcinku od ul. Jedności Narodowej do ul. Kilińskiego w Szklarskiej Porębie (w km 0+000 do 0+561)</t>
  </si>
  <si>
    <t>IV.2022-IX.2023</t>
  </si>
  <si>
    <t>RFRD/2022/A/G-84</t>
  </si>
  <si>
    <t>RFRD/2022/A/G-148</t>
  </si>
  <si>
    <t>RFRD/2022/A/G-79</t>
  </si>
  <si>
    <t>RFRD/2022/A/G-31</t>
  </si>
  <si>
    <t>RFRD/2022/A/G-141</t>
  </si>
  <si>
    <t>RFRD/2022/A/G-48</t>
  </si>
  <si>
    <t>RFRD/2022/A/G-11</t>
  </si>
  <si>
    <t>RFRD/2022/A/G-132</t>
  </si>
  <si>
    <t>RFRD/2022/A/G-90</t>
  </si>
  <si>
    <t>RFRD/2022/A/G-91</t>
  </si>
  <si>
    <t>RFRD/2022/A/G-61</t>
  </si>
  <si>
    <t>RFRD/2022/A/G-108</t>
  </si>
  <si>
    <t>RFRD/2022/A/G-12</t>
  </si>
  <si>
    <t>RFRD/2022/A/G-33</t>
  </si>
  <si>
    <t xml:space="preserve">Gmina Strzegom </t>
  </si>
  <si>
    <t>Gmina Przemków</t>
  </si>
  <si>
    <t>Gmina Świebodzice</t>
  </si>
  <si>
    <t>Gmina Jeżów Sudecki</t>
  </si>
  <si>
    <t>Gmina Miejska Kamienna Góra</t>
  </si>
  <si>
    <t>Gmina Miejska Dzierżoniów</t>
  </si>
  <si>
    <t>Gmina Lądek-Zdrój</t>
  </si>
  <si>
    <t>Gmina Świdnica</t>
  </si>
  <si>
    <t>Gmina Bielawa</t>
  </si>
  <si>
    <t>Gmina Udanin</t>
  </si>
  <si>
    <t>Gmina Świerzawa</t>
  </si>
  <si>
    <t>VII.2022-X.2023</t>
  </si>
  <si>
    <t>Remont drogi gminnej w miejscowości Granica</t>
  </si>
  <si>
    <t>VI.2022-XI.2023</t>
  </si>
  <si>
    <t>VI.2022-XII.2023</t>
  </si>
  <si>
    <t>Budowa małej obwodnicy wraz z niezbędną infrastrukturą w rejonie Osiedla Piastowskiego w Świebodzicach</t>
  </si>
  <si>
    <t>IX.2022-VIII.2024</t>
  </si>
  <si>
    <t>Przebudowa drogi ul. Lubawskiej w Kamiennej Górze</t>
  </si>
  <si>
    <t>IV.2022-VIII.2023</t>
  </si>
  <si>
    <t>Przebudowa ul. Sikorskiego w Dzierżoniowie</t>
  </si>
  <si>
    <t>VI.2022-VII.2023</t>
  </si>
  <si>
    <t>Przebudowa z rozbudową dróg osiedlowych gminnych w Marcinowicach</t>
  </si>
  <si>
    <t>IV.2022-XII.2023</t>
  </si>
  <si>
    <t>I.2022-XII.2023</t>
  </si>
  <si>
    <t>Remont dróg gminnych we wsi Zabrów na działkach nr 407/1, 411/1, 412</t>
  </si>
  <si>
    <t>Budowa dróg na ul. Jaśminowej, Lawendowej, Wrzosowej, Różanej i Azaliowej w Żmigrodzie</t>
  </si>
  <si>
    <t>VII.2022-IX.2023</t>
  </si>
  <si>
    <t>Przebudowa drogi gminnej 107351D w miejscowości Ujazd Dolny</t>
  </si>
  <si>
    <t>Remont ul. Pocztowej w Dzierżoniowie</t>
  </si>
  <si>
    <t xml:space="preserve">Przebudowa drogi gminnej w Świerzawie nr 110284D - pl. Wolności, nr 110275D - pl. Bolesława Piasta wraz z kanalizacją deszczową i chodnikiem </t>
  </si>
  <si>
    <t>IV.2022-XI.2023</t>
  </si>
  <si>
    <t>RFRD/2022/A/G-128</t>
  </si>
  <si>
    <t>RFRD/2022/A/G-62</t>
  </si>
  <si>
    <t>RFRD/2022/A/G-131</t>
  </si>
  <si>
    <t>RFRD/2022/A/G-152</t>
  </si>
  <si>
    <t>RFRD/2022/A/G-161</t>
  </si>
  <si>
    <t>RFRD/2022/A/G-129</t>
  </si>
  <si>
    <t>Gmina Łagiewniki</t>
  </si>
  <si>
    <t>Gmina Oleśnica</t>
  </si>
  <si>
    <t>Gmina Jaworzyna Śląska</t>
  </si>
  <si>
    <t>Gmina Miasto Boguszów-Gorce</t>
  </si>
  <si>
    <t>Gmina Wisznia Mała</t>
  </si>
  <si>
    <t>Gmina Milicz</t>
  </si>
  <si>
    <t>Gmina Wiązów</t>
  </si>
  <si>
    <t>oławski</t>
  </si>
  <si>
    <t>milicki</t>
  </si>
  <si>
    <t>Przebudowa drogi gminnej nr 117212D i nr 117211D w m. Trzebnik</t>
  </si>
  <si>
    <t>VIII.2022-XI.2023</t>
  </si>
  <si>
    <t>Budowa dróg na ul. Szymborskiej, Reymonta i Miłosza w Żmigrodzie</t>
  </si>
  <si>
    <t>VI.2022-VIII.2023</t>
  </si>
  <si>
    <t>IX.2022-XI.2023</t>
  </si>
  <si>
    <t xml:space="preserve">Przebudowa wraz z rozbudową drogi gminnej 111247D ul. Ceglanej w Jaworzynie Śląskiej </t>
  </si>
  <si>
    <t>X.2022-XI.2023</t>
  </si>
  <si>
    <t>Przebudowa drogi gminnej - ul. Wincentego Witosa w Boguszowie-Gorcach</t>
  </si>
  <si>
    <t>V.2022-VII.2023</t>
  </si>
  <si>
    <t>Przebudowa drogi gminnej nr 104930D - ul. Szkolna w m. Wisznia Mała</t>
  </si>
  <si>
    <t>I.2022-IV.2023</t>
  </si>
  <si>
    <t>Budowa drogi w Nowej Kuźni w gminie Gromadka</t>
  </si>
  <si>
    <t>Przebudowa drogi gminnej nr 117225D ul. Górna, ul. Kwiatowa w m. Łagiewniki</t>
  </si>
  <si>
    <t>strzeliński</t>
  </si>
  <si>
    <t>Przebudowa ul. Nasławickiej w Rękowie polegająca na wymianie nawierzchni jezdni, budowie fragmentu chodnika oraz przebudowie istniejącej kanalizacji deszczowej</t>
  </si>
  <si>
    <t>Przebudowa drogi gminnej ul. Zielone Wzgórze w Dziwiszowie</t>
  </si>
  <si>
    <t>Przebudowa drogi obejmująca ul. Kamienną i Kościuszki w miejscowości Przemków</t>
  </si>
  <si>
    <t>Przebudowa drogi gminnej na terenie miasta Ścinawa - ul. Klasztorna i Franciszkańska</t>
  </si>
  <si>
    <t xml:space="preserve">RFRD/2022/A/G-123 </t>
  </si>
  <si>
    <t>Budowa drogi gminnej w obrębie 0007 Pasieczna w gminie Jaworzyna Śląska</t>
  </si>
  <si>
    <t>A/2023/P-25</t>
  </si>
  <si>
    <t>Przebudowa drogi powiatowej nr 2887D Strzegom - Graniczna - Goczałków - Rogoźnica etap I</t>
  </si>
  <si>
    <t>05/2023-08/2024</t>
  </si>
  <si>
    <t>A/2023/P-15</t>
  </si>
  <si>
    <t>Powiat Lubiński</t>
  </si>
  <si>
    <t xml:space="preserve">Remont drogi powiatowej nr 1208D na odcinku Toszowice - Tymowa </t>
  </si>
  <si>
    <t>04/2023-06/2024</t>
  </si>
  <si>
    <t>A/2023/P-29</t>
  </si>
  <si>
    <t>Przebudowa drogi powiatowej nr 3158D od miejscowości Braszowice do ronda w Brzeźnicy - etap I, od km 11+207 do km 12+027</t>
  </si>
  <si>
    <t>06/2023-10/2023</t>
  </si>
  <si>
    <t>A/2023/P-3</t>
  </si>
  <si>
    <t>Powiat Lubański</t>
  </si>
  <si>
    <t>0210</t>
  </si>
  <si>
    <t>Przebudowa drogi powiatowej nr 2450D ul. Lipowa w km 0+161 - 0+735 w miejscowości Zaręba</t>
  </si>
  <si>
    <t>04/2023-11/2023</t>
  </si>
  <si>
    <t>A/2023/P-6</t>
  </si>
  <si>
    <t>Powiat Dzierżoniowski</t>
  </si>
  <si>
    <t>0203</t>
  </si>
  <si>
    <t>A/2023/P-8</t>
  </si>
  <si>
    <t>03/2023-11/2023</t>
  </si>
  <si>
    <t>A/2023/P-35</t>
  </si>
  <si>
    <t>Przebudowa drogi powiatowej nr 1365D na odcinku Piotrowiczki do wiaduktu drogi ekspresowej S5</t>
  </si>
  <si>
    <t>06/2023-11/2024</t>
  </si>
  <si>
    <t>A/2023/P-21</t>
  </si>
  <si>
    <t>Powiat Wrocławski</t>
  </si>
  <si>
    <t>Rozbudowa drogi powiatowej nr 2000D w Mietkowie - zadanie 2</t>
  </si>
  <si>
    <t>07/2023-12/2024</t>
  </si>
  <si>
    <t>A/2023/P-22</t>
  </si>
  <si>
    <t>Przebudowa ul. Złotoryjskiej od ronda Unii Europejskiej do ul. Ceglanej</t>
  </si>
  <si>
    <t>08/2023-04/2024</t>
  </si>
  <si>
    <t>A/2023/P-33</t>
  </si>
  <si>
    <t>Powiat Legnicki</t>
  </si>
  <si>
    <t>0209</t>
  </si>
  <si>
    <t>Remont nawierzchni drogi powiatowej nr 2192D na odcinku Tyniec Legnicki - Dzierżkowice i na odcinku Dzierżkowice - Strzałkowice</t>
  </si>
  <si>
    <t>04/2023-10/2023</t>
  </si>
  <si>
    <t>A/2023/P-1</t>
  </si>
  <si>
    <t>Powiat Oleśnicki</t>
  </si>
  <si>
    <t>0214</t>
  </si>
  <si>
    <t>Przebudowa drogi powiatowej nr 1509D w ul. Moniuszki na odcinku od ul. 11 Listopada do ul. Daszyńskiego</t>
  </si>
  <si>
    <t>03/2023 - 11/2023</t>
  </si>
  <si>
    <t>A/2023/P-26</t>
  </si>
  <si>
    <t>A/2023/P-16</t>
  </si>
  <si>
    <t>04/2023-03/2024</t>
  </si>
  <si>
    <t>A/2023/P-36</t>
  </si>
  <si>
    <t>Przebudowa drogi powiatowej nr 2720D Podgórzyn - Borowice - Sosnówka w km 0+000 do 5+002</t>
  </si>
  <si>
    <t>07/2023-09/2025</t>
  </si>
  <si>
    <t>A/2023/P-7</t>
  </si>
  <si>
    <t xml:space="preserve">Przebudowa mostu drogowego nad rzeką Ślęzą w ciągu drogi powiatowej nr 3025D w Wilkowie Wielkim </t>
  </si>
  <si>
    <t>A/2023/P-31</t>
  </si>
  <si>
    <t>Powiat Milicki</t>
  </si>
  <si>
    <t>0213</t>
  </si>
  <si>
    <t>Przebudowa drogi powiatowej nr 1414D na odcinku od drogi krajowej nr 15 do miejscowości Guzowice</t>
  </si>
  <si>
    <t>04/2023-12/2023</t>
  </si>
  <si>
    <t>A/2023/P-13</t>
  </si>
  <si>
    <t>Przebudowa drogi powiatowej nr 3245D na odcinku Łączna - Bierkowice</t>
  </si>
  <si>
    <t>05/2023-10/2023</t>
  </si>
  <si>
    <t>A/2023/P-11</t>
  </si>
  <si>
    <t>Remont mostu JNI 1015881 zlokalizowanego w ciągu drogi powiatowej nr 2511D w m. Pławna gmina Lubomierz</t>
  </si>
  <si>
    <t>A/2023/P-30</t>
  </si>
  <si>
    <t>Przebudowa drogi powiatowej nr 3177D w miejscowości Stolec, etap I od km 3+467 do km 4+215</t>
  </si>
  <si>
    <t>A/2023/P-17</t>
  </si>
  <si>
    <t>Powiat Głogowski</t>
  </si>
  <si>
    <t>Przebudowa drogi powiatowej 1015D w m. Ruszowice</t>
  </si>
  <si>
    <t>05/2023-12/2023</t>
  </si>
  <si>
    <t>A/2023/P-23</t>
  </si>
  <si>
    <t>Powiat Kamiennogórski</t>
  </si>
  <si>
    <t>0207</t>
  </si>
  <si>
    <t>A/2023/G-6</t>
  </si>
  <si>
    <t>Gmina Kudowa-Zdrój</t>
  </si>
  <si>
    <t>Przebudowa ul. Słone i ul. Nad Potokiem w Kudowie -Zdroju - etap II</t>
  </si>
  <si>
    <t>01/2023-12/2023</t>
  </si>
  <si>
    <t>A/2023/G-143</t>
  </si>
  <si>
    <t>Gmina Kłodzko</t>
  </si>
  <si>
    <t>Przebudowa drogi gminnej nr 118897D we wsi Krosnowice odcinek do cmentarza - etap II</t>
  </si>
  <si>
    <t>06/2023-05/2024</t>
  </si>
  <si>
    <t>A/2023/G-108</t>
  </si>
  <si>
    <t>Przebudowa drogi gminnej w miejscowości Tworzyjanów dz. 390, 392, cz. 398</t>
  </si>
  <si>
    <t>12/2022-11/2023</t>
  </si>
  <si>
    <t>A/2023/G-3</t>
  </si>
  <si>
    <t>głogowski</t>
  </si>
  <si>
    <t>Przebudowa drogi gminnej nr 100042D na odcinku Dankowice - Bukwica, gmina Żukowice</t>
  </si>
  <si>
    <t>05/2023 - 11/2023</t>
  </si>
  <si>
    <t>A/2023/G-94</t>
  </si>
  <si>
    <t>Gmina Ziębice</t>
  </si>
  <si>
    <t>A/2023/G-102</t>
  </si>
  <si>
    <t>Gmina Stoszowice</t>
  </si>
  <si>
    <t>Budowa drogi w m. Przedborowa, dz. Nr 1188/2, 1188/21</t>
  </si>
  <si>
    <t>A/2023/G-144</t>
  </si>
  <si>
    <t xml:space="preserve">Remont odcinka drogi gminnej nr 118897D we wsi Krosnowice - II etap </t>
  </si>
  <si>
    <t>A/2023/G-10</t>
  </si>
  <si>
    <t>Gmina Bardo</t>
  </si>
  <si>
    <t>Przebudowa drogi na działce nr 241 i 248 w miejscowości Potworów</t>
  </si>
  <si>
    <t>06/2023-11/2023</t>
  </si>
  <si>
    <t>A/2023/G-21</t>
  </si>
  <si>
    <t>Gmina Bystrzyca Kłodzka</t>
  </si>
  <si>
    <t>Przebudowa ul. Kościelnej w Długopolu-Zdrój</t>
  </si>
  <si>
    <t>A/2023/G-31</t>
  </si>
  <si>
    <t>Gmina Złoty Stok</t>
  </si>
  <si>
    <t>Przebudowa ulicy Lelewela w Złotym Stoku</t>
  </si>
  <si>
    <t>A/2023/G-42</t>
  </si>
  <si>
    <t>Gmina Miejska Kłodzko</t>
  </si>
  <si>
    <t xml:space="preserve">Odbudowa ulic Hołdu Pruskiego i Wolności w Kłodzku </t>
  </si>
  <si>
    <t>A/2023/G-47</t>
  </si>
  <si>
    <t>Gmina Czarny Bór</t>
  </si>
  <si>
    <t>Przebudowa drogi gminnej nr 114780D - ul. Leśna w Czarnym Borze</t>
  </si>
  <si>
    <t>A/2023/G-63</t>
  </si>
  <si>
    <t>Przebudowa drogi gminnej nr 11243D ul. Słowackiego w Jaworzynie Ślaskiej</t>
  </si>
  <si>
    <t>A/2023/G-105</t>
  </si>
  <si>
    <t>Gmina Miejska Chojnów</t>
  </si>
  <si>
    <t>Remont dróg gminnych ul. Wojska Polskiego oraz ul. Ignacego Paderewskiego w Chojnowie</t>
  </si>
  <si>
    <t>A/2023/G-13</t>
  </si>
  <si>
    <t>Gmina Radków</t>
  </si>
  <si>
    <t>Remont drogi gminnej w Ścinawce Średniej ul. 3 -go Maja oraz 11-go Listopada</t>
  </si>
  <si>
    <t>A/2023/G-140</t>
  </si>
  <si>
    <t>Gmina Wleń</t>
  </si>
  <si>
    <t>lwówecki</t>
  </si>
  <si>
    <t>Przebudowa drogi Strzyżowiec - Nielestno w gminie Wleń, usuwanie skutków klęski żywiołowej z 2021 roku</t>
  </si>
  <si>
    <t>A/2023/G-109</t>
  </si>
  <si>
    <t>Przebudowa dróg gminnych ul. Jana Kochanowskiego oraz fragmentu ul. Władysława Broniewskiego w Boguszowie-Gorcach wraz z niezbędną infrastrukturą techniczną</t>
  </si>
  <si>
    <t>05/2023-12/2024</t>
  </si>
  <si>
    <t>A/2023/G-57</t>
  </si>
  <si>
    <t>Gmina Oborniki Śląskie</t>
  </si>
  <si>
    <t>Przebudowa ul. Granicznej w miejscowości Zajączków.</t>
  </si>
  <si>
    <t>A/2023/G-58</t>
  </si>
  <si>
    <t>Rozbudowa drogi gminnej nr 117931 D (ul. Wysoka) łączącej Camping "Sudety" w Bielawie z drogą wojewódzką nr 384 - etap I</t>
  </si>
  <si>
    <t>A/2023/G-103</t>
  </si>
  <si>
    <t>Gmina Niemcza</t>
  </si>
  <si>
    <t>Przebudowa drogi gminnej nr 117501D z Kietlina do Wilkowa Wielkiego</t>
  </si>
  <si>
    <t>A/2023/G-111</t>
  </si>
  <si>
    <t>Gmina Miejska Zawidów</t>
  </si>
  <si>
    <t>zgorzelecki</t>
  </si>
  <si>
    <t>Przebudowa ulicy Jana Pawła II w Zawidowie</t>
  </si>
  <si>
    <t>A/2023/G-45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</si>
  <si>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</si>
  <si>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</si>
  <si>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</si>
  <si>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</si>
  <si>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</si>
  <si>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</si>
  <si>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</si>
  <si>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A/2023/G-128</t>
  </si>
  <si>
    <t>Gmina Mieroszów</t>
  </si>
  <si>
    <t>0221063</t>
  </si>
  <si>
    <t>Remont drogi nr 116277 D w Rybnicy Leśnej</t>
  </si>
  <si>
    <t>04/2023 - 09/2023</t>
  </si>
  <si>
    <t>A/2023/G-2</t>
  </si>
  <si>
    <t>Gmina Pieszyce</t>
  </si>
  <si>
    <t>Przebudowa drogi publicznej nr 117655D w miejscowości Piskorzów etap 1</t>
  </si>
  <si>
    <t>05/2023 - 09/2024</t>
  </si>
  <si>
    <t>A/2023/G-74</t>
  </si>
  <si>
    <t>Gmina Trzebnica</t>
  </si>
  <si>
    <t>Budowa dróg gminnych w Trzebnicy (ul. Zielonego Dębu i ul. Bukowej)</t>
  </si>
  <si>
    <t>09/2023-08/2024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</si>
  <si>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</si>
  <si>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</si>
  <si>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</si>
  <si>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</si>
  <si>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</si>
  <si>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A/2023/G-39</t>
  </si>
  <si>
    <t>Gmina Głuszyca</t>
  </si>
  <si>
    <t>Poprawa bezpieczeństwa ruchu drogowego poprzez remont drogi gminnej ul. Włókniarzy w Głuszycy</t>
  </si>
  <si>
    <t>A/2023/G-87</t>
  </si>
  <si>
    <t>Gmina Paszowice</t>
  </si>
  <si>
    <t>jaworski</t>
  </si>
  <si>
    <t>Przebudowa drogi wewnętrznej w Paszowicach na działkach 5/11, 5/22, 599/6, 5/29 do centrum usługowo-mieszkaniowego</t>
  </si>
  <si>
    <t>A/2023/G-28</t>
  </si>
  <si>
    <t>Gmina Góra</t>
  </si>
  <si>
    <t>górowski</t>
  </si>
  <si>
    <t>Przebudowa drogi w m. Rogów Górowski</t>
  </si>
  <si>
    <t>04/2023-08/2023</t>
  </si>
  <si>
    <t>A/2023/G-25</t>
  </si>
  <si>
    <t>Przebudowa obiektu mostowego nad rzeką Piławą wraz z odcinkiem drogi gminnej nr 111785 D w miejscowości Makowice - etap II</t>
  </si>
  <si>
    <t>A/2023/G-50</t>
  </si>
  <si>
    <t>Gmina Miejska Kowary</t>
  </si>
  <si>
    <t>Przebudowa ulicy Bielarskiej w Kowarach</t>
  </si>
  <si>
    <t>02/2023-10/2023</t>
  </si>
  <si>
    <t>A/2023/G-92</t>
  </si>
  <si>
    <t>Gmina Cieszków</t>
  </si>
  <si>
    <t>Przebudowa drogi gminnej i skrzyżowania w m. Pakosławsko</t>
  </si>
  <si>
    <t>03/2023-08/2023</t>
  </si>
  <si>
    <t>A/2023/G-38</t>
  </si>
  <si>
    <t>Poprawa bezpieczeństwa ruchu drogowego poprzez remont dróg gminnych ul. Pionierów i ul. Łukasiewicza w Głuszycy</t>
  </si>
  <si>
    <t>A/2023/G-44</t>
  </si>
  <si>
    <t>Gmina Międzylesie</t>
  </si>
  <si>
    <t>Przebudowa drogi gminnej nr 119957D w miejscowości Domaszków ul. Górna</t>
  </si>
  <si>
    <t>A/2023/G-59</t>
  </si>
  <si>
    <t>Przebudowa drogi gminnej nr 117957 D (ul. Stefana Żeromskiego - etap II) oraz drogi gminnej nr 117896 (ul. Bankowa ) i drogi gminnej nr 117902 D (ul. Sienkiewicza) w Bielawie</t>
  </si>
  <si>
    <t>A/2023/G-62</t>
  </si>
  <si>
    <t>Przebudowa i rozbudowa drogi gminnej ul. Wiosennej w Krynicznie, gm. Wisznia Mała</t>
  </si>
  <si>
    <t>03/2023-09/2023</t>
  </si>
  <si>
    <t>A/2023/G-89</t>
  </si>
  <si>
    <t>Gmina Siekierczyn</t>
  </si>
  <si>
    <t>Przebudowa drogi gminnej wraz z likwidacją muru oraz budową oświetlenia ulicznego</t>
  </si>
  <si>
    <t>03/2023-10/2023</t>
  </si>
  <si>
    <t>A/2023/G-91</t>
  </si>
  <si>
    <t>Gmina Jawor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</si>
  <si>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</si>
  <si>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</si>
  <si>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</si>
  <si>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</si>
  <si>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A/2023/G-30</t>
  </si>
  <si>
    <t>Gmina Walim</t>
  </si>
  <si>
    <t>Przebudowa drogi gminnej ul. Osiedle Słoneczne w Dziećmorowicach</t>
  </si>
  <si>
    <t>A/2023/G-33</t>
  </si>
  <si>
    <t>Gmina Piława Górna</t>
  </si>
  <si>
    <t>Przebudowa dróg gminnych nr 118057D ul. Poziomkowa, nr 118055D ul. Rumiankowa, nr 118056D ul. Makowa w Piławie Górnej</t>
  </si>
  <si>
    <t>A/2023/G-100</t>
  </si>
  <si>
    <t>Gmina Miejska Złotoryja</t>
  </si>
  <si>
    <t>Budowa skrzyżowania ulicy Jerzmanickiej z ulicą Wojska Polskiego w Złotoryi</t>
  </si>
  <si>
    <t>A/2023/G-107</t>
  </si>
  <si>
    <t>Gmina Lewin Kłodzki</t>
  </si>
  <si>
    <t>Przebudowa drogi gminnej w miejscowości Dańczów</t>
  </si>
  <si>
    <t>03/2023-12/2023</t>
  </si>
  <si>
    <t>A/2023/G-20</t>
  </si>
  <si>
    <t>Gmina Miasto Świdnica</t>
  </si>
  <si>
    <t>Rozbudowa wraz z przebudową ul. Kraszowickiej w Świdnicy - Etap IV</t>
  </si>
  <si>
    <t>05/2023-11/2024</t>
  </si>
  <si>
    <t>A/2023/G-65</t>
  </si>
  <si>
    <t>0223083</t>
  </si>
  <si>
    <t>Rozbudowa drogi gminnej ul. Prawocińskiej w Siechnicach  na odcinku od ul. Opolskiej do mostu wraz z budową kładki dla pieszych</t>
  </si>
  <si>
    <t>A/2023/G-142</t>
  </si>
  <si>
    <t>Gmina Dzierżoniów</t>
  </si>
  <si>
    <t>Przebudowa ul. Wrocławskiej w Uciechowie wraz z budową chodnika</t>
  </si>
  <si>
    <t>04/2023-12/2024</t>
  </si>
  <si>
    <t>A/2023/G-11</t>
  </si>
  <si>
    <t>Gmina Mysłakowice</t>
  </si>
  <si>
    <t>A/2023/G-29</t>
  </si>
  <si>
    <t>Przebudowa ul. Przysiółkowej w Mirosławicach wraz z przebudową sieci elektroenergetycznej oraz budową kanałów teletechnicznych</t>
  </si>
  <si>
    <t>07/2023-06/2024</t>
  </si>
  <si>
    <t>A/2023/G-72</t>
  </si>
  <si>
    <t>Gmina Lubin</t>
  </si>
  <si>
    <t>Rozbudowa drogi gminnej nr 103053D w miejscowości Księginice</t>
  </si>
  <si>
    <t>05/2023-06/2024</t>
  </si>
  <si>
    <t>A/2023/G-154</t>
  </si>
  <si>
    <t>Przebudowa ul. Salezjańskiej i Dominikańskiej w Ścinawie</t>
  </si>
  <si>
    <t>A/2023/G-40</t>
  </si>
  <si>
    <t>Gmina Prochowice</t>
  </si>
  <si>
    <t>03/2023-06/2024</t>
  </si>
  <si>
    <t>A/2023/P-39</t>
  </si>
  <si>
    <t>Powiat Polkowicki</t>
  </si>
  <si>
    <t>0216</t>
  </si>
  <si>
    <t>Przebudowa wraz z rozbudową drogi powiatowej nr 1016 w m. Jakubów</t>
  </si>
  <si>
    <t>A/2023/P-2</t>
  </si>
  <si>
    <t>Rozbudowa drogi powiatowe nr 1490D i nr 1485D w miejscowości Domasławice</t>
  </si>
  <si>
    <t>A/2023/P-37</t>
  </si>
  <si>
    <t>Powiat Złotoryjski</t>
  </si>
  <si>
    <t>0226</t>
  </si>
  <si>
    <t>Remont drogi nr 2625D i 2518D Nowa Wieś Grodziska - gr. powiatu (Skorzynice)</t>
  </si>
  <si>
    <t>09/2023-07/2024</t>
  </si>
  <si>
    <t>A/2023/P-10</t>
  </si>
  <si>
    <t>Powiat Średzki</t>
  </si>
  <si>
    <t>Przebudowa drogi powiatowej nr 2056D na odcinku Klęka-Białków</t>
  </si>
  <si>
    <t>05/2023-09/2023</t>
  </si>
  <si>
    <t>A/2023/P-19</t>
  </si>
  <si>
    <t>Powiat Oławski</t>
  </si>
  <si>
    <t>0215</t>
  </si>
  <si>
    <t>Przebudowa drogi powiatowej nr 1573D Gać - Psary</t>
  </si>
  <si>
    <t>A/2023/P-4</t>
  </si>
  <si>
    <t>Przebudowa drogi powiatowej nr 2390D w km 6+242 - 8+255 w miejscowości Wyręba</t>
  </si>
  <si>
    <t>A/2023/P-34</t>
  </si>
  <si>
    <t>Remont nawierzchni drogi nr 2618D na odcinku od m. Krotoszyce do granic powiatu legnickiego</t>
  </si>
  <si>
    <t>04/2023-09/2023</t>
  </si>
  <si>
    <t>A/2023/P-18</t>
  </si>
  <si>
    <t>Remont drogi nr 1005D w m. Kotla</t>
  </si>
  <si>
    <t>A/2023/P-27</t>
  </si>
  <si>
    <t>Powiat Strzeliński</t>
  </si>
  <si>
    <t>0217</t>
  </si>
  <si>
    <t>Przebudowa drogi powiatowej nr 3080D w m. Biały Kościół</t>
  </si>
  <si>
    <t>A/2023/P-14</t>
  </si>
  <si>
    <t>Przebudowa drogi powiatowej nr 3315D Sokolec-Ludwikowice Kłodzkie</t>
  </si>
  <si>
    <t>05/2023-09/2024</t>
  </si>
  <si>
    <t>A/2023/P-40</t>
  </si>
  <si>
    <t>Przebudowa drogi powiatowej nr 1124D na odcinku pomiędzy m. Sobin i Jędrzychów wraz z przebudową skrzyżowania dróg 1124D i 1138D</t>
  </si>
  <si>
    <t>A/2023/P-12</t>
  </si>
  <si>
    <t>Remont drogi powiatowej nr 2531D Pilchowice-Radomice o dł. 4,6 km (0+000-4+600)</t>
  </si>
  <si>
    <t>A/2023/P-38</t>
  </si>
  <si>
    <t>Remont drogi powiatowej nr 2618D Rzymówka - gr. powiatu (Krotoszyce)</t>
  </si>
  <si>
    <t>11/2023-04/2024</t>
  </si>
  <si>
    <t>A/2023/P-32</t>
  </si>
  <si>
    <t>Remont drogi powiatowej nr 1430D polegający na ułożeniu nakładki z mieszanki mineralno-asfaltowej na istniejącej jezdni na odcinku od skrzyżowania z drogą powiatową nr 1432D (Młodzianów) do skrzyżowania z drogą powiatową nr 1436D (Henrykowice)</t>
  </si>
  <si>
    <t>A/2023/P-24</t>
  </si>
  <si>
    <t>Przebudowa drogi powiatowej nr 1986D oraz przebudowa linii elektroenergetycznej nn na dz. 12/2 AM-14, 20 AM-11, 1 AM-12, 32/1 AM-12 obręb Sobótka gm. Sobótka</t>
  </si>
  <si>
    <t>02/2023-11/2023</t>
  </si>
  <si>
    <t>A/2023/P-20</t>
  </si>
  <si>
    <t>Przebudowa drogi powiatowej nr 1539D Miłoszyce - Dziuplina - Jelcz-Laskowice</t>
  </si>
  <si>
    <t>A/2023/P-28</t>
  </si>
  <si>
    <t>03/2023-11/2025</t>
  </si>
  <si>
    <t>A/2023/G-75</t>
  </si>
  <si>
    <t>Przebudowa ulic Malinowej, Poziomkowej, Jagodowej i Borówkowej w Trzebnicy wraz z budową i przebudową infrastruktury towarzyszącej</t>
  </si>
  <si>
    <t>09/2023-03/2025</t>
  </si>
  <si>
    <t>A/2023/G-101</t>
  </si>
  <si>
    <t>Gmina Domaniów</t>
  </si>
  <si>
    <t>Przebudowa drogi gminnej w miejscowości Wierzbno w gminie Domaniów</t>
  </si>
  <si>
    <t>04/2023-10/2024</t>
  </si>
  <si>
    <t>A/2023/G-146</t>
  </si>
  <si>
    <t>Gmina Dobromierz</t>
  </si>
  <si>
    <t>Remont drogi publicznej nr 112376D, ul. Kościelna w Dobromierzu</t>
  </si>
  <si>
    <t>A/2023/G-19</t>
  </si>
  <si>
    <t>Gmina Wińsko</t>
  </si>
  <si>
    <t>wołowski</t>
  </si>
  <si>
    <t>Przebudowa drogi gminnej w Orzeszkowie</t>
  </si>
  <si>
    <t>A/2023/G-22</t>
  </si>
  <si>
    <t>Przebudowa drogi gminnej w Gorzanowie</t>
  </si>
  <si>
    <t>A/2023/G-23</t>
  </si>
  <si>
    <t>Gmina Pieńsk</t>
  </si>
  <si>
    <t>Remont drogi gminnej ul. Stefana Batorego w Pieńsku ( odcinek drogi od budynku nr 78 do ul. Gospodarczej)</t>
  </si>
  <si>
    <t>A/2023/G-27</t>
  </si>
  <si>
    <t>Gmina Miejska Bolesławiec</t>
  </si>
  <si>
    <t>Budowa drogi ul. Powstańców Warszawy w Bolesławcu</t>
  </si>
  <si>
    <t>05/2023-11/2023</t>
  </si>
  <si>
    <t>A/2023/G-36</t>
  </si>
  <si>
    <t>Remont drogi gminnej nr 1019168D w relacji Siekierowice - Dobrzeń</t>
  </si>
  <si>
    <t>A/2023/G-96</t>
  </si>
  <si>
    <t>Gmina Kostomłoty</t>
  </si>
  <si>
    <t>Przebudowa drogi gminnej Piotrowice - Szymanowice - II etap</t>
  </si>
  <si>
    <t>A/2023/G-60</t>
  </si>
  <si>
    <t>Gmina Malczyce</t>
  </si>
  <si>
    <t>Przebudowa ul. Górnej w Kwietnie</t>
  </si>
  <si>
    <t>08/2023 - 11/2023</t>
  </si>
  <si>
    <t>A/2023/G-83</t>
  </si>
  <si>
    <t>Gmina Lubań</t>
  </si>
  <si>
    <t>0210042</t>
  </si>
  <si>
    <t>Przebudowa drogi gminnej w Henrykowie Lubańskim, dz. nr 1006, 1050, 1014, 1178, 791 do posesji nr 147</t>
  </si>
  <si>
    <t>A/2023/G-99</t>
  </si>
  <si>
    <t>A/2023/G-133</t>
  </si>
  <si>
    <t>Przebudowa drogi gminnej w miejscowości Skokowa ul. Strażacka</t>
  </si>
  <si>
    <t>A/2023/G-134</t>
  </si>
  <si>
    <t xml:space="preserve">Gmina Miasto Lwówek Śląski </t>
  </si>
  <si>
    <t xml:space="preserve">Przebudowa drogi gminnej nr 108792D - ul. Pałacowej w Lwówku Śląskim </t>
  </si>
  <si>
    <t>A/2023/G-64</t>
  </si>
  <si>
    <t>Przebudowa drogi gminnej nr 111242D ul. Mickiewicza w Jaworzynie Śląskiej</t>
  </si>
  <si>
    <t>A/2023/G-70</t>
  </si>
  <si>
    <t>Gmina Węgliniec</t>
  </si>
  <si>
    <t>Przebudowa drogi gminnej nr 103638D - ul. Kolejowa w Węglińcu</t>
  </si>
  <si>
    <t>A/2023/G-110</t>
  </si>
  <si>
    <t xml:space="preserve">Przebudowa dróg gminnych ul. A. Walentynowicz i ul. L. Waryńskiego w Boguszowie - Gorcach wraz z niezbędną infrastrukturą </t>
  </si>
  <si>
    <t>09/2023-12/2025</t>
  </si>
  <si>
    <t>A/2023/G-130</t>
  </si>
  <si>
    <t xml:space="preserve">Gmina Miejska Duszniki-Zdrój </t>
  </si>
  <si>
    <t>Zaprojektowanie i wykonanie modernizacji (przebudowy) i budowy drogi gminnej nr 119479D wraz z wykonywaniem sieci wodociągowo kanalizacyjnej ul. Podgórze w Dusznikach-Zdroju</t>
  </si>
  <si>
    <t>A/2023/G-135</t>
  </si>
  <si>
    <t>Przebudowa ul. Prochowej i odcinka ul. Mierniczej w Dzierżoniowie</t>
  </si>
  <si>
    <t>A/2023/G-78</t>
  </si>
  <si>
    <t xml:space="preserve">Remont dróg gminnych na dz. nr 155/2, 149, 166, 186 w miejscowości Nowa Wieś Legnicka </t>
  </si>
  <si>
    <t>A/2023/G-86</t>
  </si>
  <si>
    <t>Gmina Miejska Szczawno-Zdrój</t>
  </si>
  <si>
    <t>0221031</t>
  </si>
  <si>
    <t>Przebudowa ul. Wita Stwosza w Szczawnie - Zdroju</t>
  </si>
  <si>
    <t>A/2023/G-116</t>
  </si>
  <si>
    <t>Gmina Bogatynia</t>
  </si>
  <si>
    <t xml:space="preserve">Przebudowa drogi gminnej publicznej nr 109517D wraz z remontem przepustów oraz rozbudową oświetlenia drogowego i przebudową kanalizacji deszczowej. </t>
  </si>
  <si>
    <t>A/2023/G-7</t>
  </si>
  <si>
    <t>Przebudowa drogi gminnej nr 117414D (działka nr 111 i 136) w miejscowości Wawrzyszów gmina Wiązów</t>
  </si>
  <si>
    <t>A/2023/G-48</t>
  </si>
  <si>
    <t>Gmina Męcinka</t>
  </si>
  <si>
    <t>Przebudowa drogi gminnej nr 2809D na odcinku Męcinka-Słup</t>
  </si>
  <si>
    <t>A/2023/G-53</t>
  </si>
  <si>
    <t xml:space="preserve">Gmina Syców </t>
  </si>
  <si>
    <t>Wykonanie remontu nawierzchni i konstrukcji drogi w ul. Pogodnej, ul. Tęczowej i ul. Słonecznej w m. Syców</t>
  </si>
  <si>
    <t>A/2023/G-104</t>
  </si>
  <si>
    <t>Przebudowa drogi gminnej nr 117520D - ul. Kwiatowa w Niemczy</t>
  </si>
  <si>
    <t>A/2023/G-139</t>
  </si>
  <si>
    <t>Przebudowa ulic: Żeromskiego, Prusa, Norwida w Polanicy-Zdroju oraz budowa odcinka ulicy Norwida</t>
  </si>
  <si>
    <t>03/2023-02/2024</t>
  </si>
  <si>
    <t>A/2023/G-124</t>
  </si>
  <si>
    <t>Przebudowa drogi gminnej  - ulicy Dębowej w miejscowości Udanin</t>
  </si>
  <si>
    <t>01/2023-03/2024</t>
  </si>
  <si>
    <t>A/2023/G-12</t>
  </si>
  <si>
    <t>Gmina Żarów</t>
  </si>
  <si>
    <t>Przebudowa dróg gminnych - ulic Wiosenna, Jaworowa, Topolowa wraz z przebudową i rozbudową skrzyżowania ulic Wiosenna, Jaworowa, Jarzebinowa i Pogodna w Żarowie</t>
  </si>
  <si>
    <t>02/2023-12/2023</t>
  </si>
  <si>
    <t>A/2023/G-16</t>
  </si>
  <si>
    <t xml:space="preserve">Gmina Kąty Wrocławskie </t>
  </si>
  <si>
    <t>Remont drogi gminnej w miejscowości Zachowice ul. Piwna</t>
  </si>
  <si>
    <t>1, 257</t>
  </si>
  <si>
    <t>01/2023-11/2023</t>
  </si>
  <si>
    <t>A/2023/G-121</t>
  </si>
  <si>
    <t>Gmina Chocianów</t>
  </si>
  <si>
    <t xml:space="preserve">Przebudowa drogi gminnej od ul. Kasztanowej za ul. Akacjową w Chocianowie </t>
  </si>
  <si>
    <t>A/2023/G-129</t>
  </si>
  <si>
    <t>Remont drogi nr 116289 D ul. Mickiewicza w Mieroszowie</t>
  </si>
  <si>
    <t>A/2023/G-152</t>
  </si>
  <si>
    <t>Gmina Twardogóra</t>
  </si>
  <si>
    <t>Budowa ul. Kmicica oraz ul. Basieńki w Twardogórze</t>
  </si>
  <si>
    <t>A/2023/G-9</t>
  </si>
  <si>
    <t>Rozbudowa drogi gminnej publicznej nr 110267D relacji Radzyń - Podgórki gm. Świerzawa</t>
  </si>
  <si>
    <t>A/2023/G-90</t>
  </si>
  <si>
    <t>Gmina Ząbkowice Śląskie</t>
  </si>
  <si>
    <t>Przebudowa ulic: Armii Krajowej, Dolnośląska w Ząbkowicach Śląskich</t>
  </si>
  <si>
    <t>A/2023/G-132</t>
  </si>
  <si>
    <t>Przebudowa dróg gminnych w miejscowości Górowo</t>
  </si>
  <si>
    <t>A/2023/G-8</t>
  </si>
  <si>
    <t xml:space="preserve">Gmina Pieszyce </t>
  </si>
  <si>
    <t>Remont drogi publicznej nr 117662D w miejscowości Pieszyce</t>
  </si>
  <si>
    <t>05/2023-08/2023</t>
  </si>
  <si>
    <t>A/2023/G-34</t>
  </si>
  <si>
    <t>Przebudowa dróg w ulicach Słowackiego i Traugutta w Kamiennej Górze</t>
  </si>
  <si>
    <t>A/2023/G-125</t>
  </si>
  <si>
    <t>Gmina Olszyna</t>
  </si>
  <si>
    <t>Remont odcinków drogi gminnej nr 109677 D (ul. Osiedle) oraz drogi gminnej 109682 D (ul. Chopina)</t>
  </si>
  <si>
    <t>A/2023/G-14</t>
  </si>
  <si>
    <t>Gmina Wąsosz</t>
  </si>
  <si>
    <t>Przebudowa odcinka drogi gminnej nr 120164D w miejscowości Bartków, gmina Wąsosz</t>
  </si>
  <si>
    <t>A/2023/G-32</t>
  </si>
  <si>
    <t>Gmina Miasto Oława</t>
  </si>
  <si>
    <t>Rozbudowa drogi gminnej - odcinek ul. Rybackiej w Oławie</t>
  </si>
  <si>
    <t>07/2023-05/2025</t>
  </si>
  <si>
    <t>A/2023/G-56</t>
  </si>
  <si>
    <t xml:space="preserve">Budowa dróg na ul. Szymborskiej, Reymonta i Miłosza w Żmigrodzie. </t>
  </si>
  <si>
    <t>01/2023-09/2023</t>
  </si>
  <si>
    <t>A/2023/G-5</t>
  </si>
  <si>
    <t>Gmina Strzelin</t>
  </si>
  <si>
    <t>Przebudowa odcinka drogi gminnej wraz z przebudową mostu usytuowanego w ciągu drogi oraz budową oświetlenia na ulicy Brzegowej w Strzelinie</t>
  </si>
  <si>
    <t>A/2023/G-106</t>
  </si>
  <si>
    <t>A/2023/G-112</t>
  </si>
  <si>
    <t>Gmina Lubomierz</t>
  </si>
  <si>
    <t>Remont drogi gminnej nr 112580D w Olesznej Podgórskiej</t>
  </si>
  <si>
    <t>A/2023/G-69</t>
  </si>
  <si>
    <t>Przebudowa drogi gminnej dz. nr102173D  w miejscowości Krzeczyn</t>
  </si>
  <si>
    <t>A/2023/G-84</t>
  </si>
  <si>
    <t>Gmina Przeworno</t>
  </si>
  <si>
    <t>Przebudowa drogi gminnej w miejscowości Miłocice</t>
  </si>
  <si>
    <t>06/2023-09/2024</t>
  </si>
  <si>
    <t>A/2023/G-95</t>
  </si>
  <si>
    <t>Gmina Jelcz-Laskowice</t>
  </si>
  <si>
    <t>Przebudowa dróg gminnych ul. Piastowskiej i ul. Partyzantów w Jelczu-Laskowicach</t>
  </si>
  <si>
    <t>01/2023-10/2023</t>
  </si>
  <si>
    <t>A/2023/G-114</t>
  </si>
  <si>
    <t>Gmina Mściwojów</t>
  </si>
  <si>
    <t>Przebudowa drogi gminnej w Marcinowicach w granicach działek 194, 195</t>
  </si>
  <si>
    <t>A/2023/G-117</t>
  </si>
  <si>
    <t>Uzbrojenie obszaru w rejonie ulic Trzebnickiej, Dojazdowej i Akacjowej w Milicz - budowa ulicy Konwaliowej i Fiołkowej</t>
  </si>
  <si>
    <t>A/2023/G-73</t>
  </si>
  <si>
    <t>Budowa drogi gminnej wraz z infrastrukturą towarzyszącą w miejscowości Krzeczyn Wielki - II etap</t>
  </si>
  <si>
    <t>A/2023/G-98</t>
  </si>
  <si>
    <t>Gmina Kotla</t>
  </si>
  <si>
    <t>Remont drogi gminnej nr 100001 D relacji Sobczyce-Zabiele</t>
  </si>
  <si>
    <t>A/2023/G-138</t>
  </si>
  <si>
    <t xml:space="preserve">Gmina Jerzmanowa </t>
  </si>
  <si>
    <t>Budowa drogi na działce nr geod. 270 w miejscowości Potoczek wraz z wykonywaniem odwodnienia i oświeltenia drogowego</t>
  </si>
  <si>
    <t>02/2023-09/2024</t>
  </si>
  <si>
    <t>A/2023/G-1</t>
  </si>
  <si>
    <t>Gmina Kobierzyce</t>
  </si>
  <si>
    <t>Przebudowa dróg gminnych -  ul. Spacerowej oraz ul. Ogrodowej w miejscowości Bąki wraz z budową chodników, rozbudową sieci wodociągowej i sieci kanalizacji sanitarnej oraz budową kanalizacji deszczowej</t>
  </si>
  <si>
    <t>09/2022 - 03/2024</t>
  </si>
  <si>
    <t>A/2023/G-43</t>
  </si>
  <si>
    <t>Gmina Miejska Głogów</t>
  </si>
  <si>
    <t>Przebudowa drogi gminnej ul. Jagiellońskiej w Głogowie w zakresie wymiany nawierzchni jezdni, skrzyżowań, zjazdów, budowy miejsc postojowych i chodników wraz z przebudową elektroenergetycznej sieci kablowej oświetlenia drogowego nn 0,4 KV</t>
  </si>
  <si>
    <t>0205052</t>
  </si>
  <si>
    <t>0223073</t>
  </si>
  <si>
    <t>0216053</t>
  </si>
  <si>
    <t>0219021</t>
  </si>
  <si>
    <t>0206062</t>
  </si>
  <si>
    <t>0207011</t>
  </si>
  <si>
    <t>0202021</t>
  </si>
  <si>
    <t>0219052</t>
  </si>
  <si>
    <t>0211043</t>
  </si>
  <si>
    <t>0220063</t>
  </si>
  <si>
    <t>0218052</t>
  </si>
  <si>
    <t>0226043</t>
  </si>
  <si>
    <t>0202062</t>
  </si>
  <si>
    <t>0219043</t>
  </si>
  <si>
    <t>0221011</t>
  </si>
  <si>
    <t>0220042</t>
  </si>
  <si>
    <t>0208031</t>
  </si>
  <si>
    <t>0208072</t>
  </si>
  <si>
    <t>0203062</t>
  </si>
  <si>
    <t>0224063</t>
  </si>
  <si>
    <t>0224042</t>
  </si>
  <si>
    <t>0224013</t>
  </si>
  <si>
    <t>0224073</t>
  </si>
  <si>
    <t>0208021</t>
  </si>
  <si>
    <t>0208063</t>
  </si>
  <si>
    <t>0221042</t>
  </si>
  <si>
    <t>0209011</t>
  </si>
  <si>
    <t>0208123</t>
  </si>
  <si>
    <t>0212053</t>
  </si>
  <si>
    <t>0220013</t>
  </si>
  <si>
    <t>0202011</t>
  </si>
  <si>
    <t>0225011</t>
  </si>
  <si>
    <t>0208083</t>
  </si>
  <si>
    <t>0221053</t>
  </si>
  <si>
    <t>0204013</t>
  </si>
  <si>
    <t>0219072</t>
  </si>
  <si>
    <t>0206021</t>
  </si>
  <si>
    <t>0213012</t>
  </si>
  <si>
    <t>0208103</t>
  </si>
  <si>
    <t>0210072</t>
  </si>
  <si>
    <t>0205011</t>
  </si>
  <si>
    <t>0221082</t>
  </si>
  <si>
    <t>0202041</t>
  </si>
  <si>
    <t>0226021</t>
  </si>
  <si>
    <t>0208092</t>
  </si>
  <si>
    <t>0219011</t>
  </si>
  <si>
    <t>0202052</t>
  </si>
  <si>
    <t>0206072</t>
  </si>
  <si>
    <t>0215022</t>
  </si>
  <si>
    <t>0222022</t>
  </si>
  <si>
    <t>0225043</t>
  </si>
  <si>
    <t>0201011</t>
  </si>
  <si>
    <t>0214032</t>
  </si>
  <si>
    <t>0218012</t>
  </si>
  <si>
    <t>0218022</t>
  </si>
  <si>
    <t>0201032</t>
  </si>
  <si>
    <t>0220023</t>
  </si>
  <si>
    <t>0212033</t>
  </si>
  <si>
    <t>0225063</t>
  </si>
  <si>
    <t>0208011</t>
  </si>
  <si>
    <t>0209052</t>
  </si>
  <si>
    <t>0217053</t>
  </si>
  <si>
    <t>0205032</t>
  </si>
  <si>
    <t>0214073</t>
  </si>
  <si>
    <t>0208051</t>
  </si>
  <si>
    <t>0216013</t>
  </si>
  <si>
    <t>0214083</t>
  </si>
  <si>
    <t>0204043</t>
  </si>
  <si>
    <t>0215011</t>
  </si>
  <si>
    <t>0217043</t>
  </si>
  <si>
    <t>0212023</t>
  </si>
  <si>
    <t>0214062</t>
  </si>
  <si>
    <t>0215033</t>
  </si>
  <si>
    <t>0205042</t>
  </si>
  <si>
    <t>0213033</t>
  </si>
  <si>
    <t>0203042</t>
  </si>
  <si>
    <t>0203032</t>
  </si>
  <si>
    <t>0223052</t>
  </si>
  <si>
    <t>0203011</t>
  </si>
  <si>
    <t>A/2023/G-51</t>
  </si>
  <si>
    <t>Gmina Żórawina</t>
  </si>
  <si>
    <t>Przebudowa drogi gminnej w Żórawinie (ulicy Gwiaździstej i Kosmicznej)</t>
  </si>
  <si>
    <t>0202</t>
  </si>
  <si>
    <t>0265</t>
  </si>
  <si>
    <t>0202073</t>
  </si>
  <si>
    <t>0202033</t>
  </si>
  <si>
    <t>0220033</t>
  </si>
  <si>
    <t>0211022</t>
  </si>
  <si>
    <t>0219032</t>
  </si>
  <si>
    <t>0209073</t>
  </si>
  <si>
    <t>0219083</t>
  </si>
  <si>
    <t>0223043</t>
  </si>
  <si>
    <t>0224053</t>
  </si>
  <si>
    <t>0210053</t>
  </si>
  <si>
    <t>0217032</t>
  </si>
  <si>
    <t>0223092</t>
  </si>
  <si>
    <t>0225033</t>
  </si>
  <si>
    <t>Przebudowa drogi powiatowej nr 3021D Mikoszów - Prusy</t>
  </si>
  <si>
    <t>05/2023-04/2024</t>
  </si>
  <si>
    <t>06/2023 - 07/2024</t>
  </si>
  <si>
    <t>06/2022-05/2024</t>
  </si>
  <si>
    <t>Przebudowa drogi gminnej (ul. Rogowska) wraz z przebudową skrzyżowania z ul. Wojska Polskiego w Prochowicach</t>
  </si>
  <si>
    <r>
      <t>Dofinansowanie przyznane w naborze</t>
    </r>
    <r>
      <rPr>
        <b/>
        <sz val="10"/>
        <color theme="1"/>
        <rFont val="Times New Roman"/>
        <family val="1"/>
        <charset val="238"/>
      </rPr>
      <t>:</t>
    </r>
    <r>
      <rPr>
        <sz val="10"/>
        <color theme="1"/>
        <rFont val="Times New Roman"/>
        <family val="1"/>
        <charset val="238"/>
      </rPr>
      <t xml:space="preserve"> na rok 2023</t>
    </r>
  </si>
  <si>
    <t>Województwo: dolnośląskie</t>
  </si>
  <si>
    <t>Budowa z przebudową ulicy Inżynierskiej w Świdnicy</t>
  </si>
  <si>
    <t xml:space="preserve">Gmina Radwanice </t>
  </si>
  <si>
    <t>Remont dróg gminnych na działkach nr 811/8, 353/9, 180/3, 179/9, 351/2, 810/1 (ul. Jodłowa, Platanowa, Lipowa) w Radwanicach</t>
  </si>
  <si>
    <t xml:space="preserve">Gmina Rudna </t>
  </si>
  <si>
    <t xml:space="preserve">Remont drogi gminnej nr 101169D w m. Olszany </t>
  </si>
  <si>
    <t xml:space="preserve">Gmina Polanica-Zdrój </t>
  </si>
  <si>
    <t xml:space="preserve">Przebudowa ulicy Marii Konopnickiej oraz odcinka ulicy Ogrodowej w Polanicy-Zdroju </t>
  </si>
  <si>
    <t>3/2023 - 2/2024</t>
  </si>
  <si>
    <t>Przebudowa ulicy Kwiatowej w miejscowości Marcinowice, dz. nr. 368</t>
  </si>
  <si>
    <t>02/2023-09/2023</t>
  </si>
  <si>
    <t xml:space="preserve"> świdnicki</t>
  </si>
  <si>
    <t>53*</t>
  </si>
  <si>
    <t>Przebudowa drogi powiatowej nr 3018D polegająca na budowie kanalizacji deszczowej, chodnika, zjazdów z drogi powiatowej oraz przebudowie kolidującej linii kablowej niskiego napięcia w miejscowości Bratoszów</t>
  </si>
  <si>
    <t>Przebudowa drogi powiatowej nr 3401 D ( ul. Matejki) i drogi powiatowej nr 3361 D (ul. Moniuszki): od ul. Matejki do ul. Zamkowej w Wałbrzychu wraz z towarzyszącą infrastrukturą w ramach rewitalizacji poprawa dostępności komunikacyjnej, podniesienie estetyki miasta</t>
  </si>
  <si>
    <t>Gmina Żukowice</t>
  </si>
  <si>
    <t>A/2023/G-80</t>
  </si>
  <si>
    <t>A/2023/G-97</t>
  </si>
  <si>
    <t>Przebudowa dróg gminnych ul. Polnej i ulicy Szkolnej w Łażanach</t>
  </si>
  <si>
    <t>A/2023/G-156</t>
  </si>
  <si>
    <t>Przebudowa drogi powiatowej nr 1994D Chwałków - gr. powiatu</t>
  </si>
  <si>
    <t>Przebudowa drogi gminnej nr 115164D i 115165D - ul. Czarny Strumień i ul. Górna w Łomnicy</t>
  </si>
  <si>
    <t>Remont drogi powiatowej nr 1219D w Szklarach Górnych</t>
  </si>
  <si>
    <t xml:space="preserve">11 rezygnacja </t>
  </si>
  <si>
    <t>42
rezygnacja</t>
  </si>
  <si>
    <t>Przebudowa ulicy Różanej w Ziębicach od ul. Cichej do ul. Spacerowej</t>
  </si>
  <si>
    <t>38 rezygnacja</t>
  </si>
  <si>
    <t>82 
wykreślenie</t>
  </si>
  <si>
    <t xml:space="preserve">A/2023/G-119 </t>
  </si>
  <si>
    <t>85 
rezygnacja</t>
  </si>
  <si>
    <t>A/2023/G-157</t>
  </si>
  <si>
    <t>Remont drogi powiatowej nr 3462D Uniemyśl - Okrzeszyn w km 13+790-14+320</t>
  </si>
  <si>
    <t>.</t>
  </si>
  <si>
    <t>66 
rezygnacja</t>
  </si>
  <si>
    <t>30 
rezygnacja</t>
  </si>
  <si>
    <t>29
rezygnacja</t>
  </si>
  <si>
    <t>48 wykreślenie</t>
  </si>
  <si>
    <t>93
rezygnacja</t>
  </si>
  <si>
    <t>11/2023-10/2024</t>
  </si>
  <si>
    <t>limit</t>
  </si>
  <si>
    <t xml:space="preserve">32* </t>
  </si>
  <si>
    <t>25 wykreślenie</t>
  </si>
  <si>
    <t>73 wykreślenie</t>
  </si>
  <si>
    <t>95*</t>
  </si>
  <si>
    <t xml:space="preserve">44 
rezygnacja </t>
  </si>
  <si>
    <t xml:space="preserve">Zmiana nr 5 Listy zadań rekomendowanych do dofinansowania w ramach Rządowego Funduszu Rozwoju Dróg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</si>
</sst>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.000"/>
    <numFmt numFmtId="165" formatCode="0.0000"/>
    <numFmt numFmtId="166" formatCode="#,##0.00\ &quot;zł&quot;"/>
  </numFmts>
  <fonts count="34" x14ac:knownFonts="1"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8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FFC000"/>
      <name val="Arial"/>
      <family val="2"/>
      <charset val="238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</font>
    <font>
      <sz val="9"/>
      <color rgb="FFFFC000"/>
      <name val="Arial"/>
      <family val="2"/>
      <charset val="238"/>
    </font>
    <font>
      <sz val="9"/>
      <color theme="7"/>
      <name val="Arial"/>
      <family val="2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">
    <xf numFmtId="0" fontId="0" fillId="0" borderId="0"/>
    <xf numFmtId="0" fontId="11" fillId="0" borderId="0"/>
    <xf numFmtId="9" fontId="4" fillId="0" borderId="0" applyFont="0" applyFill="0" applyBorder="0" applyAlignment="0" applyProtection="0"/>
    <xf numFmtId="9" fontId="13" fillId="0" borderId="0" applyBorder="0" applyProtection="0"/>
    <xf numFmtId="0" fontId="4" fillId="0" borderId="0"/>
    <xf numFmtId="43" fontId="4" fillId="0" borderId="0" applyFont="0" applyFill="0" applyBorder="0" applyAlignment="0" applyProtection="0"/>
  </cellStyleXfs>
  <cellXfs count="327">
    <xf numFmtId="0" fontId="0" fillId="0" borderId="0" xfId="0"/>
    <xf numFmtId="0" fontId="5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vertical="center" wrapText="1"/>
    </xf>
    <xf numFmtId="0" fontId="5" fillId="2" borderId="0" xfId="1" applyFont="1" applyFill="1" applyBorder="1" applyAlignment="1">
      <alignment wrapText="1"/>
    </xf>
    <xf numFmtId="0" fontId="14" fillId="2" borderId="0" xfId="1" applyFont="1" applyFill="1"/>
    <xf numFmtId="0" fontId="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6" fillId="2" borderId="0" xfId="1" applyFont="1" applyFill="1"/>
    <xf numFmtId="0" fontId="11" fillId="2" borderId="0" xfId="1" applyFill="1"/>
    <xf numFmtId="0" fontId="7" fillId="2" borderId="0" xfId="1" applyFont="1" applyFill="1" applyAlignment="1">
      <alignment vertical="center"/>
    </xf>
    <xf numFmtId="0" fontId="11" fillId="2" borderId="0" xfId="1" applyFill="1" applyAlignment="1">
      <alignment vertical="center"/>
    </xf>
    <xf numFmtId="0" fontId="8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vertical="center"/>
    </xf>
    <xf numFmtId="0" fontId="7" fillId="2" borderId="0" xfId="1" applyFont="1" applyFill="1" applyAlignment="1"/>
    <xf numFmtId="0" fontId="11" fillId="0" borderId="0" xfId="1" applyBorder="1" applyAlignment="1">
      <alignment vertical="center"/>
    </xf>
    <xf numFmtId="0" fontId="11" fillId="0" borderId="0" xfId="1" applyBorder="1"/>
    <xf numFmtId="0" fontId="11" fillId="0" borderId="0" xfId="1"/>
    <xf numFmtId="0" fontId="6" fillId="0" borderId="0" xfId="1" applyFont="1"/>
    <xf numFmtId="0" fontId="7" fillId="0" borderId="1" xfId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1" fillId="0" borderId="0" xfId="1" applyAlignment="1">
      <alignment horizontal="center" vertical="center"/>
    </xf>
    <xf numFmtId="0" fontId="9" fillId="0" borderId="4" xfId="1" applyFont="1" applyFill="1" applyBorder="1" applyAlignment="1">
      <alignment vertical="center"/>
    </xf>
    <xf numFmtId="166" fontId="9" fillId="0" borderId="5" xfId="1" applyNumberFormat="1" applyFont="1" applyFill="1" applyBorder="1" applyAlignment="1">
      <alignment vertical="center"/>
    </xf>
    <xf numFmtId="166" fontId="9" fillId="0" borderId="6" xfId="1" applyNumberFormat="1" applyFont="1" applyFill="1" applyBorder="1" applyAlignment="1">
      <alignment vertical="center"/>
    </xf>
    <xf numFmtId="166" fontId="9" fillId="3" borderId="4" xfId="1" applyNumberFormat="1" applyFont="1" applyFill="1" applyBorder="1" applyAlignment="1">
      <alignment vertical="center"/>
    </xf>
    <xf numFmtId="166" fontId="9" fillId="0" borderId="7" xfId="1" applyNumberFormat="1" applyFont="1" applyFill="1" applyBorder="1" applyAlignment="1">
      <alignment vertical="center"/>
    </xf>
    <xf numFmtId="4" fontId="11" fillId="0" borderId="0" xfId="1" applyNumberFormat="1" applyFill="1" applyBorder="1" applyAlignment="1">
      <alignment vertical="center"/>
    </xf>
    <xf numFmtId="4" fontId="6" fillId="0" borderId="0" xfId="1" applyNumberFormat="1" applyFont="1" applyFill="1" applyBorder="1" applyAlignment="1">
      <alignment vertical="center"/>
    </xf>
    <xf numFmtId="4" fontId="6" fillId="0" borderId="0" xfId="1" applyNumberFormat="1" applyFont="1" applyFill="1" applyBorder="1" applyAlignment="1"/>
    <xf numFmtId="4" fontId="6" fillId="0" borderId="0" xfId="1" applyNumberFormat="1" applyFont="1" applyBorder="1" applyAlignment="1"/>
    <xf numFmtId="0" fontId="6" fillId="0" borderId="0" xfId="1" applyFont="1" applyBorder="1"/>
    <xf numFmtId="0" fontId="15" fillId="2" borderId="8" xfId="1" applyNumberFormat="1" applyFont="1" applyFill="1" applyBorder="1" applyAlignment="1">
      <alignment horizontal="center" vertical="center"/>
    </xf>
    <xf numFmtId="166" fontId="15" fillId="2" borderId="9" xfId="1" applyNumberFormat="1" applyFont="1" applyFill="1" applyBorder="1" applyAlignment="1">
      <alignment vertical="center"/>
    </xf>
    <xf numFmtId="166" fontId="15" fillId="2" borderId="10" xfId="1" applyNumberFormat="1" applyFont="1" applyFill="1" applyBorder="1" applyAlignment="1">
      <alignment vertical="center"/>
    </xf>
    <xf numFmtId="166" fontId="15" fillId="3" borderId="11" xfId="1" applyNumberFormat="1" applyFont="1" applyFill="1" applyBorder="1" applyAlignment="1">
      <alignment vertical="center"/>
    </xf>
    <xf numFmtId="166" fontId="15" fillId="2" borderId="8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left" vertical="center" indent="2"/>
    </xf>
    <xf numFmtId="0" fontId="9" fillId="2" borderId="8" xfId="1" applyNumberFormat="1" applyFont="1" applyFill="1" applyBorder="1" applyAlignment="1">
      <alignment horizontal="center" vertical="center"/>
    </xf>
    <xf numFmtId="166" fontId="9" fillId="2" borderId="9" xfId="1" applyNumberFormat="1" applyFont="1" applyFill="1" applyBorder="1" applyAlignment="1">
      <alignment vertical="center"/>
    </xf>
    <xf numFmtId="166" fontId="9" fillId="2" borderId="10" xfId="1" applyNumberFormat="1" applyFont="1" applyFill="1" applyBorder="1" applyAlignment="1">
      <alignment vertical="center"/>
    </xf>
    <xf numFmtId="166" fontId="9" fillId="3" borderId="11" xfId="1" applyNumberFormat="1" applyFont="1" applyFill="1" applyBorder="1" applyAlignment="1">
      <alignment vertical="center"/>
    </xf>
    <xf numFmtId="166" fontId="9" fillId="2" borderId="8" xfId="1" applyNumberFormat="1" applyFont="1" applyFill="1" applyBorder="1" applyAlignment="1">
      <alignment vertical="center"/>
    </xf>
    <xf numFmtId="0" fontId="15" fillId="0" borderId="12" xfId="1" applyFont="1" applyFill="1" applyBorder="1" applyAlignment="1">
      <alignment horizontal="left" vertical="center" indent="2"/>
    </xf>
    <xf numFmtId="0" fontId="15" fillId="2" borderId="13" xfId="1" applyNumberFormat="1" applyFont="1" applyFill="1" applyBorder="1" applyAlignment="1">
      <alignment horizontal="center" vertical="center"/>
    </xf>
    <xf numFmtId="166" fontId="15" fillId="2" borderId="14" xfId="1" applyNumberFormat="1" applyFont="1" applyFill="1" applyBorder="1" applyAlignment="1">
      <alignment vertical="center"/>
    </xf>
    <xf numFmtId="166" fontId="15" fillId="2" borderId="15" xfId="1" applyNumberFormat="1" applyFont="1" applyFill="1" applyBorder="1" applyAlignment="1">
      <alignment vertical="center"/>
    </xf>
    <xf numFmtId="166" fontId="15" fillId="3" borderId="12" xfId="1" applyNumberFormat="1" applyFont="1" applyFill="1" applyBorder="1" applyAlignment="1">
      <alignment vertical="center"/>
    </xf>
    <xf numFmtId="166" fontId="15" fillId="2" borderId="13" xfId="1" applyNumberFormat="1" applyFont="1" applyFill="1" applyBorder="1" applyAlignment="1">
      <alignment vertical="center"/>
    </xf>
    <xf numFmtId="166" fontId="9" fillId="2" borderId="7" xfId="1" applyNumberFormat="1" applyFont="1" applyFill="1" applyBorder="1" applyAlignment="1">
      <alignment vertical="center"/>
    </xf>
    <xf numFmtId="0" fontId="9" fillId="4" borderId="4" xfId="1" applyFont="1" applyFill="1" applyBorder="1" applyAlignment="1">
      <alignment vertical="center"/>
    </xf>
    <xf numFmtId="0" fontId="9" fillId="4" borderId="7" xfId="1" applyNumberFormat="1" applyFont="1" applyFill="1" applyBorder="1" applyAlignment="1">
      <alignment horizontal="center" vertical="center"/>
    </xf>
    <xf numFmtId="166" fontId="9" fillId="4" borderId="5" xfId="1" applyNumberFormat="1" applyFont="1" applyFill="1" applyBorder="1" applyAlignment="1">
      <alignment vertical="center"/>
    </xf>
    <xf numFmtId="166" fontId="9" fillId="4" borderId="6" xfId="1" applyNumberFormat="1" applyFont="1" applyFill="1" applyBorder="1" applyAlignment="1">
      <alignment vertical="center"/>
    </xf>
    <xf numFmtId="166" fontId="9" fillId="4" borderId="7" xfId="1" applyNumberFormat="1" applyFont="1" applyFill="1" applyBorder="1" applyAlignment="1">
      <alignment vertical="center"/>
    </xf>
    <xf numFmtId="166" fontId="9" fillId="4" borderId="16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/>
    <xf numFmtId="4" fontId="7" fillId="0" borderId="0" xfId="1" applyNumberFormat="1" applyFont="1" applyBorder="1" applyAlignment="1"/>
    <xf numFmtId="0" fontId="16" fillId="0" borderId="0" xfId="1" applyFont="1"/>
    <xf numFmtId="0" fontId="15" fillId="4" borderId="11" xfId="1" applyFont="1" applyFill="1" applyBorder="1" applyAlignment="1">
      <alignment horizontal="left" vertical="center" wrapText="1" indent="2"/>
    </xf>
    <xf numFmtId="0" fontId="15" fillId="4" borderId="8" xfId="1" applyNumberFormat="1" applyFont="1" applyFill="1" applyBorder="1" applyAlignment="1">
      <alignment horizontal="center" vertical="center"/>
    </xf>
    <xf numFmtId="166" fontId="15" fillId="4" borderId="9" xfId="1" applyNumberFormat="1" applyFont="1" applyFill="1" applyBorder="1" applyAlignment="1">
      <alignment vertical="center"/>
    </xf>
    <xf numFmtId="166" fontId="15" fillId="4" borderId="10" xfId="1" applyNumberFormat="1" applyFont="1" applyFill="1" applyBorder="1" applyAlignment="1">
      <alignment vertical="center"/>
    </xf>
    <xf numFmtId="166" fontId="15" fillId="4" borderId="8" xfId="1" applyNumberFormat="1" applyFont="1" applyFill="1" applyBorder="1" applyAlignment="1">
      <alignment vertical="center"/>
    </xf>
    <xf numFmtId="166" fontId="15" fillId="4" borderId="17" xfId="1" applyNumberFormat="1" applyFont="1" applyFill="1" applyBorder="1" applyAlignment="1">
      <alignment vertical="center"/>
    </xf>
    <xf numFmtId="0" fontId="12" fillId="0" borderId="0" xfId="1" applyFont="1"/>
    <xf numFmtId="0" fontId="9" fillId="4" borderId="11" xfId="1" applyFont="1" applyFill="1" applyBorder="1" applyAlignment="1">
      <alignment horizontal="left" vertical="center" indent="2"/>
    </xf>
    <xf numFmtId="0" fontId="9" fillId="4" borderId="8" xfId="1" applyNumberFormat="1" applyFont="1" applyFill="1" applyBorder="1" applyAlignment="1">
      <alignment horizontal="center" vertical="center"/>
    </xf>
    <xf numFmtId="166" fontId="9" fillId="4" borderId="9" xfId="1" applyNumberFormat="1" applyFont="1" applyFill="1" applyBorder="1" applyAlignment="1">
      <alignment vertical="center"/>
    </xf>
    <xf numFmtId="166" fontId="9" fillId="4" borderId="10" xfId="1" applyNumberFormat="1" applyFont="1" applyFill="1" applyBorder="1" applyAlignment="1">
      <alignment vertical="center"/>
    </xf>
    <xf numFmtId="166" fontId="9" fillId="4" borderId="8" xfId="1" applyNumberFormat="1" applyFont="1" applyFill="1" applyBorder="1" applyAlignment="1">
      <alignment vertical="center"/>
    </xf>
    <xf numFmtId="166" fontId="9" fillId="4" borderId="17" xfId="1" applyNumberFormat="1" applyFont="1" applyFill="1" applyBorder="1" applyAlignment="1">
      <alignment vertical="center"/>
    </xf>
    <xf numFmtId="0" fontId="15" fillId="4" borderId="12" xfId="1" applyFont="1" applyFill="1" applyBorder="1" applyAlignment="1">
      <alignment horizontal="left" vertical="center" indent="2"/>
    </xf>
    <xf numFmtId="0" fontId="15" fillId="4" borderId="13" xfId="1" applyNumberFormat="1" applyFont="1" applyFill="1" applyBorder="1" applyAlignment="1">
      <alignment horizontal="center" vertical="center"/>
    </xf>
    <xf numFmtId="166" fontId="15" fillId="4" borderId="14" xfId="1" applyNumberFormat="1" applyFont="1" applyFill="1" applyBorder="1" applyAlignment="1">
      <alignment vertical="center"/>
    </xf>
    <xf numFmtId="166" fontId="15" fillId="4" borderId="15" xfId="1" applyNumberFormat="1" applyFont="1" applyFill="1" applyBorder="1" applyAlignment="1">
      <alignment vertical="center"/>
    </xf>
    <xf numFmtId="166" fontId="15" fillId="4" borderId="13" xfId="1" applyNumberFormat="1" applyFont="1" applyFill="1" applyBorder="1" applyAlignment="1">
      <alignment vertical="center"/>
    </xf>
    <xf numFmtId="166" fontId="15" fillId="4" borderId="18" xfId="1" applyNumberFormat="1" applyFont="1" applyFill="1" applyBorder="1" applyAlignment="1">
      <alignment vertical="center"/>
    </xf>
    <xf numFmtId="4" fontId="7" fillId="0" borderId="0" xfId="1" applyNumberFormat="1" applyFont="1" applyFill="1" applyBorder="1" applyAlignment="1">
      <alignment vertical="top"/>
    </xf>
    <xf numFmtId="4" fontId="7" fillId="0" borderId="0" xfId="1" applyNumberFormat="1" applyFont="1" applyBorder="1" applyAlignment="1">
      <alignment vertical="top"/>
    </xf>
    <xf numFmtId="0" fontId="9" fillId="5" borderId="19" xfId="1" applyFont="1" applyFill="1" applyBorder="1" applyAlignment="1">
      <alignment vertical="center"/>
    </xf>
    <xf numFmtId="0" fontId="9" fillId="5" borderId="20" xfId="1" applyNumberFormat="1" applyFont="1" applyFill="1" applyBorder="1" applyAlignment="1">
      <alignment horizontal="center" vertical="center"/>
    </xf>
    <xf numFmtId="166" fontId="9" fillId="5" borderId="21" xfId="1" applyNumberFormat="1" applyFont="1" applyFill="1" applyBorder="1" applyAlignment="1">
      <alignment vertical="center"/>
    </xf>
    <xf numFmtId="166" fontId="9" fillId="5" borderId="22" xfId="1" applyNumberFormat="1" applyFont="1" applyFill="1" applyBorder="1" applyAlignment="1">
      <alignment vertical="center"/>
    </xf>
    <xf numFmtId="166" fontId="9" fillId="3" borderId="19" xfId="1" applyNumberFormat="1" applyFont="1" applyFill="1" applyBorder="1" applyAlignment="1">
      <alignment vertical="center"/>
    </xf>
    <xf numFmtId="166" fontId="9" fillId="5" borderId="20" xfId="1" applyNumberFormat="1" applyFont="1" applyFill="1" applyBorder="1" applyAlignment="1">
      <alignment vertical="center"/>
    </xf>
    <xf numFmtId="166" fontId="9" fillId="5" borderId="23" xfId="1" applyNumberFormat="1" applyFont="1" applyFill="1" applyBorder="1" applyAlignment="1">
      <alignment vertical="center"/>
    </xf>
    <xf numFmtId="0" fontId="11" fillId="0" borderId="0" xfId="1" applyFill="1" applyBorder="1"/>
    <xf numFmtId="0" fontId="9" fillId="5" borderId="11" xfId="1" applyFont="1" applyFill="1" applyBorder="1" applyAlignment="1">
      <alignment horizontal="left" vertical="center" indent="2"/>
    </xf>
    <xf numFmtId="0" fontId="9" fillId="5" borderId="8" xfId="1" applyNumberFormat="1" applyFont="1" applyFill="1" applyBorder="1" applyAlignment="1">
      <alignment horizontal="center" vertical="center"/>
    </xf>
    <xf numFmtId="166" fontId="9" fillId="5" borderId="9" xfId="1" applyNumberFormat="1" applyFont="1" applyFill="1" applyBorder="1" applyAlignment="1">
      <alignment vertical="center"/>
    </xf>
    <xf numFmtId="166" fontId="9" fillId="5" borderId="10" xfId="1" applyNumberFormat="1" applyFont="1" applyFill="1" applyBorder="1" applyAlignment="1">
      <alignment vertical="center"/>
    </xf>
    <xf numFmtId="166" fontId="9" fillId="5" borderId="8" xfId="1" applyNumberFormat="1" applyFont="1" applyFill="1" applyBorder="1" applyAlignment="1">
      <alignment vertical="center"/>
    </xf>
    <xf numFmtId="166" fontId="9" fillId="5" borderId="17" xfId="1" applyNumberFormat="1" applyFont="1" applyFill="1" applyBorder="1" applyAlignment="1">
      <alignment vertical="center"/>
    </xf>
    <xf numFmtId="0" fontId="15" fillId="5" borderId="24" xfId="1" applyFont="1" applyFill="1" applyBorder="1" applyAlignment="1">
      <alignment horizontal="left" vertical="center" indent="2"/>
    </xf>
    <xf numFmtId="0" fontId="15" fillId="5" borderId="1" xfId="1" applyNumberFormat="1" applyFont="1" applyFill="1" applyBorder="1" applyAlignment="1">
      <alignment horizontal="center" vertical="center"/>
    </xf>
    <xf numFmtId="166" fontId="15" fillId="5" borderId="2" xfId="1" applyNumberFormat="1" applyFont="1" applyFill="1" applyBorder="1" applyAlignment="1">
      <alignment vertical="center"/>
    </xf>
    <xf numFmtId="166" fontId="15" fillId="5" borderId="25" xfId="1" applyNumberFormat="1" applyFont="1" applyFill="1" applyBorder="1" applyAlignment="1">
      <alignment vertical="center"/>
    </xf>
    <xf numFmtId="166" fontId="15" fillId="3" borderId="24" xfId="1" applyNumberFormat="1" applyFont="1" applyFill="1" applyBorder="1" applyAlignment="1">
      <alignment vertical="center"/>
    </xf>
    <xf numFmtId="166" fontId="15" fillId="5" borderId="1" xfId="1" applyNumberFormat="1" applyFont="1" applyFill="1" applyBorder="1" applyAlignment="1">
      <alignment vertical="center"/>
    </xf>
    <xf numFmtId="166" fontId="15" fillId="5" borderId="3" xfId="1" applyNumberFormat="1" applyFont="1" applyFill="1" applyBorder="1" applyAlignment="1">
      <alignment vertical="center"/>
    </xf>
    <xf numFmtId="0" fontId="9" fillId="6" borderId="4" xfId="1" applyFont="1" applyFill="1" applyBorder="1" applyAlignment="1">
      <alignment vertical="center"/>
    </xf>
    <xf numFmtId="0" fontId="17" fillId="6" borderId="7" xfId="1" applyNumberFormat="1" applyFont="1" applyFill="1" applyBorder="1" applyAlignment="1">
      <alignment horizontal="center" vertical="center"/>
    </xf>
    <xf numFmtId="166" fontId="17" fillId="6" borderId="5" xfId="1" applyNumberFormat="1" applyFont="1" applyFill="1" applyBorder="1" applyAlignment="1">
      <alignment vertical="center"/>
    </xf>
    <xf numFmtId="166" fontId="17" fillId="6" borderId="6" xfId="1" applyNumberFormat="1" applyFont="1" applyFill="1" applyBorder="1" applyAlignment="1">
      <alignment vertical="center"/>
    </xf>
    <xf numFmtId="166" fontId="17" fillId="3" borderId="4" xfId="1" applyNumberFormat="1" applyFont="1" applyFill="1" applyBorder="1" applyAlignment="1">
      <alignment vertical="center"/>
    </xf>
    <xf numFmtId="166" fontId="17" fillId="6" borderId="7" xfId="1" applyNumberFormat="1" applyFont="1" applyFill="1" applyBorder="1" applyAlignment="1">
      <alignment vertical="center"/>
    </xf>
    <xf numFmtId="166" fontId="17" fillId="6" borderId="16" xfId="1" applyNumberFormat="1" applyFont="1" applyFill="1" applyBorder="1" applyAlignment="1">
      <alignment vertical="center"/>
    </xf>
    <xf numFmtId="0" fontId="15" fillId="6" borderId="19" xfId="1" applyFont="1" applyFill="1" applyBorder="1" applyAlignment="1">
      <alignment vertical="center"/>
    </xf>
    <xf numFmtId="0" fontId="15" fillId="6" borderId="20" xfId="1" applyNumberFormat="1" applyFont="1" applyFill="1" applyBorder="1" applyAlignment="1">
      <alignment horizontal="center" vertical="center"/>
    </xf>
    <xf numFmtId="166" fontId="15" fillId="6" borderId="21" xfId="1" applyNumberFormat="1" applyFont="1" applyFill="1" applyBorder="1" applyAlignment="1">
      <alignment vertical="center"/>
    </xf>
    <xf numFmtId="166" fontId="15" fillId="6" borderId="22" xfId="1" applyNumberFormat="1" applyFont="1" applyFill="1" applyBorder="1" applyAlignment="1">
      <alignment vertical="center"/>
    </xf>
    <xf numFmtId="166" fontId="15" fillId="3" borderId="19" xfId="1" applyNumberFormat="1" applyFont="1" applyFill="1" applyBorder="1" applyAlignment="1">
      <alignment vertical="center"/>
    </xf>
    <xf numFmtId="166" fontId="15" fillId="6" borderId="20" xfId="1" applyNumberFormat="1" applyFont="1" applyFill="1" applyBorder="1" applyAlignment="1">
      <alignment vertical="center"/>
    </xf>
    <xf numFmtId="166" fontId="15" fillId="6" borderId="23" xfId="1" applyNumberFormat="1" applyFont="1" applyFill="1" applyBorder="1" applyAlignment="1">
      <alignment vertical="center"/>
    </xf>
    <xf numFmtId="0" fontId="9" fillId="6" borderId="11" xfId="1" applyFont="1" applyFill="1" applyBorder="1" applyAlignment="1">
      <alignment horizontal="left" vertical="center" indent="2"/>
    </xf>
    <xf numFmtId="0" fontId="17" fillId="6" borderId="8" xfId="1" applyNumberFormat="1" applyFont="1" applyFill="1" applyBorder="1" applyAlignment="1">
      <alignment horizontal="center" vertical="center"/>
    </xf>
    <xf numFmtId="166" fontId="17" fillId="6" borderId="9" xfId="1" applyNumberFormat="1" applyFont="1" applyFill="1" applyBorder="1" applyAlignment="1">
      <alignment vertical="center"/>
    </xf>
    <xf numFmtId="166" fontId="17" fillId="6" borderId="10" xfId="1" applyNumberFormat="1" applyFont="1" applyFill="1" applyBorder="1" applyAlignment="1">
      <alignment vertical="center"/>
    </xf>
    <xf numFmtId="166" fontId="17" fillId="3" borderId="11" xfId="1" applyNumberFormat="1" applyFont="1" applyFill="1" applyBorder="1" applyAlignment="1">
      <alignment vertical="center"/>
    </xf>
    <xf numFmtId="166" fontId="17" fillId="6" borderId="8" xfId="1" applyNumberFormat="1" applyFont="1" applyFill="1" applyBorder="1" applyAlignment="1">
      <alignment vertical="center"/>
    </xf>
    <xf numFmtId="166" fontId="17" fillId="6" borderId="17" xfId="1" applyNumberFormat="1" applyFont="1" applyFill="1" applyBorder="1" applyAlignment="1">
      <alignment vertical="center"/>
    </xf>
    <xf numFmtId="0" fontId="15" fillId="6" borderId="26" xfId="1" applyFont="1" applyFill="1" applyBorder="1" applyAlignment="1">
      <alignment horizontal="left" vertical="center" indent="2"/>
    </xf>
    <xf numFmtId="0" fontId="15" fillId="6" borderId="27" xfId="1" applyNumberFormat="1" applyFont="1" applyFill="1" applyBorder="1" applyAlignment="1">
      <alignment horizontal="center" vertical="center"/>
    </xf>
    <xf numFmtId="166" fontId="15" fillId="6" borderId="28" xfId="1" applyNumberFormat="1" applyFont="1" applyFill="1" applyBorder="1" applyAlignment="1">
      <alignment vertical="center"/>
    </xf>
    <xf numFmtId="166" fontId="15" fillId="6" borderId="29" xfId="1" applyNumberFormat="1" applyFont="1" applyFill="1" applyBorder="1" applyAlignment="1">
      <alignment vertical="center"/>
    </xf>
    <xf numFmtId="166" fontId="15" fillId="3" borderId="26" xfId="1" applyNumberFormat="1" applyFont="1" applyFill="1" applyBorder="1" applyAlignment="1">
      <alignment vertical="center"/>
    </xf>
    <xf numFmtId="166" fontId="15" fillId="6" borderId="27" xfId="1" applyNumberFormat="1" applyFont="1" applyFill="1" applyBorder="1" applyAlignment="1">
      <alignment vertical="center"/>
    </xf>
    <xf numFmtId="166" fontId="15" fillId="6" borderId="30" xfId="1" applyNumberFormat="1" applyFont="1" applyFill="1" applyBorder="1" applyAlignment="1">
      <alignment vertical="center"/>
    </xf>
    <xf numFmtId="0" fontId="11" fillId="0" borderId="0" xfId="1" applyFill="1" applyBorder="1" applyAlignment="1">
      <alignment vertical="center"/>
    </xf>
    <xf numFmtId="0" fontId="11" fillId="0" borderId="0" xfId="1" applyFill="1" applyBorder="1" applyAlignment="1">
      <alignment horizontal="center" vertical="center"/>
    </xf>
    <xf numFmtId="0" fontId="11" fillId="0" borderId="0" xfId="1" applyBorder="1" applyAlignment="1">
      <alignment horizontal="center" vertical="center"/>
    </xf>
    <xf numFmtId="166" fontId="11" fillId="0" borderId="0" xfId="1" applyNumberFormat="1" applyAlignment="1">
      <alignment vertical="center"/>
    </xf>
    <xf numFmtId="0" fontId="11" fillId="0" borderId="0" xfId="1" applyAlignment="1">
      <alignment vertical="center"/>
    </xf>
    <xf numFmtId="166" fontId="15" fillId="3" borderId="11" xfId="0" applyNumberFormat="1" applyFont="1" applyFill="1" applyBorder="1" applyAlignment="1">
      <alignment vertical="center"/>
    </xf>
    <xf numFmtId="166" fontId="9" fillId="3" borderId="11" xfId="0" applyNumberFormat="1" applyFont="1" applyFill="1" applyBorder="1" applyAlignment="1">
      <alignment vertical="center"/>
    </xf>
    <xf numFmtId="166" fontId="15" fillId="3" borderId="12" xfId="0" applyNumberFormat="1" applyFont="1" applyFill="1" applyBorder="1" applyAlignment="1">
      <alignment vertical="center"/>
    </xf>
    <xf numFmtId="0" fontId="15" fillId="0" borderId="11" xfId="1" applyFont="1" applyFill="1" applyBorder="1" applyAlignment="1">
      <alignment horizontal="left" vertical="center" wrapText="1" indent="2"/>
    </xf>
    <xf numFmtId="166" fontId="15" fillId="0" borderId="9" xfId="1" applyNumberFormat="1" applyFont="1" applyFill="1" applyBorder="1" applyAlignment="1">
      <alignment vertical="center"/>
    </xf>
    <xf numFmtId="166" fontId="15" fillId="0" borderId="10" xfId="1" applyNumberFormat="1" applyFont="1" applyFill="1" applyBorder="1" applyAlignment="1">
      <alignment vertical="center"/>
    </xf>
    <xf numFmtId="166" fontId="9" fillId="0" borderId="9" xfId="1" applyNumberFormat="1" applyFont="1" applyFill="1" applyBorder="1" applyAlignment="1">
      <alignment vertical="center"/>
    </xf>
    <xf numFmtId="166" fontId="9" fillId="0" borderId="10" xfId="1" applyNumberFormat="1" applyFont="1" applyFill="1" applyBorder="1" applyAlignment="1">
      <alignment vertical="center"/>
    </xf>
    <xf numFmtId="166" fontId="15" fillId="0" borderId="14" xfId="1" applyNumberFormat="1" applyFont="1" applyFill="1" applyBorder="1" applyAlignment="1">
      <alignment vertical="center"/>
    </xf>
    <xf numFmtId="166" fontId="15" fillId="0" borderId="15" xfId="1" applyNumberFormat="1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8" fillId="7" borderId="9" xfId="0" applyFont="1" applyFill="1" applyBorder="1" applyAlignment="1">
      <alignment horizontal="center" vertical="center" wrapText="1"/>
    </xf>
    <xf numFmtId="0" fontId="3" fillId="2" borderId="0" xfId="0" applyFont="1" applyFill="1"/>
    <xf numFmtId="9" fontId="3" fillId="2" borderId="0" xfId="2" applyFont="1" applyFill="1"/>
    <xf numFmtId="4" fontId="19" fillId="7" borderId="9" xfId="0" applyNumberFormat="1" applyFont="1" applyFill="1" applyBorder="1" applyAlignment="1">
      <alignment vertical="center" wrapText="1"/>
    </xf>
    <xf numFmtId="4" fontId="19" fillId="7" borderId="9" xfId="0" applyNumberFormat="1" applyFont="1" applyFill="1" applyBorder="1" applyAlignment="1">
      <alignment horizontal="right" vertical="center" wrapText="1"/>
    </xf>
    <xf numFmtId="4" fontId="19" fillId="7" borderId="9" xfId="0" applyNumberFormat="1" applyFont="1" applyFill="1" applyBorder="1" applyAlignment="1">
      <alignment horizontal="right" vertical="center"/>
    </xf>
    <xf numFmtId="4" fontId="20" fillId="7" borderId="9" xfId="0" applyNumberFormat="1" applyFont="1" applyFill="1" applyBorder="1" applyAlignment="1">
      <alignment horizontal="right" vertical="center" wrapText="1"/>
    </xf>
    <xf numFmtId="164" fontId="1" fillId="7" borderId="9" xfId="0" applyNumberFormat="1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9" fontId="1" fillId="7" borderId="9" xfId="0" applyNumberFormat="1" applyFont="1" applyFill="1" applyBorder="1" applyAlignment="1">
      <alignment horizontal="center" vertical="center"/>
    </xf>
    <xf numFmtId="164" fontId="19" fillId="7" borderId="9" xfId="0" applyNumberFormat="1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9" fontId="19" fillId="7" borderId="9" xfId="0" applyNumberFormat="1" applyFont="1" applyFill="1" applyBorder="1" applyAlignment="1">
      <alignment horizontal="center" vertical="center"/>
    </xf>
    <xf numFmtId="0" fontId="21" fillId="2" borderId="0" xfId="0" applyFont="1" applyFill="1"/>
    <xf numFmtId="0" fontId="22" fillId="2" borderId="0" xfId="0" applyFont="1" applyFill="1"/>
    <xf numFmtId="4" fontId="19" fillId="7" borderId="10" xfId="0" applyNumberFormat="1" applyFont="1" applyFill="1" applyBorder="1" applyAlignment="1">
      <alignment vertical="center"/>
    </xf>
    <xf numFmtId="4" fontId="1" fillId="7" borderId="10" xfId="0" applyNumberFormat="1" applyFont="1" applyFill="1" applyBorder="1" applyAlignment="1">
      <alignment vertical="center"/>
    </xf>
    <xf numFmtId="4" fontId="20" fillId="7" borderId="9" xfId="0" applyNumberFormat="1" applyFont="1" applyFill="1" applyBorder="1" applyAlignment="1">
      <alignment vertical="center" wrapText="1"/>
    </xf>
    <xf numFmtId="4" fontId="20" fillId="7" borderId="9" xfId="0" applyNumberFormat="1" applyFont="1" applyFill="1" applyBorder="1" applyAlignment="1">
      <alignment horizontal="right" vertical="center"/>
    </xf>
    <xf numFmtId="4" fontId="0" fillId="2" borderId="0" xfId="0" applyNumberFormat="1" applyFill="1"/>
    <xf numFmtId="0" fontId="23" fillId="2" borderId="0" xfId="0" applyFont="1" applyFill="1" applyAlignment="1">
      <alignment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164" fontId="1" fillId="7" borderId="9" xfId="0" applyNumberFormat="1" applyFont="1" applyFill="1" applyBorder="1" applyAlignment="1">
      <alignment horizontal="right" vertical="center"/>
    </xf>
    <xf numFmtId="164" fontId="19" fillId="7" borderId="9" xfId="0" applyNumberFormat="1" applyFont="1" applyFill="1" applyBorder="1" applyAlignment="1">
      <alignment horizontal="right" vertical="center"/>
    </xf>
    <xf numFmtId="0" fontId="0" fillId="2" borderId="0" xfId="0" applyFill="1" applyBorder="1"/>
    <xf numFmtId="4" fontId="19" fillId="7" borderId="0" xfId="0" applyNumberFormat="1" applyFont="1" applyFill="1" applyBorder="1" applyAlignment="1">
      <alignment vertical="center"/>
    </xf>
    <xf numFmtId="4" fontId="2" fillId="7" borderId="0" xfId="0" applyNumberFormat="1" applyFont="1" applyFill="1" applyBorder="1" applyAlignment="1">
      <alignment vertical="center"/>
    </xf>
    <xf numFmtId="4" fontId="24" fillId="7" borderId="0" xfId="0" applyNumberFormat="1" applyFont="1" applyFill="1" applyBorder="1" applyAlignment="1">
      <alignment vertical="center"/>
    </xf>
    <xf numFmtId="4" fontId="19" fillId="7" borderId="10" xfId="0" applyNumberFormat="1" applyFont="1" applyFill="1" applyBorder="1" applyAlignment="1">
      <alignment horizontal="right" vertical="center" wrapText="1"/>
    </xf>
    <xf numFmtId="4" fontId="19" fillId="7" borderId="0" xfId="0" applyNumberFormat="1" applyFont="1" applyFill="1" applyBorder="1" applyAlignment="1">
      <alignment horizontal="right" vertical="center" wrapText="1"/>
    </xf>
    <xf numFmtId="4" fontId="24" fillId="2" borderId="10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horizontal="right" vertical="center" wrapText="1"/>
    </xf>
    <xf numFmtId="0" fontId="25" fillId="2" borderId="0" xfId="0" applyFont="1" applyFill="1"/>
    <xf numFmtId="0" fontId="0" fillId="2" borderId="0" xfId="0" applyFont="1" applyFill="1"/>
    <xf numFmtId="166" fontId="11" fillId="0" borderId="0" xfId="1" applyNumberForma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9" fontId="3" fillId="2" borderId="0" xfId="2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9" fontId="4" fillId="2" borderId="0" xfId="2" applyFont="1" applyFill="1" applyAlignment="1">
      <alignment horizontal="center" vertical="center"/>
    </xf>
    <xf numFmtId="166" fontId="6" fillId="2" borderId="0" xfId="1" applyNumberFormat="1" applyFont="1" applyFill="1" applyBorder="1" applyAlignment="1">
      <alignment vertical="center"/>
    </xf>
    <xf numFmtId="0" fontId="18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4" fillId="0" borderId="9" xfId="0" applyFont="1" applyFill="1" applyBorder="1" applyAlignment="1">
      <alignment horizontal="center" vertical="center" wrapText="1"/>
    </xf>
    <xf numFmtId="49" fontId="24" fillId="0" borderId="9" xfId="0" applyNumberFormat="1" applyFont="1" applyFill="1" applyBorder="1" applyAlignment="1">
      <alignment horizontal="center" vertical="center" wrapText="1"/>
    </xf>
    <xf numFmtId="164" fontId="24" fillId="0" borderId="9" xfId="0" applyNumberFormat="1" applyFont="1" applyFill="1" applyBorder="1" applyAlignment="1">
      <alignment horizontal="center" vertical="center"/>
    </xf>
    <xf numFmtId="4" fontId="19" fillId="0" borderId="9" xfId="0" applyNumberFormat="1" applyFont="1" applyFill="1" applyBorder="1" applyAlignment="1">
      <alignment vertical="center" wrapText="1"/>
    </xf>
    <xf numFmtId="9" fontId="24" fillId="0" borderId="9" xfId="0" applyNumberFormat="1" applyFont="1" applyFill="1" applyBorder="1" applyAlignment="1">
      <alignment horizontal="center" vertical="center"/>
    </xf>
    <xf numFmtId="4" fontId="24" fillId="0" borderId="9" xfId="0" applyNumberFormat="1" applyFont="1" applyFill="1" applyBorder="1" applyAlignment="1">
      <alignment vertical="center"/>
    </xf>
    <xf numFmtId="4" fontId="24" fillId="0" borderId="9" xfId="0" applyNumberFormat="1" applyFont="1" applyFill="1" applyBorder="1" applyAlignment="1">
      <alignment vertical="center" wrapText="1"/>
    </xf>
    <xf numFmtId="0" fontId="24" fillId="0" borderId="9" xfId="0" applyFont="1" applyFill="1" applyBorder="1" applyAlignment="1">
      <alignment horizontal="left" vertical="center" wrapText="1" shrinkToFit="1"/>
    </xf>
    <xf numFmtId="0" fontId="24" fillId="0" borderId="9" xfId="0" applyFont="1" applyFill="1" applyBorder="1" applyAlignment="1">
      <alignment horizontal="center" vertical="center" wrapText="1" shrinkToFit="1"/>
    </xf>
    <xf numFmtId="4" fontId="19" fillId="0" borderId="9" xfId="0" applyNumberFormat="1" applyFont="1" applyFill="1" applyBorder="1" applyAlignment="1">
      <alignment horizontal="right" vertical="center" wrapText="1"/>
    </xf>
    <xf numFmtId="49" fontId="2" fillId="0" borderId="9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 shrinkToFit="1"/>
    </xf>
    <xf numFmtId="0" fontId="2" fillId="0" borderId="9" xfId="0" applyFont="1" applyFill="1" applyBorder="1" applyAlignment="1">
      <alignment horizontal="center" vertical="center" wrapText="1" shrinkToFit="1"/>
    </xf>
    <xf numFmtId="164" fontId="2" fillId="0" borderId="9" xfId="0" applyNumberFormat="1" applyFont="1" applyFill="1" applyBorder="1" applyAlignment="1">
      <alignment horizontal="center" vertical="center"/>
    </xf>
    <xf numFmtId="4" fontId="1" fillId="0" borderId="9" xfId="0" applyNumberFormat="1" applyFont="1" applyFill="1" applyBorder="1" applyAlignment="1">
      <alignment vertical="center" wrapText="1"/>
    </xf>
    <xf numFmtId="9" fontId="2" fillId="0" borderId="9" xfId="0" applyNumberFormat="1" applyFont="1" applyFill="1" applyBorder="1" applyAlignment="1">
      <alignment horizontal="center" vertical="center"/>
    </xf>
    <xf numFmtId="4" fontId="2" fillId="0" borderId="9" xfId="0" applyNumberFormat="1" applyFont="1" applyFill="1" applyBorder="1" applyAlignment="1">
      <alignment vertical="center" wrapText="1"/>
    </xf>
    <xf numFmtId="4" fontId="19" fillId="0" borderId="9" xfId="0" applyNumberFormat="1" applyFont="1" applyFill="1" applyBorder="1" applyAlignment="1">
      <alignment horizontal="right" vertical="center"/>
    </xf>
    <xf numFmtId="0" fontId="23" fillId="0" borderId="9" xfId="0" applyFont="1" applyFill="1" applyBorder="1" applyAlignment="1">
      <alignment horizontal="center" vertical="center" wrapText="1"/>
    </xf>
    <xf numFmtId="4" fontId="1" fillId="0" borderId="9" xfId="0" applyNumberFormat="1" applyFont="1" applyFill="1" applyBorder="1" applyAlignment="1">
      <alignment horizontal="right" vertical="center"/>
    </xf>
    <xf numFmtId="4" fontId="1" fillId="0" borderId="9" xfId="0" applyNumberFormat="1" applyFont="1" applyFill="1" applyBorder="1" applyAlignment="1">
      <alignment horizontal="right" vertical="center" wrapText="1"/>
    </xf>
    <xf numFmtId="4" fontId="2" fillId="0" borderId="9" xfId="0" applyNumberFormat="1" applyFont="1" applyFill="1" applyBorder="1" applyAlignment="1">
      <alignment vertical="center"/>
    </xf>
    <xf numFmtId="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49" fontId="24" fillId="2" borderId="9" xfId="0" applyNumberFormat="1" applyFont="1" applyFill="1" applyBorder="1" applyAlignment="1">
      <alignment vertical="center" wrapText="1"/>
    </xf>
    <xf numFmtId="49" fontId="24" fillId="2" borderId="9" xfId="0" applyNumberFormat="1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vertical="center" wrapText="1"/>
    </xf>
    <xf numFmtId="164" fontId="24" fillId="2" borderId="9" xfId="0" applyNumberFormat="1" applyFont="1" applyFill="1" applyBorder="1" applyAlignment="1">
      <alignment horizontal="center" vertical="center"/>
    </xf>
    <xf numFmtId="4" fontId="19" fillId="2" borderId="9" xfId="0" applyNumberFormat="1" applyFont="1" applyFill="1" applyBorder="1" applyAlignment="1">
      <alignment vertical="center"/>
    </xf>
    <xf numFmtId="4" fontId="19" fillId="2" borderId="9" xfId="0" applyNumberFormat="1" applyFont="1" applyFill="1" applyBorder="1" applyAlignment="1">
      <alignment vertical="center" wrapText="1"/>
    </xf>
    <xf numFmtId="9" fontId="24" fillId="2" borderId="9" xfId="0" applyNumberFormat="1" applyFont="1" applyFill="1" applyBorder="1" applyAlignment="1">
      <alignment horizontal="center" vertical="center"/>
    </xf>
    <xf numFmtId="4" fontId="24" fillId="2" borderId="9" xfId="0" applyNumberFormat="1" applyFont="1" applyFill="1" applyBorder="1" applyAlignment="1">
      <alignment vertical="center" wrapText="1"/>
    </xf>
    <xf numFmtId="0" fontId="24" fillId="2" borderId="9" xfId="0" applyFont="1" applyFill="1" applyBorder="1" applyAlignment="1">
      <alignment horizontal="left" vertical="center" wrapText="1"/>
    </xf>
    <xf numFmtId="4" fontId="24" fillId="2" borderId="9" xfId="0" applyNumberFormat="1" applyFont="1" applyFill="1" applyBorder="1" applyAlignment="1">
      <alignment horizontal="right" vertical="center"/>
    </xf>
    <xf numFmtId="4" fontId="24" fillId="2" borderId="9" xfId="0" applyNumberFormat="1" applyFont="1" applyFill="1" applyBorder="1" applyAlignment="1">
      <alignment vertical="center"/>
    </xf>
    <xf numFmtId="0" fontId="9" fillId="2" borderId="7" xfId="1" applyNumberFormat="1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49" fontId="24" fillId="2" borderId="9" xfId="0" applyNumberFormat="1" applyFont="1" applyFill="1" applyBorder="1" applyAlignment="1">
      <alignment horizontal="left" vertical="center" wrapText="1"/>
    </xf>
    <xf numFmtId="165" fontId="24" fillId="2" borderId="9" xfId="0" applyNumberFormat="1" applyFont="1" applyFill="1" applyBorder="1" applyAlignment="1">
      <alignment horizontal="center" vertical="center" wrapText="1"/>
    </xf>
    <xf numFmtId="4" fontId="19" fillId="2" borderId="9" xfId="0" applyNumberFormat="1" applyFont="1" applyFill="1" applyBorder="1" applyAlignment="1">
      <alignment horizontal="right" vertical="center" wrapText="1"/>
    </xf>
    <xf numFmtId="0" fontId="19" fillId="2" borderId="9" xfId="0" applyFont="1" applyFill="1" applyBorder="1" applyAlignment="1">
      <alignment horizontal="right" vertical="center" wrapText="1"/>
    </xf>
    <xf numFmtId="4" fontId="19" fillId="2" borderId="9" xfId="0" applyNumberFormat="1" applyFont="1" applyFill="1" applyBorder="1" applyAlignment="1">
      <alignment horizontal="right" vertical="center"/>
    </xf>
    <xf numFmtId="0" fontId="24" fillId="2" borderId="9" xfId="0" applyFont="1" applyFill="1" applyBorder="1" applyAlignment="1">
      <alignment vertical="center"/>
    </xf>
    <xf numFmtId="0" fontId="24" fillId="2" borderId="9" xfId="0" applyFont="1" applyFill="1" applyBorder="1" applyAlignment="1">
      <alignment horizontal="left" vertical="center" wrapText="1" shrinkToFit="1"/>
    </xf>
    <xf numFmtId="0" fontId="24" fillId="2" borderId="9" xfId="0" applyFont="1" applyFill="1" applyBorder="1" applyAlignment="1">
      <alignment horizontal="center" vertical="center" wrapText="1" shrinkToFit="1"/>
    </xf>
    <xf numFmtId="49" fontId="24" fillId="2" borderId="21" xfId="0" applyNumberFormat="1" applyFont="1" applyFill="1" applyBorder="1" applyAlignment="1">
      <alignment vertical="center" wrapText="1"/>
    </xf>
    <xf numFmtId="49" fontId="24" fillId="2" borderId="21" xfId="0" applyNumberFormat="1" applyFont="1" applyFill="1" applyBorder="1" applyAlignment="1">
      <alignment horizontal="center" vertical="center" wrapText="1"/>
    </xf>
    <xf numFmtId="0" fontId="24" fillId="2" borderId="21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wrapText="1"/>
    </xf>
    <xf numFmtId="0" fontId="24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left" vertical="center" wrapText="1"/>
    </xf>
    <xf numFmtId="164" fontId="2" fillId="2" borderId="9" xfId="0" applyNumberFormat="1" applyFont="1" applyFill="1" applyBorder="1" applyAlignment="1">
      <alignment horizontal="center" vertical="center"/>
    </xf>
    <xf numFmtId="165" fontId="2" fillId="2" borderId="9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 wrapText="1"/>
    </xf>
    <xf numFmtId="9" fontId="2" fillId="2" borderId="9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horizontal="left" vertical="center" wrapText="1"/>
    </xf>
    <xf numFmtId="4" fontId="1" fillId="2" borderId="9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9" fontId="25" fillId="2" borderId="0" xfId="2" applyFont="1" applyFill="1" applyAlignment="1">
      <alignment horizontal="center" vertical="center"/>
    </xf>
    <xf numFmtId="0" fontId="31" fillId="2" borderId="0" xfId="1" applyFont="1" applyFill="1" applyBorder="1" applyAlignment="1">
      <alignment vertical="center"/>
    </xf>
    <xf numFmtId="0" fontId="32" fillId="2" borderId="0" xfId="1" applyFont="1" applyFill="1" applyBorder="1" applyAlignment="1">
      <alignment horizontal="center" vertical="center"/>
    </xf>
    <xf numFmtId="0" fontId="32" fillId="2" borderId="0" xfId="1" applyFont="1" applyFill="1" applyBorder="1" applyAlignment="1">
      <alignment vertical="center"/>
    </xf>
    <xf numFmtId="0" fontId="3" fillId="8" borderId="0" xfId="0" applyFont="1" applyFill="1" applyAlignment="1">
      <alignment horizontal="center" vertical="center"/>
    </xf>
    <xf numFmtId="0" fontId="0" fillId="8" borderId="0" xfId="0" applyFont="1" applyFill="1"/>
    <xf numFmtId="0" fontId="33" fillId="0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43" fontId="0" fillId="2" borderId="0" xfId="5" applyFont="1" applyFill="1"/>
    <xf numFmtId="0" fontId="2" fillId="2" borderId="9" xfId="0" applyFont="1" applyFill="1" applyBorder="1" applyAlignment="1">
      <alignment horizontal="center" vertical="center" wrapText="1" shrinkToFit="1"/>
    </xf>
    <xf numFmtId="0" fontId="2" fillId="2" borderId="9" xfId="0" applyFont="1" applyFill="1" applyBorder="1" applyAlignment="1">
      <alignment horizontal="left" vertical="center" wrapText="1" shrinkToFit="1"/>
    </xf>
    <xf numFmtId="0" fontId="23" fillId="2" borderId="9" xfId="0" applyFont="1" applyFill="1" applyBorder="1" applyAlignment="1">
      <alignment horizontal="center" vertical="center" wrapText="1"/>
    </xf>
    <xf numFmtId="0" fontId="28" fillId="2" borderId="10" xfId="0" applyFont="1" applyFill="1" applyBorder="1" applyAlignment="1">
      <alignment horizontal="center" vertical="center"/>
    </xf>
    <xf numFmtId="4" fontId="19" fillId="2" borderId="10" xfId="0" applyNumberFormat="1" applyFont="1" applyFill="1" applyBorder="1" applyAlignment="1">
      <alignment vertical="center"/>
    </xf>
    <xf numFmtId="0" fontId="33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164" fontId="2" fillId="2" borderId="9" xfId="0" applyNumberFormat="1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26" fillId="2" borderId="0" xfId="0" applyFont="1" applyFill="1"/>
    <xf numFmtId="0" fontId="27" fillId="2" borderId="0" xfId="0" applyFont="1" applyFill="1"/>
    <xf numFmtId="0" fontId="2" fillId="2" borderId="9" xfId="0" applyNumberFormat="1" applyFont="1" applyFill="1" applyBorder="1" applyAlignment="1">
      <alignment horizontal="left" vertical="center" wrapText="1"/>
    </xf>
    <xf numFmtId="9" fontId="2" fillId="2" borderId="9" xfId="2" applyFont="1" applyFill="1" applyBorder="1" applyAlignment="1">
      <alignment horizontal="center" vertical="center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/>
    </xf>
    <xf numFmtId="0" fontId="29" fillId="2" borderId="9" xfId="0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6" fillId="2" borderId="36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9" fillId="0" borderId="39" xfId="1" applyFont="1" applyFill="1" applyBorder="1" applyAlignment="1">
      <alignment horizontal="center" vertical="center"/>
    </xf>
    <xf numFmtId="0" fontId="9" fillId="0" borderId="24" xfId="1" applyFont="1" applyFill="1" applyBorder="1" applyAlignment="1">
      <alignment horizontal="center" vertical="center"/>
    </xf>
    <xf numFmtId="0" fontId="9" fillId="0" borderId="40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41" xfId="1" applyFont="1" applyFill="1" applyBorder="1" applyAlignment="1">
      <alignment horizontal="center" vertical="center" wrapText="1"/>
    </xf>
    <xf numFmtId="0" fontId="9" fillId="0" borderId="25" xfId="1" applyFont="1" applyFill="1" applyBorder="1" applyAlignment="1">
      <alignment horizontal="center" vertical="center" wrapText="1"/>
    </xf>
    <xf numFmtId="0" fontId="9" fillId="3" borderId="39" xfId="1" applyFont="1" applyFill="1" applyBorder="1" applyAlignment="1">
      <alignment horizontal="center" vertical="center" wrapText="1"/>
    </xf>
    <xf numFmtId="0" fontId="9" fillId="3" borderId="24" xfId="1" applyFont="1" applyFill="1" applyBorder="1" applyAlignment="1">
      <alignment horizontal="center" vertical="center" wrapText="1"/>
    </xf>
    <xf numFmtId="0" fontId="7" fillId="0" borderId="42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7" fillId="0" borderId="44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2" borderId="46" xfId="1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 shrinkToFit="1"/>
    </xf>
    <xf numFmtId="0" fontId="18" fillId="0" borderId="10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 shrinkToFit="1"/>
    </xf>
    <xf numFmtId="0" fontId="18" fillId="7" borderId="9" xfId="0" applyFont="1" applyFill="1" applyBorder="1" applyAlignment="1">
      <alignment horizontal="center" vertical="center" wrapText="1"/>
    </xf>
    <xf numFmtId="0" fontId="20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18" fillId="7" borderId="10" xfId="0" applyFont="1" applyFill="1" applyBorder="1" applyAlignment="1">
      <alignment horizontal="center" vertical="center" wrapText="1"/>
    </xf>
    <xf numFmtId="0" fontId="10" fillId="7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</cellXfs>
  <cellStyles count="6">
    <cellStyle name="Dziesiętny" xfId="5" builtinId="3"/>
    <cellStyle name="Normalny" xfId="0" builtinId="0"/>
    <cellStyle name="Normalny 2" xfId="1" xr:uid="{00000000-0005-0000-0000-000002000000}"/>
    <cellStyle name="Normalny 3" xfId="4" xr:uid="{00000000-0005-0000-0000-000003000000}"/>
    <cellStyle name="Procentowy" xfId="2" builtinId="5"/>
    <cellStyle name="Tekst objaśnienia" xfId="3" builtinId="53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BF9000"/>
      <rgbColor rgb="00ED7D31"/>
      <rgbColor rgb="00666699"/>
      <rgbColor rgb="00969696"/>
      <rgbColor rgb="00003366"/>
      <rgbColor rgb="00339966"/>
      <rgbColor rgb="00003300"/>
      <rgbColor rgb="00333300"/>
      <rgbColor rgb="00ED1C24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1"/>
  <sheetViews>
    <sheetView view="pageBreakPreview" zoomScale="80" zoomScaleNormal="100" zoomScaleSheetLayoutView="80" workbookViewId="0">
      <selection activeCell="C6" sqref="C6"/>
    </sheetView>
  </sheetViews>
  <sheetFormatPr defaultColWidth="9.140625" defaultRowHeight="15" x14ac:dyDescent="0.25"/>
  <cols>
    <col min="1" max="1" width="32.140625" style="137" customWidth="1"/>
    <col min="2" max="2" width="12" style="25" customWidth="1"/>
    <col min="3" max="5" width="20.7109375" style="137" customWidth="1"/>
    <col min="6" max="9" width="15.7109375" style="137" customWidth="1"/>
    <col min="10" max="10" width="21.5703125" style="137" customWidth="1"/>
    <col min="11" max="15" width="15.7109375" style="137" customWidth="1"/>
    <col min="16" max="16" width="9.140625" style="137"/>
    <col min="17" max="17" width="11.7109375" style="137" bestFit="1" customWidth="1"/>
    <col min="18" max="18" width="12" style="18" bestFit="1" customWidth="1"/>
    <col min="19" max="16384" width="9.140625" style="18"/>
  </cols>
  <sheetData>
    <row r="1" spans="1:24" s="5" customFormat="1" ht="30" customHeight="1" thickBot="1" x14ac:dyDescent="0.35">
      <c r="A1" s="1" t="s">
        <v>793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4"/>
      <c r="T1" s="4"/>
      <c r="U1" s="4"/>
      <c r="V1" s="4"/>
      <c r="W1" s="4"/>
      <c r="X1" s="4"/>
    </row>
    <row r="2" spans="1:24" s="9" customFormat="1" x14ac:dyDescent="0.25">
      <c r="A2" s="6"/>
      <c r="B2" s="7"/>
      <c r="C2" s="6"/>
      <c r="D2" s="6"/>
      <c r="E2" s="6"/>
      <c r="F2" s="292" t="s">
        <v>76</v>
      </c>
      <c r="G2" s="293"/>
      <c r="H2" s="293"/>
      <c r="I2" s="293"/>
      <c r="J2" s="293"/>
      <c r="K2" s="293"/>
      <c r="L2" s="293"/>
      <c r="M2" s="293"/>
      <c r="N2" s="294"/>
      <c r="O2" s="6"/>
      <c r="P2" s="6"/>
      <c r="Q2" s="6"/>
      <c r="R2" s="8"/>
      <c r="S2" s="8"/>
      <c r="T2" s="8"/>
      <c r="U2" s="8"/>
      <c r="V2" s="8"/>
      <c r="W2" s="8"/>
      <c r="X2" s="8"/>
    </row>
    <row r="3" spans="1:24" s="9" customFormat="1" x14ac:dyDescent="0.25">
      <c r="A3" s="10"/>
      <c r="B3" s="7"/>
      <c r="C3" s="6"/>
      <c r="D3" s="6"/>
      <c r="E3" s="6"/>
      <c r="F3" s="295"/>
      <c r="G3" s="296"/>
      <c r="H3" s="296"/>
      <c r="I3" s="296"/>
      <c r="J3" s="296"/>
      <c r="K3" s="296"/>
      <c r="L3" s="296"/>
      <c r="M3" s="296"/>
      <c r="N3" s="297"/>
      <c r="O3" s="11"/>
      <c r="P3" s="11"/>
      <c r="Q3" s="11"/>
      <c r="X3" s="8"/>
    </row>
    <row r="4" spans="1:24" s="9" customFormat="1" x14ac:dyDescent="0.25">
      <c r="A4" s="262" t="s">
        <v>747</v>
      </c>
      <c r="B4" s="263"/>
      <c r="C4" s="14"/>
      <c r="D4" s="14"/>
      <c r="E4" s="14"/>
      <c r="F4" s="295"/>
      <c r="G4" s="296"/>
      <c r="H4" s="296"/>
      <c r="I4" s="296"/>
      <c r="J4" s="296"/>
      <c r="K4" s="296"/>
      <c r="L4" s="296"/>
      <c r="M4" s="296"/>
      <c r="N4" s="297"/>
      <c r="O4" s="11"/>
      <c r="P4" s="11"/>
      <c r="Q4" s="11"/>
      <c r="X4" s="15"/>
    </row>
    <row r="5" spans="1:24" s="9" customFormat="1" x14ac:dyDescent="0.25">
      <c r="A5" s="264"/>
      <c r="B5" s="263"/>
      <c r="C5" s="14"/>
      <c r="D5" s="191"/>
      <c r="E5" s="14"/>
      <c r="F5" s="295"/>
      <c r="G5" s="296"/>
      <c r="H5" s="296"/>
      <c r="I5" s="296"/>
      <c r="J5" s="296"/>
      <c r="K5" s="296"/>
      <c r="L5" s="296"/>
      <c r="M5" s="296"/>
      <c r="N5" s="297"/>
      <c r="O5" s="11"/>
      <c r="P5" s="11"/>
      <c r="Q5" s="11"/>
      <c r="X5" s="8"/>
    </row>
    <row r="6" spans="1:24" s="9" customFormat="1" x14ac:dyDescent="0.25">
      <c r="A6" s="262" t="s">
        <v>748</v>
      </c>
      <c r="B6" s="263"/>
      <c r="C6" s="14"/>
      <c r="D6" s="14"/>
      <c r="E6" s="14"/>
      <c r="F6" s="295"/>
      <c r="G6" s="296"/>
      <c r="H6" s="296"/>
      <c r="I6" s="296"/>
      <c r="J6" s="296"/>
      <c r="K6" s="296"/>
      <c r="L6" s="296"/>
      <c r="M6" s="296"/>
      <c r="N6" s="297"/>
      <c r="O6" s="11"/>
      <c r="P6" s="11"/>
      <c r="Q6" s="11"/>
      <c r="X6" s="15"/>
    </row>
    <row r="7" spans="1:24" s="9" customFormat="1" ht="15.75" thickBot="1" x14ac:dyDescent="0.3">
      <c r="A7" s="264"/>
      <c r="B7" s="263"/>
      <c r="C7" s="14"/>
      <c r="D7" s="14"/>
      <c r="E7" s="14"/>
      <c r="F7" s="298" t="s">
        <v>77</v>
      </c>
      <c r="G7" s="299"/>
      <c r="H7" s="299"/>
      <c r="I7" s="299"/>
      <c r="J7" s="299"/>
      <c r="K7" s="299"/>
      <c r="L7" s="299"/>
      <c r="M7" s="299"/>
      <c r="N7" s="300"/>
      <c r="O7" s="11"/>
      <c r="P7" s="11"/>
      <c r="Q7" s="11"/>
      <c r="X7" s="8"/>
    </row>
    <row r="8" spans="1:24" s="9" customFormat="1" x14ac:dyDescent="0.25">
      <c r="A8" s="14"/>
      <c r="B8" s="13"/>
      <c r="C8" s="14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1"/>
      <c r="P8" s="11"/>
      <c r="Q8" s="11"/>
      <c r="X8" s="8"/>
    </row>
    <row r="9" spans="1:24" s="9" customFormat="1" ht="20.100000000000001" customHeight="1" thickBot="1" x14ac:dyDescent="0.3">
      <c r="A9" s="12" t="s">
        <v>78</v>
      </c>
      <c r="B9" s="13"/>
      <c r="C9" s="14"/>
      <c r="D9" s="14"/>
      <c r="E9" s="14"/>
      <c r="F9" s="13"/>
      <c r="G9" s="13"/>
      <c r="H9" s="13"/>
      <c r="I9" s="13"/>
      <c r="J9" s="13"/>
      <c r="K9" s="13"/>
      <c r="L9" s="13"/>
      <c r="M9" s="13"/>
      <c r="N9" s="13"/>
      <c r="O9" s="11"/>
      <c r="P9" s="11"/>
      <c r="Q9" s="11"/>
      <c r="X9" s="8"/>
    </row>
    <row r="10" spans="1:24" ht="20.100000000000001" customHeight="1" x14ac:dyDescent="0.25">
      <c r="A10" s="301" t="s">
        <v>79</v>
      </c>
      <c r="B10" s="312" t="s">
        <v>80</v>
      </c>
      <c r="C10" s="303" t="s">
        <v>81</v>
      </c>
      <c r="D10" s="305" t="s">
        <v>82</v>
      </c>
      <c r="E10" s="307" t="s">
        <v>83</v>
      </c>
      <c r="F10" s="309" t="s">
        <v>10</v>
      </c>
      <c r="G10" s="310"/>
      <c r="H10" s="310"/>
      <c r="I10" s="310"/>
      <c r="J10" s="310"/>
      <c r="K10" s="310"/>
      <c r="L10" s="310"/>
      <c r="M10" s="310"/>
      <c r="N10" s="310"/>
      <c r="O10" s="311"/>
      <c r="P10" s="16"/>
      <c r="Q10" s="16"/>
      <c r="R10" s="17"/>
      <c r="S10" s="17"/>
      <c r="T10" s="17"/>
      <c r="U10" s="17"/>
      <c r="X10" s="19"/>
    </row>
    <row r="11" spans="1:24" s="25" customFormat="1" ht="20.100000000000001" customHeight="1" thickBot="1" x14ac:dyDescent="0.25">
      <c r="A11" s="302"/>
      <c r="B11" s="313"/>
      <c r="C11" s="304"/>
      <c r="D11" s="306"/>
      <c r="E11" s="308"/>
      <c r="F11" s="20">
        <v>2019</v>
      </c>
      <c r="G11" s="21">
        <v>2020</v>
      </c>
      <c r="H11" s="21">
        <v>2021</v>
      </c>
      <c r="I11" s="21">
        <v>2022</v>
      </c>
      <c r="J11" s="21">
        <v>2023</v>
      </c>
      <c r="K11" s="21">
        <v>2024</v>
      </c>
      <c r="L11" s="21">
        <v>2025</v>
      </c>
      <c r="M11" s="21">
        <v>2026</v>
      </c>
      <c r="N11" s="21">
        <v>2027</v>
      </c>
      <c r="O11" s="22">
        <v>2028</v>
      </c>
      <c r="P11" s="23"/>
      <c r="Q11" s="23"/>
      <c r="R11" s="23"/>
      <c r="S11" s="23"/>
      <c r="T11" s="23"/>
      <c r="U11" s="23"/>
      <c r="V11" s="24"/>
      <c r="W11" s="24"/>
      <c r="X11" s="24"/>
    </row>
    <row r="12" spans="1:24" ht="39.950000000000003" customHeight="1" thickTop="1" x14ac:dyDescent="0.25">
      <c r="A12" s="26" t="s">
        <v>84</v>
      </c>
      <c r="B12" s="231">
        <f>COUNTIF('pow podst'!K3:K34,"&gt;0")</f>
        <v>30</v>
      </c>
      <c r="C12" s="27">
        <f>SUM('pow podst'!J3:J34)</f>
        <v>133881157.18000001</v>
      </c>
      <c r="D12" s="28">
        <f>SUM('pow podst'!L3:L34)</f>
        <v>64511447.49400001</v>
      </c>
      <c r="E12" s="29">
        <f>SUM('pow podst'!K3:K34)</f>
        <v>69369709.68599999</v>
      </c>
      <c r="F12" s="30">
        <f>SUM('pow podst'!N3:N34)</f>
        <v>0</v>
      </c>
      <c r="G12" s="30">
        <f>SUM('pow podst'!O3:O34)</f>
        <v>0</v>
      </c>
      <c r="H12" s="30">
        <f>SUM('pow podst'!P3:P34)</f>
        <v>0</v>
      </c>
      <c r="I12" s="30">
        <f>SUM('pow podst'!Q3:Q34)</f>
        <v>8464933.1999999993</v>
      </c>
      <c r="J12" s="30">
        <f>SUM('pow podst'!R3:R34)</f>
        <v>46385232.245999992</v>
      </c>
      <c r="K12" s="30">
        <f>SUM('pow podst'!S3:S34)</f>
        <v>12648491.74</v>
      </c>
      <c r="L12" s="30">
        <f>SUM('pow podst'!T3:T34)</f>
        <v>1871052.5</v>
      </c>
      <c r="M12" s="30">
        <f>SUM('pow podst'!U3:U34)</f>
        <v>0</v>
      </c>
      <c r="N12" s="30">
        <f>SUM('pow podst'!V3:V34)</f>
        <v>0</v>
      </c>
      <c r="O12" s="30">
        <f>SUM('pow podst'!W3:W34)</f>
        <v>0</v>
      </c>
      <c r="P12" s="31" t="b">
        <f>C12=(D12+E12)</f>
        <v>1</v>
      </c>
      <c r="Q12" s="32" t="b">
        <f>E12=SUM(F12:O12)</f>
        <v>1</v>
      </c>
      <c r="R12" s="33"/>
      <c r="S12" s="33"/>
      <c r="T12" s="34"/>
      <c r="U12" s="34"/>
      <c r="V12" s="35"/>
      <c r="W12" s="19"/>
      <c r="X12" s="19"/>
    </row>
    <row r="13" spans="1:24" ht="39.950000000000003" customHeight="1" x14ac:dyDescent="0.25">
      <c r="A13" s="141" t="s">
        <v>33</v>
      </c>
      <c r="B13" s="36">
        <f>COUNTIFS('pow podst'!K3:K34,"&gt;0",'pow podst'!C3:C34,"K")</f>
        <v>5</v>
      </c>
      <c r="C13" s="142">
        <f>SUMIF('pow podst'!C3:C34,"K",'pow podst'!J3:J34)</f>
        <v>43531490.240000002</v>
      </c>
      <c r="D13" s="143">
        <f>SUMIF('pow podst'!C3:C34,"K",'pow podst'!L3:L34)</f>
        <v>24435621.740000002</v>
      </c>
      <c r="E13" s="138">
        <f>SUMIF('pow podst'!C3:C34,"K",'pow podst'!K3:K34)</f>
        <v>19095868.5</v>
      </c>
      <c r="F13" s="40">
        <f>SUMIF('pow podst'!C3:C34,"K",'pow podst'!N3:N34)</f>
        <v>0</v>
      </c>
      <c r="G13" s="37">
        <f>SUMIF('pow podst'!C3:C34,"K",'pow podst'!O3:O34)</f>
        <v>0</v>
      </c>
      <c r="H13" s="37">
        <f>SUMIF('pow podst'!C3:C34,"K",'pow podst'!P3:P34)</f>
        <v>0</v>
      </c>
      <c r="I13" s="37">
        <f>SUMIF('pow podst'!C3:C34,"K",'pow podst'!Q3:Q34)</f>
        <v>8464933.1999999993</v>
      </c>
      <c r="J13" s="37">
        <f>SUMIF('pow podst'!C3:C34,"K",'pow podst'!R3:R34)</f>
        <v>10630935.300000001</v>
      </c>
      <c r="K13" s="37">
        <f>SUMIF('pow podst'!C3:C34,"K",'pow podst'!S3:S34)</f>
        <v>0</v>
      </c>
      <c r="L13" s="37">
        <f>SUMIF('pow podst'!C3:C34,"K",'pow podst'!T3:T34)</f>
        <v>0</v>
      </c>
      <c r="M13" s="37">
        <f>SUMIF('pow podst'!C3:C34,"K",'pow podst'!U3:U34)</f>
        <v>0</v>
      </c>
      <c r="N13" s="37">
        <f>SUMIF('pow podst'!C3:C34,"K",'pow podst'!V3:V34)</f>
        <v>0</v>
      </c>
      <c r="O13" s="37">
        <f>SUMIF('pow podst'!C3:C34,"K",'pow podst'!W3:W34)</f>
        <v>0</v>
      </c>
      <c r="P13" s="31" t="b">
        <f t="shared" ref="P13:P36" si="0">C13=(D13+E13)</f>
        <v>1</v>
      </c>
      <c r="Q13" s="32" t="b">
        <f t="shared" ref="Q13:Q36" si="1">E13=SUM(F13:O13)</f>
        <v>1</v>
      </c>
      <c r="R13" s="33"/>
      <c r="S13" s="33"/>
      <c r="T13" s="34"/>
      <c r="U13" s="34"/>
      <c r="V13" s="35"/>
      <c r="W13" s="19"/>
      <c r="X13" s="19"/>
    </row>
    <row r="14" spans="1:24" ht="39.950000000000003" customHeight="1" x14ac:dyDescent="0.25">
      <c r="A14" s="41" t="s">
        <v>34</v>
      </c>
      <c r="B14" s="42">
        <f>COUNTIFS('pow podst'!K3:K34,"&gt;0",'pow podst'!C3:C34,"N")</f>
        <v>19</v>
      </c>
      <c r="C14" s="144">
        <f>SUMIF('pow podst'!C3:C34,"N",'pow podst'!J3:J34)</f>
        <v>48812921.870000005</v>
      </c>
      <c r="D14" s="145">
        <f>SUMIF('pow podst'!C3:C34,"N",'pow podst'!L3:L34)</f>
        <v>20734458.263999999</v>
      </c>
      <c r="E14" s="139">
        <f>SUMIF('pow podst'!C3:C34,"N",'pow podst'!K3:K34)</f>
        <v>28078463.606000002</v>
      </c>
      <c r="F14" s="46">
        <f>SUMIF('pow podst'!C3:C34,"N",'pow podst'!N3:N34)</f>
        <v>0</v>
      </c>
      <c r="G14" s="43">
        <f>SUMIF('pow podst'!C3:C34,"N",'pow podst'!O3:O34)</f>
        <v>0</v>
      </c>
      <c r="H14" s="43">
        <f>SUMIF('pow podst'!C3:C34,"N",'pow podst'!P3:P34)</f>
        <v>0</v>
      </c>
      <c r="I14" s="43">
        <f>SUMIF('pow podst'!C3:C34,"N",'pow podst'!Q3:Q34)</f>
        <v>0</v>
      </c>
      <c r="J14" s="43">
        <f>SUMIF('pow podst'!C3:C34,"N",'pow podst'!R3:R34)</f>
        <v>28078463.606000002</v>
      </c>
      <c r="K14" s="43">
        <f>SUMIF('pow podst'!C3:C34,"N",'pow podst'!S3:S34)</f>
        <v>0</v>
      </c>
      <c r="L14" s="43">
        <f>SUMIF('pow podst'!C3:C34,"N",'pow podst'!T3:T34)</f>
        <v>0</v>
      </c>
      <c r="M14" s="43">
        <f>SUMIF('pow podst'!C3:C34,"N",'pow podst'!U3:U34)</f>
        <v>0</v>
      </c>
      <c r="N14" s="43">
        <f>SUMIF('pow podst'!C3:C34,"N",'pow podst'!V3:V34)</f>
        <v>0</v>
      </c>
      <c r="O14" s="43">
        <f>SUMIF('pow podst'!C3:C34,"N",'pow podst'!W3:W34)</f>
        <v>0</v>
      </c>
      <c r="P14" s="31" t="b">
        <f t="shared" si="0"/>
        <v>1</v>
      </c>
      <c r="Q14" s="32" t="b">
        <f t="shared" si="1"/>
        <v>1</v>
      </c>
      <c r="R14" s="33"/>
      <c r="S14" s="33"/>
      <c r="T14" s="34"/>
      <c r="U14" s="34"/>
      <c r="V14" s="35"/>
      <c r="W14" s="19"/>
      <c r="X14" s="19"/>
    </row>
    <row r="15" spans="1:24" ht="39.950000000000003" customHeight="1" thickBot="1" x14ac:dyDescent="0.3">
      <c r="A15" s="47" t="s">
        <v>35</v>
      </c>
      <c r="B15" s="48">
        <f>COUNTIFS('pow podst'!K3:K34,"&gt;0",'pow podst'!C3:C34,"W")</f>
        <v>6</v>
      </c>
      <c r="C15" s="146">
        <f>SUMIF('pow podst'!C3:C34,"W",'pow podst'!J3:J34)</f>
        <v>41536745.07</v>
      </c>
      <c r="D15" s="147">
        <f>SUMIF('pow podst'!C3:C34,"W",'pow podst'!L3:L34)</f>
        <v>19341367.490000002</v>
      </c>
      <c r="E15" s="140">
        <f>SUMIF('pow podst'!C3:C34,"W",'pow podst'!K3:K34)</f>
        <v>22195377.579999998</v>
      </c>
      <c r="F15" s="52">
        <f>SUMIF('pow podst'!C3:C34,"W",'pow podst'!N3:N34)</f>
        <v>0</v>
      </c>
      <c r="G15" s="49">
        <f>SUMIF('pow podst'!C3:C34,"W",'pow podst'!O3:O34)</f>
        <v>0</v>
      </c>
      <c r="H15" s="49">
        <f>SUMIF('pow podst'!C3:C34,"W",'pow podst'!P3:P34)</f>
        <v>0</v>
      </c>
      <c r="I15" s="49">
        <f>SUMIF('pow podst'!C3:C34,"W",'pow podst'!Q3:Q34)</f>
        <v>0</v>
      </c>
      <c r="J15" s="49">
        <f>SUMIF('pow podst'!C3:C34,"W",'pow podst'!R3:R34)</f>
        <v>7675833.3399999999</v>
      </c>
      <c r="K15" s="49">
        <f>SUMIF('pow podst'!C3:C34,"W",'pow podst'!S3:S34)</f>
        <v>12648491.74</v>
      </c>
      <c r="L15" s="49">
        <f>SUMIF('pow podst'!C3:C34,"W",'pow podst'!T3:T34)</f>
        <v>1871052.5</v>
      </c>
      <c r="M15" s="49">
        <f>SUMIF('pow podst'!C3:C34,"W",'pow podst'!U3:U34)</f>
        <v>0</v>
      </c>
      <c r="N15" s="49">
        <f>SUMIF('pow podst'!C3:C34,"W",'pow podst'!V3:V34)</f>
        <v>0</v>
      </c>
      <c r="O15" s="49">
        <f>SUMIF('pow podst'!C3:C34,"W",'pow podst'!W3:W34)</f>
        <v>0</v>
      </c>
      <c r="P15" s="31" t="b">
        <f t="shared" si="0"/>
        <v>1</v>
      </c>
      <c r="Q15" s="32" t="b">
        <f t="shared" si="1"/>
        <v>1</v>
      </c>
      <c r="R15" s="33"/>
      <c r="S15" s="33"/>
      <c r="T15" s="34"/>
      <c r="U15" s="34"/>
      <c r="V15" s="35"/>
      <c r="W15" s="19"/>
      <c r="X15" s="19"/>
    </row>
    <row r="16" spans="1:24" ht="39.950000000000003" customHeight="1" thickTop="1" x14ac:dyDescent="0.25">
      <c r="A16" s="26" t="s">
        <v>85</v>
      </c>
      <c r="B16" s="231">
        <f>COUNTIF('gm podst'!L3:L97,"&gt;0")</f>
        <v>84</v>
      </c>
      <c r="C16" s="27">
        <f>SUM('gm podst'!K3:K97)</f>
        <v>245844772.05999991</v>
      </c>
      <c r="D16" s="28">
        <f>SUM('gm podst'!M3:M97)</f>
        <v>103826557.965</v>
      </c>
      <c r="E16" s="29">
        <f>SUM('gm podst'!L3:L97)</f>
        <v>142018214.095</v>
      </c>
      <c r="F16" s="53">
        <f>SUM('gm podst'!O3:O97)</f>
        <v>0</v>
      </c>
      <c r="G16" s="53">
        <f>SUM('gm podst'!P3:P97)</f>
        <v>0</v>
      </c>
      <c r="H16" s="53">
        <f>SUM('gm podst'!Q3:Q97)</f>
        <v>241496.05</v>
      </c>
      <c r="I16" s="53">
        <f>SUM('gm podst'!R3:R97)</f>
        <v>18776649.260000002</v>
      </c>
      <c r="J16" s="53">
        <f>SUM('gm podst'!S3:S97)</f>
        <v>97475607.584999993</v>
      </c>
      <c r="K16" s="53">
        <f>SUM('gm podst'!T3:T97)</f>
        <v>23837916.199999999</v>
      </c>
      <c r="L16" s="53">
        <f>SUM('gm podst'!U3:U97)</f>
        <v>1686545</v>
      </c>
      <c r="M16" s="53">
        <f>SUM('gm podst'!V3:V97)</f>
        <v>0</v>
      </c>
      <c r="N16" s="53">
        <f>SUM('gm podst'!W3:W97)</f>
        <v>0</v>
      </c>
      <c r="O16" s="53">
        <f>SUM('gm podst'!X3:X97)</f>
        <v>0</v>
      </c>
      <c r="P16" s="31" t="b">
        <f t="shared" si="0"/>
        <v>1</v>
      </c>
      <c r="Q16" s="32" t="b">
        <f t="shared" si="1"/>
        <v>1</v>
      </c>
      <c r="R16" s="33"/>
      <c r="S16" s="33"/>
      <c r="T16" s="34"/>
      <c r="U16" s="34"/>
      <c r="V16" s="34"/>
      <c r="W16" s="34"/>
      <c r="X16" s="34"/>
    </row>
    <row r="17" spans="1:24" ht="39.950000000000003" customHeight="1" x14ac:dyDescent="0.25">
      <c r="A17" s="141" t="s">
        <v>33</v>
      </c>
      <c r="B17" s="36">
        <f>COUNTIFS('gm podst'!L3:L97,"&gt;0",'gm podst'!C3:C97,"K")</f>
        <v>22</v>
      </c>
      <c r="C17" s="37">
        <f>SUMIF('gm podst'!C3:C97,"K",'gm podst'!K3:K97)</f>
        <v>95865704.5</v>
      </c>
      <c r="D17" s="38">
        <f>SUMIF('gm podst'!C3:C97,"K",'gm podst'!M3:M97)</f>
        <v>44744566.68</v>
      </c>
      <c r="E17" s="39">
        <f>SUMIF('gm podst'!C3:C97,"K",'gm podst'!L3:L97)</f>
        <v>51121137.819999993</v>
      </c>
      <c r="F17" s="40">
        <f>SUMIF('gm podst'!C3:C97,"K",'gm podst'!O3:O97)</f>
        <v>0</v>
      </c>
      <c r="G17" s="40">
        <f>SUMIF('gm podst'!C3:C97,"K",'gm podst'!P3:P97)</f>
        <v>0</v>
      </c>
      <c r="H17" s="40">
        <f>SUMIF('gm podst'!C3:C97,"K",'gm podst'!Q3:Q97)</f>
        <v>241496.05</v>
      </c>
      <c r="I17" s="40">
        <f>SUMIF('gm podst'!C3:C97,"K",'gm podst'!R3:R97)</f>
        <v>18776649.260000002</v>
      </c>
      <c r="J17" s="40">
        <f>SUMIF('gm podst'!C3:C97,"K",'gm podst'!S3:S97)</f>
        <v>30602992.509999998</v>
      </c>
      <c r="K17" s="40">
        <f>SUMIF('gm podst'!C3:C97,"K",'gm podst'!T3:T97)</f>
        <v>1500000</v>
      </c>
      <c r="L17" s="40">
        <f>SUMIF('gm podst'!C3:C97,"K",'gm podst'!U3:U97)</f>
        <v>0</v>
      </c>
      <c r="M17" s="40">
        <f>SUMIF('gm podst'!C3:C97,"K",'gm podst'!V3:V97)</f>
        <v>0</v>
      </c>
      <c r="N17" s="40">
        <f>SUMIF('gm podst'!C3:C97,"K",'gm podst'!W3:W97)</f>
        <v>0</v>
      </c>
      <c r="O17" s="40">
        <f>SUMIF('gm podst'!C3:C97,"K",'gm podst'!X3:X97)</f>
        <v>0</v>
      </c>
      <c r="P17" s="31" t="b">
        <f t="shared" si="0"/>
        <v>1</v>
      </c>
      <c r="Q17" s="32" t="b">
        <f t="shared" si="1"/>
        <v>1</v>
      </c>
      <c r="R17" s="33"/>
      <c r="S17" s="33"/>
      <c r="T17" s="34"/>
      <c r="U17" s="34"/>
      <c r="V17" s="34"/>
      <c r="W17" s="34"/>
      <c r="X17" s="34"/>
    </row>
    <row r="18" spans="1:24" ht="39.950000000000003" customHeight="1" x14ac:dyDescent="0.25">
      <c r="A18" s="41" t="s">
        <v>34</v>
      </c>
      <c r="B18" s="42">
        <f>COUNTIFS('gm podst'!L3:L97,"&gt;0",'gm podst'!C3:C97,"N")</f>
        <v>46</v>
      </c>
      <c r="C18" s="43">
        <f>SUMIF('gm podst'!C3:C97,"N",'gm podst'!K3:K97)</f>
        <v>77268576.319999993</v>
      </c>
      <c r="D18" s="44">
        <f>SUMIF('gm podst'!C3:C97,"N",'gm podst'!M3:M97)</f>
        <v>29729780.164999995</v>
      </c>
      <c r="E18" s="45">
        <f>SUMIF('gm podst'!C3:C97,"N",'gm podst'!L3:L97)</f>
        <v>47538796.154999986</v>
      </c>
      <c r="F18" s="46">
        <f>SUMIF('gm podst'!C3:C97,"N",'gm podst'!O3:O97)</f>
        <v>0</v>
      </c>
      <c r="G18" s="46">
        <f>SUMIF('gm podst'!C3:C97,"N",'gm podst'!P3:P97)</f>
        <v>0</v>
      </c>
      <c r="H18" s="46">
        <f>SUMIF('gm podst'!C3:C97,"N",'gm podst'!Q3:Q97)</f>
        <v>0</v>
      </c>
      <c r="I18" s="46">
        <f>SUMIF('gm podst'!C3:C97,"N",'gm podst'!R3:R97)</f>
        <v>0</v>
      </c>
      <c r="J18" s="46">
        <f>SUMIF('gm podst'!C3:C97,"N",'gm podst'!S3:S97)</f>
        <v>47538796.154999986</v>
      </c>
      <c r="K18" s="46">
        <f>SUMIF('gm podst'!C3:C97,"N",'gm podst'!T3:T97)</f>
        <v>0</v>
      </c>
      <c r="L18" s="46">
        <f>SUMIF('gm podst'!C3:C97,"N",'gm podst'!U3:U97)</f>
        <v>0</v>
      </c>
      <c r="M18" s="46">
        <f>SUMIF('gm podst'!C3:C97,"N",'gm podst'!V3:V97)</f>
        <v>0</v>
      </c>
      <c r="N18" s="46">
        <f>SUMIF('gm podst'!C3:C97,"N",'gm podst'!W3:W97)</f>
        <v>0</v>
      </c>
      <c r="O18" s="46">
        <f>SUMIF('gm podst'!C3:C97,"N",'gm podst'!X3:X97)</f>
        <v>0</v>
      </c>
      <c r="P18" s="31" t="b">
        <f>C18=(D18+E18)</f>
        <v>1</v>
      </c>
      <c r="Q18" s="32" t="b">
        <f t="shared" si="1"/>
        <v>1</v>
      </c>
      <c r="R18" s="33"/>
      <c r="S18" s="33"/>
      <c r="T18" s="34"/>
      <c r="U18" s="34"/>
      <c r="V18" s="34"/>
      <c r="W18" s="34"/>
      <c r="X18" s="34"/>
    </row>
    <row r="19" spans="1:24" ht="39.950000000000003" customHeight="1" thickBot="1" x14ac:dyDescent="0.3">
      <c r="A19" s="47" t="s">
        <v>35</v>
      </c>
      <c r="B19" s="36">
        <f>COUNTIFS('gm podst'!L3:L97,"&gt;0",'gm podst'!C3:C97,"W")</f>
        <v>16</v>
      </c>
      <c r="C19" s="49">
        <f>SUMIF('gm podst'!C3:C97,"W",'gm podst'!K3:K97)</f>
        <v>72710491.239999995</v>
      </c>
      <c r="D19" s="50">
        <f>SUMIF('gm podst'!C3:C97,"W",'gm podst'!M3:M97)</f>
        <v>29352211.120000001</v>
      </c>
      <c r="E19" s="51">
        <f>SUMIF('gm podst'!C3:C97,"W",'gm podst'!L3:L97)</f>
        <v>43358280.119999997</v>
      </c>
      <c r="F19" s="52">
        <f>SUMIF('gm podst'!C3:C97,"W",'gm podst'!O3:O97)</f>
        <v>0</v>
      </c>
      <c r="G19" s="52">
        <f>SUMIF('gm podst'!C3:C97,"W",'gm podst'!P3:P97)</f>
        <v>0</v>
      </c>
      <c r="H19" s="52">
        <f>SUMIF('gm podst'!C3:C97,"W",'gm podst'!Q3:Q97)</f>
        <v>0</v>
      </c>
      <c r="I19" s="52">
        <f>SUMIF('gm podst'!C3:C97,"W",'gm podst'!R3:R97)</f>
        <v>0</v>
      </c>
      <c r="J19" s="52">
        <f>SUMIF('gm podst'!C3:C97,"W",'gm podst'!S3:S97)</f>
        <v>19333818.920000002</v>
      </c>
      <c r="K19" s="52">
        <f>SUMIF('gm podst'!C3:C97,"W",'gm podst'!T3:T97)</f>
        <v>22337916.199999999</v>
      </c>
      <c r="L19" s="52">
        <f>SUMIF('gm podst'!C3:C97,"W",'gm podst'!U3:U97)</f>
        <v>1686545</v>
      </c>
      <c r="M19" s="52">
        <f>SUMIF('gm podst'!C3:C97,"W",'gm podst'!V3:V97)</f>
        <v>0</v>
      </c>
      <c r="N19" s="52">
        <f>SUMIF('gm podst'!C3:C97,"W",'gm podst'!W3:W97)</f>
        <v>0</v>
      </c>
      <c r="O19" s="52">
        <f>SUMIF('gm podst'!C3:C97,"W",'gm podst'!X3:X97)</f>
        <v>0</v>
      </c>
      <c r="P19" s="31" t="b">
        <f t="shared" si="0"/>
        <v>1</v>
      </c>
      <c r="Q19" s="32" t="b">
        <f t="shared" si="1"/>
        <v>1</v>
      </c>
      <c r="R19" s="33"/>
      <c r="S19" s="33"/>
      <c r="T19" s="34"/>
      <c r="U19" s="34"/>
      <c r="V19" s="34"/>
      <c r="W19" s="34"/>
      <c r="X19" s="34"/>
    </row>
    <row r="20" spans="1:24" s="62" customFormat="1" ht="39.950000000000003" customHeight="1" thickTop="1" x14ac:dyDescent="0.25">
      <c r="A20" s="54" t="s">
        <v>86</v>
      </c>
      <c r="B20" s="55">
        <f>B12+B16</f>
        <v>114</v>
      </c>
      <c r="C20" s="56">
        <f>C12+C16</f>
        <v>379725929.23999989</v>
      </c>
      <c r="D20" s="57">
        <f t="shared" ref="C20:O23" si="2">D12+D16</f>
        <v>168338005.45900002</v>
      </c>
      <c r="E20" s="29">
        <f t="shared" si="2"/>
        <v>211387923.78099999</v>
      </c>
      <c r="F20" s="58">
        <f t="shared" si="2"/>
        <v>0</v>
      </c>
      <c r="G20" s="56">
        <f>G12+G16</f>
        <v>0</v>
      </c>
      <c r="H20" s="56">
        <f>H12+H16</f>
        <v>241496.05</v>
      </c>
      <c r="I20" s="56">
        <f t="shared" si="2"/>
        <v>27241582.460000001</v>
      </c>
      <c r="J20" s="56">
        <f t="shared" si="2"/>
        <v>143860839.83099997</v>
      </c>
      <c r="K20" s="56">
        <f t="shared" si="2"/>
        <v>36486407.939999998</v>
      </c>
      <c r="L20" s="56">
        <f t="shared" si="2"/>
        <v>3557597.5</v>
      </c>
      <c r="M20" s="56">
        <f t="shared" si="2"/>
        <v>0</v>
      </c>
      <c r="N20" s="56">
        <f t="shared" si="2"/>
        <v>0</v>
      </c>
      <c r="O20" s="59">
        <f t="shared" si="2"/>
        <v>0</v>
      </c>
      <c r="P20" s="31" t="b">
        <f t="shared" si="0"/>
        <v>1</v>
      </c>
      <c r="Q20" s="32" t="b">
        <f t="shared" si="1"/>
        <v>1</v>
      </c>
      <c r="R20" s="60"/>
      <c r="S20" s="60"/>
      <c r="T20" s="61"/>
      <c r="U20" s="61"/>
      <c r="V20" s="61"/>
      <c r="W20" s="61"/>
      <c r="X20" s="61"/>
    </row>
    <row r="21" spans="1:24" s="69" customFormat="1" ht="39.950000000000003" customHeight="1" x14ac:dyDescent="0.25">
      <c r="A21" s="63" t="s">
        <v>33</v>
      </c>
      <c r="B21" s="64">
        <f>B13+B17</f>
        <v>27</v>
      </c>
      <c r="C21" s="65">
        <f t="shared" si="2"/>
        <v>139397194.74000001</v>
      </c>
      <c r="D21" s="66">
        <f t="shared" si="2"/>
        <v>69180188.420000002</v>
      </c>
      <c r="E21" s="39">
        <f t="shared" si="2"/>
        <v>70217006.319999993</v>
      </c>
      <c r="F21" s="67">
        <f t="shared" si="2"/>
        <v>0</v>
      </c>
      <c r="G21" s="65">
        <f t="shared" si="2"/>
        <v>0</v>
      </c>
      <c r="H21" s="65">
        <f t="shared" si="2"/>
        <v>241496.05</v>
      </c>
      <c r="I21" s="65">
        <f t="shared" si="2"/>
        <v>27241582.460000001</v>
      </c>
      <c r="J21" s="65">
        <f t="shared" si="2"/>
        <v>41233927.810000002</v>
      </c>
      <c r="K21" s="65">
        <f t="shared" si="2"/>
        <v>1500000</v>
      </c>
      <c r="L21" s="65">
        <f t="shared" si="2"/>
        <v>0</v>
      </c>
      <c r="M21" s="65">
        <f t="shared" si="2"/>
        <v>0</v>
      </c>
      <c r="N21" s="65">
        <f t="shared" si="2"/>
        <v>0</v>
      </c>
      <c r="O21" s="68">
        <f t="shared" si="2"/>
        <v>0</v>
      </c>
      <c r="P21" s="31" t="b">
        <f t="shared" si="0"/>
        <v>1</v>
      </c>
      <c r="Q21" s="32" t="b">
        <f t="shared" si="1"/>
        <v>1</v>
      </c>
      <c r="R21" s="60"/>
      <c r="S21" s="60"/>
      <c r="T21" s="61"/>
      <c r="U21" s="61"/>
      <c r="V21" s="61"/>
      <c r="W21" s="61"/>
      <c r="X21" s="61"/>
    </row>
    <row r="22" spans="1:24" s="69" customFormat="1" ht="39.950000000000003" customHeight="1" x14ac:dyDescent="0.25">
      <c r="A22" s="70" t="s">
        <v>34</v>
      </c>
      <c r="B22" s="71">
        <f>B14+B18</f>
        <v>65</v>
      </c>
      <c r="C22" s="72">
        <f t="shared" si="2"/>
        <v>126081498.19</v>
      </c>
      <c r="D22" s="73">
        <f t="shared" si="2"/>
        <v>50464238.42899999</v>
      </c>
      <c r="E22" s="45">
        <f t="shared" si="2"/>
        <v>75617259.760999992</v>
      </c>
      <c r="F22" s="74">
        <f t="shared" si="2"/>
        <v>0</v>
      </c>
      <c r="G22" s="72">
        <f t="shared" si="2"/>
        <v>0</v>
      </c>
      <c r="H22" s="72">
        <f t="shared" si="2"/>
        <v>0</v>
      </c>
      <c r="I22" s="72">
        <f t="shared" si="2"/>
        <v>0</v>
      </c>
      <c r="J22" s="72">
        <f t="shared" si="2"/>
        <v>75617259.760999992</v>
      </c>
      <c r="K22" s="72">
        <f t="shared" si="2"/>
        <v>0</v>
      </c>
      <c r="L22" s="72">
        <f t="shared" si="2"/>
        <v>0</v>
      </c>
      <c r="M22" s="72">
        <f t="shared" si="2"/>
        <v>0</v>
      </c>
      <c r="N22" s="72">
        <f t="shared" si="2"/>
        <v>0</v>
      </c>
      <c r="O22" s="75">
        <f t="shared" si="2"/>
        <v>0</v>
      </c>
      <c r="P22" s="31" t="b">
        <f t="shared" si="0"/>
        <v>1</v>
      </c>
      <c r="Q22" s="32" t="b">
        <f t="shared" si="1"/>
        <v>1</v>
      </c>
      <c r="R22" s="60"/>
      <c r="S22" s="60"/>
      <c r="T22" s="61"/>
      <c r="U22" s="61"/>
      <c r="V22" s="61"/>
      <c r="W22" s="61"/>
      <c r="X22" s="61"/>
    </row>
    <row r="23" spans="1:24" s="69" customFormat="1" ht="39.950000000000003" customHeight="1" thickBot="1" x14ac:dyDescent="0.3">
      <c r="A23" s="76" t="s">
        <v>35</v>
      </c>
      <c r="B23" s="77">
        <f>B15+B19</f>
        <v>22</v>
      </c>
      <c r="C23" s="78">
        <f t="shared" si="2"/>
        <v>114247236.31</v>
      </c>
      <c r="D23" s="79">
        <f t="shared" si="2"/>
        <v>48693578.609999999</v>
      </c>
      <c r="E23" s="51">
        <f>E15+E19</f>
        <v>65553657.699999996</v>
      </c>
      <c r="F23" s="80">
        <f t="shared" si="2"/>
        <v>0</v>
      </c>
      <c r="G23" s="78">
        <f t="shared" si="2"/>
        <v>0</v>
      </c>
      <c r="H23" s="78">
        <f t="shared" si="2"/>
        <v>0</v>
      </c>
      <c r="I23" s="78">
        <f t="shared" si="2"/>
        <v>0</v>
      </c>
      <c r="J23" s="78">
        <f t="shared" si="2"/>
        <v>27009652.260000002</v>
      </c>
      <c r="K23" s="78">
        <f t="shared" si="2"/>
        <v>34986407.939999998</v>
      </c>
      <c r="L23" s="78">
        <f t="shared" si="2"/>
        <v>3557597.5</v>
      </c>
      <c r="M23" s="78">
        <f t="shared" si="2"/>
        <v>0</v>
      </c>
      <c r="N23" s="78">
        <f t="shared" si="2"/>
        <v>0</v>
      </c>
      <c r="O23" s="81">
        <f t="shared" si="2"/>
        <v>0</v>
      </c>
      <c r="P23" s="31" t="b">
        <f t="shared" si="0"/>
        <v>1</v>
      </c>
      <c r="Q23" s="32" t="b">
        <f t="shared" si="1"/>
        <v>1</v>
      </c>
      <c r="R23" s="60"/>
      <c r="S23" s="60"/>
      <c r="T23" s="61"/>
      <c r="U23" s="61"/>
      <c r="V23" s="61"/>
      <c r="W23" s="61"/>
      <c r="X23" s="61"/>
    </row>
    <row r="24" spans="1:24" ht="39.950000000000003" customHeight="1" thickTop="1" x14ac:dyDescent="0.25">
      <c r="A24" s="26" t="s">
        <v>87</v>
      </c>
      <c r="B24" s="231">
        <f>COUNTIF('pow rez'!K3:K13,"&gt;0")</f>
        <v>11</v>
      </c>
      <c r="C24" s="27">
        <f>SUM('pow rez'!J3:J13)</f>
        <v>54653793.359999999</v>
      </c>
      <c r="D24" s="28">
        <f>SUM('pow rez'!L3:L13)</f>
        <v>26898896.68</v>
      </c>
      <c r="E24" s="29">
        <f>SUM('pow rez'!K3:K13)</f>
        <v>27754896.68</v>
      </c>
      <c r="F24" s="30">
        <f>SUM('pow rez'!N3:N13)</f>
        <v>0</v>
      </c>
      <c r="G24" s="30">
        <f>SUM('pow rez'!O3:O13)</f>
        <v>0</v>
      </c>
      <c r="H24" s="30">
        <f>SUM('pow rez'!P3:P13)</f>
        <v>0</v>
      </c>
      <c r="I24" s="30">
        <f>SUM('pow rez'!Q3:Q13)</f>
        <v>0</v>
      </c>
      <c r="J24" s="30">
        <f>SUM('pow rez'!R3:R13)</f>
        <v>18531074.68</v>
      </c>
      <c r="K24" s="30">
        <f>SUM('pow rez'!S3:S13)</f>
        <v>6298498</v>
      </c>
      <c r="L24" s="30">
        <f>SUM('pow rez'!T3:T13)</f>
        <v>2925324</v>
      </c>
      <c r="M24" s="30">
        <f>SUM('pow rez'!U3:U13)</f>
        <v>0</v>
      </c>
      <c r="N24" s="30">
        <f>SUM('pow rez'!V3:V13)</f>
        <v>0</v>
      </c>
      <c r="O24" s="30">
        <f>SUM('pow rez'!W3:W13)</f>
        <v>0</v>
      </c>
      <c r="P24" s="31" t="b">
        <f t="shared" si="0"/>
        <v>1</v>
      </c>
      <c r="Q24" s="32" t="b">
        <f t="shared" si="1"/>
        <v>1</v>
      </c>
      <c r="R24" s="33"/>
      <c r="S24" s="33"/>
      <c r="T24" s="34"/>
      <c r="U24" s="34"/>
      <c r="V24" s="34"/>
      <c r="W24" s="34"/>
      <c r="X24" s="34"/>
    </row>
    <row r="25" spans="1:24" ht="39.950000000000003" customHeight="1" x14ac:dyDescent="0.25">
      <c r="A25" s="41" t="s">
        <v>34</v>
      </c>
      <c r="B25" s="42">
        <f>COUNTIF('pow rez'!C3:C13,"N")</f>
        <v>8</v>
      </c>
      <c r="C25" s="43">
        <f>SUMIF('pow rez'!C3:C13,"N",'pow rez'!J3:J13)</f>
        <v>25426100.359999999</v>
      </c>
      <c r="D25" s="44">
        <f>SUMIF('pow rez'!C3:C13,"N",'pow rez'!L3:L13)</f>
        <v>12285050.18</v>
      </c>
      <c r="E25" s="45">
        <f>SUMIF('pow rez'!C3:C13,"N",'pow rez'!K3:K13)</f>
        <v>13141050.18</v>
      </c>
      <c r="F25" s="46">
        <f>SUMIF('pow rez'!C3:C13,"N",'pow rez'!N3:N13)</f>
        <v>0</v>
      </c>
      <c r="G25" s="46">
        <f>SUMIF('pow rez'!C3:C13,"N",'pow rez'!O3:O13)</f>
        <v>0</v>
      </c>
      <c r="H25" s="46">
        <f>SUMIF('pow rez'!C3:C13,"N",'pow rez'!P3:P13)</f>
        <v>0</v>
      </c>
      <c r="I25" s="46">
        <f>SUMIF('pow rez'!C3:C13,"N",'pow rez'!Q3:Q13)</f>
        <v>0</v>
      </c>
      <c r="J25" s="46">
        <f>SUMIF('pow rez'!C3:C13,"N",'pow rez'!R3:R13)</f>
        <v>13141050.18</v>
      </c>
      <c r="K25" s="46">
        <f>SUMIF('pow rez'!C3:C13,"N",'pow rez'!S3:S13)</f>
        <v>0</v>
      </c>
      <c r="L25" s="46">
        <f>SUMIF('pow rez'!C3:C13,"N",'pow rez'!T3:T13)</f>
        <v>0</v>
      </c>
      <c r="M25" s="46">
        <f>SUMIF('pow rez'!C3:C13,"N",'pow rez'!U3:U13)</f>
        <v>0</v>
      </c>
      <c r="N25" s="46">
        <f>SUMIF('pow rez'!C3:C13,"N",'pow rez'!V3:V13)</f>
        <v>0</v>
      </c>
      <c r="O25" s="46">
        <f>SUMIF('pow rez'!C3:C13,"N",'pow rez'!W3:W13)</f>
        <v>0</v>
      </c>
      <c r="P25" s="31" t="b">
        <f t="shared" si="0"/>
        <v>1</v>
      </c>
      <c r="Q25" s="32" t="b">
        <f t="shared" si="1"/>
        <v>1</v>
      </c>
      <c r="R25" s="33"/>
      <c r="S25" s="33"/>
      <c r="T25" s="34"/>
      <c r="U25" s="34"/>
      <c r="V25" s="34"/>
      <c r="W25" s="34"/>
      <c r="X25" s="34"/>
    </row>
    <row r="26" spans="1:24" ht="39.950000000000003" customHeight="1" thickBot="1" x14ac:dyDescent="0.3">
      <c r="A26" s="47" t="s">
        <v>35</v>
      </c>
      <c r="B26" s="48">
        <f>COUNTIF('pow rez'!C3:C36,"W")</f>
        <v>3</v>
      </c>
      <c r="C26" s="49">
        <f>SUMIF('pow rez'!C3:C13,"W",'pow rez'!J3:J13)</f>
        <v>29227693</v>
      </c>
      <c r="D26" s="50">
        <f>SUMIF('pow rez'!C3:C13,"W",'pow rez'!L3:L13)</f>
        <v>14613846.5</v>
      </c>
      <c r="E26" s="51">
        <f ca="1">SUMIF('pow rez'!C3:C17,"W",'pow rez'!K3:K13)</f>
        <v>14613846.5</v>
      </c>
      <c r="F26" s="52">
        <f>SUMIF('pow rez'!C3:C13,"W",'pow rez'!N3:N13)</f>
        <v>0</v>
      </c>
      <c r="G26" s="52">
        <f>SUMIF('pow rez'!C3:C13,"W",'pow rez'!O3:O13)</f>
        <v>0</v>
      </c>
      <c r="H26" s="52">
        <f>SUMIF('pow rez'!C3:C13,"W",'pow rez'!P3:P13)</f>
        <v>0</v>
      </c>
      <c r="I26" s="52">
        <f>SUMIF('pow rez'!C3:C13,"W",'pow rez'!Q3:Q13)</f>
        <v>0</v>
      </c>
      <c r="J26" s="52">
        <f>SUMIF('pow rez'!C3:C13,"W",'pow rez'!R3:R13)</f>
        <v>5390024.5</v>
      </c>
      <c r="K26" s="52">
        <f>SUMIF('pow rez'!C3:C13,"W",'pow rez'!S3:S13)</f>
        <v>6298498</v>
      </c>
      <c r="L26" s="52">
        <f>SUMIF('pow rez'!C3:C13,"W",'pow rez'!T3:T13)</f>
        <v>2925324</v>
      </c>
      <c r="M26" s="52">
        <f>SUMIF('pow rez'!C3:C13,"W",'pow rez'!U3:U13)</f>
        <v>0</v>
      </c>
      <c r="N26" s="52">
        <f>SUMIF('pow rez'!C3:C13,"W",'pow rez'!V3:V13)</f>
        <v>0</v>
      </c>
      <c r="O26" s="52">
        <f>SUMIF('pow rez'!C3:C13,"W",'pow rez'!W3:W13)</f>
        <v>0</v>
      </c>
      <c r="P26" s="31" t="b">
        <f t="shared" ca="1" si="0"/>
        <v>1</v>
      </c>
      <c r="Q26" s="32" t="b">
        <f t="shared" ca="1" si="1"/>
        <v>1</v>
      </c>
      <c r="R26" s="33"/>
      <c r="S26" s="33"/>
      <c r="T26" s="34"/>
      <c r="U26" s="34"/>
      <c r="V26" s="34"/>
      <c r="W26" s="34"/>
      <c r="X26" s="34"/>
    </row>
    <row r="27" spans="1:24" ht="39.950000000000003" customHeight="1" thickTop="1" x14ac:dyDescent="0.25">
      <c r="A27" s="26" t="s">
        <v>88</v>
      </c>
      <c r="B27" s="231">
        <f>COUNTIF('gm rez'!L3:L43,"&gt;0")</f>
        <v>41</v>
      </c>
      <c r="C27" s="27">
        <f>SUM('gm rez'!K3:K43)</f>
        <v>128008550.84999999</v>
      </c>
      <c r="D27" s="28">
        <f>SUM('gm rez'!M3:M43)</f>
        <v>50437382.024999991</v>
      </c>
      <c r="E27" s="29">
        <f>SUM('gm rez'!L3:L43)</f>
        <v>77571168.825000003</v>
      </c>
      <c r="F27" s="30">
        <f>SUM('gm rez'!O3:O43)</f>
        <v>0</v>
      </c>
      <c r="G27" s="30">
        <f>SUM('gm rez'!P3:P43)</f>
        <v>0</v>
      </c>
      <c r="H27" s="30">
        <f>SUM('gm rez'!Q3:Q43)</f>
        <v>0</v>
      </c>
      <c r="I27" s="30">
        <f>SUM('gm rez'!R3:R43)</f>
        <v>0</v>
      </c>
      <c r="J27" s="30">
        <f>SUM('gm rez'!S3:S43)</f>
        <v>53634732.925000004</v>
      </c>
      <c r="K27" s="30">
        <f>SUM('gm rez'!T3:T43)</f>
        <v>18127407.399999999</v>
      </c>
      <c r="L27" s="30">
        <f>SUM('gm rez'!U3:U43)</f>
        <v>5809028.5</v>
      </c>
      <c r="M27" s="30">
        <f>SUM('gm rez'!V3:V43)</f>
        <v>0</v>
      </c>
      <c r="N27" s="30">
        <f>SUM('gm rez'!W3:W43)</f>
        <v>0</v>
      </c>
      <c r="O27" s="30">
        <f>SUM('gm rez'!X3:X43)</f>
        <v>0</v>
      </c>
      <c r="P27" s="31" t="b">
        <f t="shared" si="0"/>
        <v>1</v>
      </c>
      <c r="Q27" s="32" t="b">
        <f t="shared" si="1"/>
        <v>1</v>
      </c>
      <c r="R27" s="82"/>
      <c r="S27" s="82"/>
      <c r="T27" s="83"/>
      <c r="U27" s="83"/>
      <c r="V27" s="35"/>
      <c r="W27" s="19"/>
      <c r="X27" s="19"/>
    </row>
    <row r="28" spans="1:24" ht="39.950000000000003" customHeight="1" x14ac:dyDescent="0.25">
      <c r="A28" s="41" t="s">
        <v>34</v>
      </c>
      <c r="B28" s="42">
        <f>COUNTIF('gm rez'!C3:C43,"N")</f>
        <v>32</v>
      </c>
      <c r="C28" s="43">
        <f>SUMIF('gm rez'!C3:C43,"N",'gm rez'!K3:K43)</f>
        <v>80967289.849999994</v>
      </c>
      <c r="D28" s="44">
        <f>SUMIF('gm rez'!C3:C43,"N",'gm rez'!M3:M43)</f>
        <v>33954004.424999997</v>
      </c>
      <c r="E28" s="45">
        <f>SUMIF('gm rez'!C3:C43,"N",'gm rez'!L3:L43)</f>
        <v>47013285.425000012</v>
      </c>
      <c r="F28" s="46">
        <f>SUMIF('gm rez'!C3:C43,"N",'gm rez'!O3:O43)</f>
        <v>0</v>
      </c>
      <c r="G28" s="46">
        <f>SUMIF('gm rez'!C3:C43,"N",'gm rez'!P3:P43)</f>
        <v>0</v>
      </c>
      <c r="H28" s="46">
        <f>SUMIF('gm rez'!C3:C43,"N",'gm rez'!Q3:Q43)</f>
        <v>0</v>
      </c>
      <c r="I28" s="46">
        <f>SUMIF('gm rez'!C3:C43,"N",'gm rez'!R3:R43)</f>
        <v>0</v>
      </c>
      <c r="J28" s="46">
        <f>SUMIF('gm rez'!C3:C43,"N",'gm rez'!S3:S43)</f>
        <v>47013285.425000012</v>
      </c>
      <c r="K28" s="46">
        <f>SUMIF('gm rez'!C3:C43,"N",'gm rez'!T3:T43)</f>
        <v>0</v>
      </c>
      <c r="L28" s="46">
        <f>SUMIF('gm rez'!C3:C43,"N",'gm rez'!U3:U43)</f>
        <v>0</v>
      </c>
      <c r="M28" s="46">
        <f>SUMIF('gm rez'!C3:C43,"N",'gm rez'!V3:V43)</f>
        <v>0</v>
      </c>
      <c r="N28" s="46">
        <f>SUMIF('gm rez'!C3:C43,"N",'gm rez'!W3:W43)</f>
        <v>0</v>
      </c>
      <c r="O28" s="46">
        <f>SUMIF('gm rez'!C3:C43,"N",'gm rez'!X3:X43)</f>
        <v>0</v>
      </c>
      <c r="P28" s="31" t="b">
        <f t="shared" si="0"/>
        <v>1</v>
      </c>
      <c r="Q28" s="32" t="b">
        <f t="shared" si="1"/>
        <v>1</v>
      </c>
      <c r="R28" s="82"/>
      <c r="S28" s="82"/>
      <c r="T28" s="83"/>
      <c r="U28" s="83"/>
      <c r="V28" s="35"/>
      <c r="W28" s="19"/>
      <c r="X28" s="19"/>
    </row>
    <row r="29" spans="1:24" ht="39.950000000000003" customHeight="1" thickBot="1" x14ac:dyDescent="0.3">
      <c r="A29" s="47" t="s">
        <v>35</v>
      </c>
      <c r="B29" s="48">
        <f>COUNTIF('gm rez'!C3:C43,"W")</f>
        <v>9</v>
      </c>
      <c r="C29" s="49">
        <f>SUMIF('gm rez'!C3:C43,"W",'gm rez'!K3:K43)</f>
        <v>47041261</v>
      </c>
      <c r="D29" s="50">
        <f>SUMIF('gm rez'!C3:C43,"W",'gm rez'!M3:M43)</f>
        <v>16483377.6</v>
      </c>
      <c r="E29" s="51">
        <f>SUMIF('gm rez'!C3:C43,"W",'gm rez'!L3:L43)</f>
        <v>30557883.400000002</v>
      </c>
      <c r="F29" s="52">
        <f>SUMIF('gm rez'!C3:C43,"W",'gm rez'!O3:O43)</f>
        <v>0</v>
      </c>
      <c r="G29" s="52">
        <f>SUMIF('gm rez'!C3:C43,"W",'gm rez'!P3:P43)</f>
        <v>0</v>
      </c>
      <c r="H29" s="52">
        <f>SUMIF('gm rez'!C3:C43,"W",'gm rez'!Q3:Q43)</f>
        <v>0</v>
      </c>
      <c r="I29" s="52">
        <f>SUMIF('gm rez'!C3:C43,"W",'gm rez'!R3:R43)</f>
        <v>0</v>
      </c>
      <c r="J29" s="52">
        <f>SUMIF('gm rez'!C3:C43,"W",'gm rez'!S3:S43)</f>
        <v>6621447.5</v>
      </c>
      <c r="K29" s="52">
        <f>SUMIF('gm rez'!C3:C43,"W",'gm rez'!T3:T43)</f>
        <v>18127407.399999999</v>
      </c>
      <c r="L29" s="52">
        <f>SUMIF('gm rez'!C3:C43,"W",'gm rez'!U3:U43)</f>
        <v>5809028.5</v>
      </c>
      <c r="M29" s="52">
        <f>SUMIF('gm rez'!C3:C43,"W",'gm rez'!V3:V43)</f>
        <v>0</v>
      </c>
      <c r="N29" s="52">
        <f>SUMIF('gm rez'!C3:C43,"W",'gm rez'!W3:W43)</f>
        <v>0</v>
      </c>
      <c r="O29" s="52">
        <f>SUMIF('gm rez'!C3:C43,"W",'gm rez'!X3:X43)</f>
        <v>0</v>
      </c>
      <c r="P29" s="31" t="b">
        <f t="shared" si="0"/>
        <v>1</v>
      </c>
      <c r="Q29" s="32" t="b">
        <f t="shared" si="1"/>
        <v>1</v>
      </c>
      <c r="R29" s="82"/>
      <c r="S29" s="82"/>
      <c r="T29" s="83"/>
      <c r="U29" s="83"/>
      <c r="V29" s="35"/>
      <c r="W29" s="19"/>
      <c r="X29" s="19"/>
    </row>
    <row r="30" spans="1:24" ht="39.950000000000003" customHeight="1" thickTop="1" x14ac:dyDescent="0.25">
      <c r="A30" s="84" t="s">
        <v>89</v>
      </c>
      <c r="B30" s="85">
        <f>B24+B27</f>
        <v>52</v>
      </c>
      <c r="C30" s="86">
        <f t="shared" ref="C30:O30" si="3">C24+C27</f>
        <v>182662344.20999998</v>
      </c>
      <c r="D30" s="87">
        <f t="shared" si="3"/>
        <v>77336278.704999983</v>
      </c>
      <c r="E30" s="88">
        <f t="shared" si="3"/>
        <v>105326065.505</v>
      </c>
      <c r="F30" s="89">
        <f t="shared" si="3"/>
        <v>0</v>
      </c>
      <c r="G30" s="86">
        <f t="shared" si="3"/>
        <v>0</v>
      </c>
      <c r="H30" s="86">
        <f t="shared" si="3"/>
        <v>0</v>
      </c>
      <c r="I30" s="86">
        <f t="shared" si="3"/>
        <v>0</v>
      </c>
      <c r="J30" s="86">
        <f t="shared" si="3"/>
        <v>72165807.605000004</v>
      </c>
      <c r="K30" s="86">
        <f t="shared" si="3"/>
        <v>24425905.399999999</v>
      </c>
      <c r="L30" s="86">
        <f t="shared" si="3"/>
        <v>8734352.5</v>
      </c>
      <c r="M30" s="86">
        <f t="shared" si="3"/>
        <v>0</v>
      </c>
      <c r="N30" s="86">
        <f t="shared" si="3"/>
        <v>0</v>
      </c>
      <c r="O30" s="90">
        <f t="shared" si="3"/>
        <v>0</v>
      </c>
      <c r="P30" s="31" t="b">
        <f t="shared" si="0"/>
        <v>1</v>
      </c>
      <c r="Q30" s="32" t="b">
        <f t="shared" si="1"/>
        <v>1</v>
      </c>
      <c r="R30" s="91"/>
      <c r="S30" s="91"/>
      <c r="T30" s="17"/>
      <c r="U30" s="17"/>
    </row>
    <row r="31" spans="1:24" ht="39.950000000000003" customHeight="1" x14ac:dyDescent="0.25">
      <c r="A31" s="92" t="s">
        <v>34</v>
      </c>
      <c r="B31" s="93">
        <f>B25+B28</f>
        <v>40</v>
      </c>
      <c r="C31" s="94">
        <f t="shared" ref="C31:O32" si="4">C25+C28</f>
        <v>106393390.20999999</v>
      </c>
      <c r="D31" s="95">
        <f t="shared" si="4"/>
        <v>46239054.604999997</v>
      </c>
      <c r="E31" s="45">
        <f t="shared" si="4"/>
        <v>60154335.605000012</v>
      </c>
      <c r="F31" s="96">
        <f t="shared" si="4"/>
        <v>0</v>
      </c>
      <c r="G31" s="94">
        <f t="shared" si="4"/>
        <v>0</v>
      </c>
      <c r="H31" s="94">
        <f t="shared" si="4"/>
        <v>0</v>
      </c>
      <c r="I31" s="94">
        <f t="shared" si="4"/>
        <v>0</v>
      </c>
      <c r="J31" s="94">
        <f t="shared" si="4"/>
        <v>60154335.605000012</v>
      </c>
      <c r="K31" s="94">
        <f t="shared" si="4"/>
        <v>0</v>
      </c>
      <c r="L31" s="94">
        <f t="shared" si="4"/>
        <v>0</v>
      </c>
      <c r="M31" s="94">
        <f t="shared" si="4"/>
        <v>0</v>
      </c>
      <c r="N31" s="94">
        <f t="shared" si="4"/>
        <v>0</v>
      </c>
      <c r="O31" s="97">
        <f t="shared" si="4"/>
        <v>0</v>
      </c>
      <c r="P31" s="31" t="b">
        <f t="shared" si="0"/>
        <v>1</v>
      </c>
      <c r="Q31" s="32" t="b">
        <f t="shared" si="1"/>
        <v>1</v>
      </c>
      <c r="R31" s="91"/>
      <c r="S31" s="91"/>
      <c r="T31" s="17"/>
      <c r="U31" s="17"/>
    </row>
    <row r="32" spans="1:24" ht="39.950000000000003" customHeight="1" thickBot="1" x14ac:dyDescent="0.3">
      <c r="A32" s="98" t="s">
        <v>35</v>
      </c>
      <c r="B32" s="99">
        <f>B26+B29</f>
        <v>12</v>
      </c>
      <c r="C32" s="100">
        <f t="shared" si="4"/>
        <v>76268954</v>
      </c>
      <c r="D32" s="101">
        <f t="shared" si="4"/>
        <v>31097224.100000001</v>
      </c>
      <c r="E32" s="102">
        <f t="shared" ca="1" si="4"/>
        <v>45171729.900000006</v>
      </c>
      <c r="F32" s="103">
        <f t="shared" si="4"/>
        <v>0</v>
      </c>
      <c r="G32" s="100">
        <f t="shared" si="4"/>
        <v>0</v>
      </c>
      <c r="H32" s="100">
        <f t="shared" si="4"/>
        <v>0</v>
      </c>
      <c r="I32" s="100">
        <f t="shared" si="4"/>
        <v>0</v>
      </c>
      <c r="J32" s="100">
        <f t="shared" si="4"/>
        <v>12011472</v>
      </c>
      <c r="K32" s="100">
        <f t="shared" si="4"/>
        <v>24425905.399999999</v>
      </c>
      <c r="L32" s="100">
        <f t="shared" si="4"/>
        <v>8734352.5</v>
      </c>
      <c r="M32" s="100">
        <f t="shared" si="4"/>
        <v>0</v>
      </c>
      <c r="N32" s="100">
        <f t="shared" si="4"/>
        <v>0</v>
      </c>
      <c r="O32" s="104">
        <f t="shared" si="4"/>
        <v>0</v>
      </c>
      <c r="P32" s="31" t="b">
        <f t="shared" ca="1" si="0"/>
        <v>1</v>
      </c>
      <c r="Q32" s="32" t="b">
        <f t="shared" ca="1" si="1"/>
        <v>1</v>
      </c>
      <c r="R32" s="91"/>
      <c r="S32" s="91"/>
      <c r="T32" s="17"/>
      <c r="U32" s="17"/>
    </row>
    <row r="33" spans="1:21" ht="39.950000000000003" customHeight="1" thickTop="1" x14ac:dyDescent="0.25">
      <c r="A33" s="105" t="s">
        <v>90</v>
      </c>
      <c r="B33" s="106">
        <f>B20+B30</f>
        <v>166</v>
      </c>
      <c r="C33" s="107">
        <f t="shared" ref="C33:O33" si="5">C20+C30</f>
        <v>562388273.44999981</v>
      </c>
      <c r="D33" s="108">
        <f t="shared" si="5"/>
        <v>245674284.164</v>
      </c>
      <c r="E33" s="109">
        <f t="shared" si="5"/>
        <v>316713989.28600001</v>
      </c>
      <c r="F33" s="110">
        <f t="shared" si="5"/>
        <v>0</v>
      </c>
      <c r="G33" s="107">
        <f t="shared" si="5"/>
        <v>0</v>
      </c>
      <c r="H33" s="107">
        <f t="shared" si="5"/>
        <v>241496.05</v>
      </c>
      <c r="I33" s="107">
        <f t="shared" si="5"/>
        <v>27241582.460000001</v>
      </c>
      <c r="J33" s="107">
        <f t="shared" si="5"/>
        <v>216026647.43599999</v>
      </c>
      <c r="K33" s="107">
        <f t="shared" si="5"/>
        <v>60912313.339999996</v>
      </c>
      <c r="L33" s="107">
        <f t="shared" si="5"/>
        <v>12291950</v>
      </c>
      <c r="M33" s="107">
        <f t="shared" si="5"/>
        <v>0</v>
      </c>
      <c r="N33" s="107">
        <f t="shared" si="5"/>
        <v>0</v>
      </c>
      <c r="O33" s="111">
        <f t="shared" si="5"/>
        <v>0</v>
      </c>
      <c r="P33" s="31" t="b">
        <f t="shared" si="0"/>
        <v>1</v>
      </c>
      <c r="Q33" s="32" t="b">
        <f t="shared" si="1"/>
        <v>1</v>
      </c>
      <c r="R33" s="91"/>
      <c r="S33" s="91"/>
      <c r="T33" s="17"/>
      <c r="U33" s="17"/>
    </row>
    <row r="34" spans="1:21" ht="39.950000000000003" customHeight="1" x14ac:dyDescent="0.25">
      <c r="A34" s="112" t="s">
        <v>33</v>
      </c>
      <c r="B34" s="113">
        <f>B21</f>
        <v>27</v>
      </c>
      <c r="C34" s="114">
        <f t="shared" ref="C34:O34" si="6">C21</f>
        <v>139397194.74000001</v>
      </c>
      <c r="D34" s="115">
        <f t="shared" si="6"/>
        <v>69180188.420000002</v>
      </c>
      <c r="E34" s="116">
        <f t="shared" si="6"/>
        <v>70217006.319999993</v>
      </c>
      <c r="F34" s="117">
        <f t="shared" si="6"/>
        <v>0</v>
      </c>
      <c r="G34" s="114">
        <f t="shared" si="6"/>
        <v>0</v>
      </c>
      <c r="H34" s="114">
        <f t="shared" si="6"/>
        <v>241496.05</v>
      </c>
      <c r="I34" s="114">
        <f t="shared" si="6"/>
        <v>27241582.460000001</v>
      </c>
      <c r="J34" s="114">
        <f t="shared" si="6"/>
        <v>41233927.810000002</v>
      </c>
      <c r="K34" s="114">
        <f t="shared" si="6"/>
        <v>1500000</v>
      </c>
      <c r="L34" s="114">
        <f t="shared" si="6"/>
        <v>0</v>
      </c>
      <c r="M34" s="114">
        <f t="shared" si="6"/>
        <v>0</v>
      </c>
      <c r="N34" s="114">
        <f t="shared" si="6"/>
        <v>0</v>
      </c>
      <c r="O34" s="118">
        <f t="shared" si="6"/>
        <v>0</v>
      </c>
      <c r="P34" s="31" t="b">
        <f t="shared" si="0"/>
        <v>1</v>
      </c>
      <c r="Q34" s="32" t="b">
        <f t="shared" si="1"/>
        <v>1</v>
      </c>
      <c r="R34" s="91"/>
      <c r="S34" s="91"/>
      <c r="T34" s="17"/>
      <c r="U34" s="17"/>
    </row>
    <row r="35" spans="1:21" ht="39.950000000000003" customHeight="1" x14ac:dyDescent="0.25">
      <c r="A35" s="119" t="s">
        <v>34</v>
      </c>
      <c r="B35" s="120">
        <f>B22+B31</f>
        <v>105</v>
      </c>
      <c r="C35" s="121">
        <f t="shared" ref="C35:O36" si="7">C22+C31</f>
        <v>232474888.39999998</v>
      </c>
      <c r="D35" s="122">
        <f t="shared" si="7"/>
        <v>96703293.033999979</v>
      </c>
      <c r="E35" s="123">
        <f t="shared" si="7"/>
        <v>135771595.366</v>
      </c>
      <c r="F35" s="124">
        <f t="shared" si="7"/>
        <v>0</v>
      </c>
      <c r="G35" s="121">
        <f t="shared" si="7"/>
        <v>0</v>
      </c>
      <c r="H35" s="121">
        <f t="shared" si="7"/>
        <v>0</v>
      </c>
      <c r="I35" s="121">
        <f t="shared" si="7"/>
        <v>0</v>
      </c>
      <c r="J35" s="121">
        <f t="shared" si="7"/>
        <v>135771595.366</v>
      </c>
      <c r="K35" s="121">
        <f t="shared" si="7"/>
        <v>0</v>
      </c>
      <c r="L35" s="121">
        <f t="shared" si="7"/>
        <v>0</v>
      </c>
      <c r="M35" s="121">
        <f t="shared" si="7"/>
        <v>0</v>
      </c>
      <c r="N35" s="121">
        <f t="shared" si="7"/>
        <v>0</v>
      </c>
      <c r="O35" s="125">
        <f t="shared" si="7"/>
        <v>0</v>
      </c>
      <c r="P35" s="31" t="b">
        <f t="shared" si="0"/>
        <v>1</v>
      </c>
      <c r="Q35" s="32" t="b">
        <f t="shared" si="1"/>
        <v>1</v>
      </c>
      <c r="R35" s="91"/>
      <c r="S35" s="91"/>
      <c r="T35" s="17"/>
      <c r="U35" s="17"/>
    </row>
    <row r="36" spans="1:21" ht="39.950000000000003" customHeight="1" thickBot="1" x14ac:dyDescent="0.3">
      <c r="A36" s="126" t="s">
        <v>35</v>
      </c>
      <c r="B36" s="127">
        <f>B23+B32</f>
        <v>34</v>
      </c>
      <c r="C36" s="128">
        <f t="shared" si="7"/>
        <v>190516190.31</v>
      </c>
      <c r="D36" s="129">
        <f t="shared" si="7"/>
        <v>79790802.710000008</v>
      </c>
      <c r="E36" s="130">
        <f t="shared" ca="1" si="7"/>
        <v>110725387.59999999</v>
      </c>
      <c r="F36" s="131">
        <f t="shared" si="7"/>
        <v>0</v>
      </c>
      <c r="G36" s="128">
        <f t="shared" si="7"/>
        <v>0</v>
      </c>
      <c r="H36" s="128">
        <f t="shared" si="7"/>
        <v>0</v>
      </c>
      <c r="I36" s="128">
        <f t="shared" si="7"/>
        <v>0</v>
      </c>
      <c r="J36" s="128">
        <f t="shared" si="7"/>
        <v>39021124.260000005</v>
      </c>
      <c r="K36" s="128">
        <f t="shared" si="7"/>
        <v>59412313.339999996</v>
      </c>
      <c r="L36" s="128">
        <f t="shared" si="7"/>
        <v>12291950</v>
      </c>
      <c r="M36" s="128">
        <f t="shared" si="7"/>
        <v>0</v>
      </c>
      <c r="N36" s="128">
        <f t="shared" si="7"/>
        <v>0</v>
      </c>
      <c r="O36" s="132">
        <f t="shared" si="7"/>
        <v>0</v>
      </c>
      <c r="P36" s="31" t="b">
        <f t="shared" ca="1" si="0"/>
        <v>1</v>
      </c>
      <c r="Q36" s="32" t="b">
        <f t="shared" ca="1" si="1"/>
        <v>1</v>
      </c>
      <c r="R36" s="91"/>
      <c r="S36" s="91"/>
      <c r="T36" s="17"/>
      <c r="U36" s="17"/>
    </row>
    <row r="37" spans="1:21" x14ac:dyDescent="0.25">
      <c r="A37" s="133"/>
      <c r="B37" s="134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91"/>
      <c r="S37" s="91"/>
      <c r="T37" s="17"/>
      <c r="U37" s="17"/>
    </row>
    <row r="38" spans="1:21" x14ac:dyDescent="0.25">
      <c r="A38" s="133"/>
      <c r="B38" s="13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91"/>
      <c r="S38" s="91"/>
      <c r="T38" s="17"/>
      <c r="U38" s="17"/>
    </row>
    <row r="39" spans="1:21" x14ac:dyDescent="0.25">
      <c r="A39" s="133"/>
      <c r="B39" s="134"/>
      <c r="C39" s="133"/>
      <c r="D39" s="133"/>
      <c r="E39" s="133"/>
      <c r="F39" s="133"/>
      <c r="G39" s="133"/>
      <c r="H39" s="133"/>
      <c r="I39" s="133"/>
      <c r="J39" s="186"/>
      <c r="K39" s="133"/>
      <c r="L39" s="133"/>
      <c r="M39" s="133"/>
      <c r="N39" s="133"/>
      <c r="O39" s="133"/>
      <c r="P39" s="133"/>
      <c r="Q39" s="133"/>
      <c r="R39" s="91"/>
      <c r="S39" s="91"/>
      <c r="T39" s="17"/>
      <c r="U39" s="17"/>
    </row>
    <row r="40" spans="1:21" x14ac:dyDescent="0.25">
      <c r="A40" s="133"/>
      <c r="B40" s="134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91"/>
      <c r="S40" s="91"/>
      <c r="T40" s="17"/>
      <c r="U40" s="17"/>
    </row>
    <row r="41" spans="1:21" x14ac:dyDescent="0.25">
      <c r="A41" s="16"/>
      <c r="B41" s="13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7"/>
      <c r="S41" s="17"/>
      <c r="T41" s="17"/>
      <c r="U41" s="17"/>
    </row>
    <row r="42" spans="1:21" x14ac:dyDescent="0.25">
      <c r="A42" s="16"/>
      <c r="B42" s="13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7"/>
      <c r="S42" s="17"/>
      <c r="T42" s="17"/>
      <c r="U42" s="17"/>
    </row>
    <row r="43" spans="1:21" x14ac:dyDescent="0.25">
      <c r="A43" s="16"/>
      <c r="B43" s="13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7"/>
      <c r="S43" s="17"/>
      <c r="T43" s="17"/>
      <c r="U43" s="17"/>
    </row>
    <row r="49" spans="6:10" x14ac:dyDescent="0.25">
      <c r="F49" s="136"/>
      <c r="G49" s="136"/>
      <c r="H49" s="136"/>
      <c r="I49" s="136"/>
      <c r="J49" s="136"/>
    </row>
    <row r="51" spans="6:10" x14ac:dyDescent="0.25">
      <c r="F51" s="136"/>
      <c r="G51" s="136"/>
      <c r="H51" s="136"/>
      <c r="I51" s="136"/>
      <c r="J51" s="136"/>
    </row>
  </sheetData>
  <mergeCells count="8">
    <mergeCell ref="F2:N6"/>
    <mergeCell ref="F7:N7"/>
    <mergeCell ref="A10:A11"/>
    <mergeCell ref="C10:C11"/>
    <mergeCell ref="D10:D11"/>
    <mergeCell ref="E10:E11"/>
    <mergeCell ref="F10:O10"/>
    <mergeCell ref="B10:B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&amp;K000000Dolnośląskie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4"/>
  <sheetViews>
    <sheetView view="pageBreakPreview" topLeftCell="F1" zoomScale="80" zoomScaleNormal="100" zoomScaleSheetLayoutView="80" workbookViewId="0">
      <selection activeCell="R41" sqref="R41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5.85546875" style="150" customWidth="1"/>
    <col min="4" max="4" width="15.140625" style="150" customWidth="1"/>
    <col min="5" max="5" width="8.7109375" style="150" customWidth="1"/>
    <col min="6" max="6" width="35.7109375" style="150" customWidth="1"/>
    <col min="7" max="9" width="8.7109375" style="150" customWidth="1"/>
    <col min="10" max="10" width="16" style="150" customWidth="1"/>
    <col min="11" max="11" width="14.28515625" style="150" customWidth="1"/>
    <col min="12" max="12" width="14.7109375" style="150" customWidth="1"/>
    <col min="13" max="13" width="13.7109375" style="150" customWidth="1"/>
    <col min="14" max="14" width="16" style="150" customWidth="1"/>
    <col min="15" max="15" width="11.7109375" style="150" customWidth="1"/>
    <col min="16" max="16" width="15.140625" style="150" customWidth="1"/>
    <col min="17" max="17" width="14.85546875" style="150" customWidth="1"/>
    <col min="18" max="18" width="13.28515625" style="150" customWidth="1"/>
    <col min="19" max="19" width="14.28515625" style="150" customWidth="1"/>
    <col min="20" max="20" width="12.42578125" style="150" customWidth="1"/>
    <col min="21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14" t="s">
        <v>0</v>
      </c>
      <c r="B1" s="314" t="s">
        <v>1</v>
      </c>
      <c r="C1" s="316" t="s">
        <v>2</v>
      </c>
      <c r="D1" s="314" t="s">
        <v>3</v>
      </c>
      <c r="E1" s="314" t="s">
        <v>4</v>
      </c>
      <c r="F1" s="314" t="s">
        <v>5</v>
      </c>
      <c r="G1" s="314" t="s">
        <v>6</v>
      </c>
      <c r="H1" s="314" t="s">
        <v>93</v>
      </c>
      <c r="I1" s="314" t="s">
        <v>7</v>
      </c>
      <c r="J1" s="314" t="s">
        <v>92</v>
      </c>
      <c r="K1" s="314" t="s">
        <v>91</v>
      </c>
      <c r="L1" s="314" t="s">
        <v>8</v>
      </c>
      <c r="M1" s="314" t="s">
        <v>9</v>
      </c>
      <c r="N1" s="314" t="s">
        <v>10</v>
      </c>
      <c r="O1" s="314"/>
      <c r="P1" s="314"/>
      <c r="Q1" s="314"/>
      <c r="R1" s="314"/>
      <c r="S1" s="314"/>
      <c r="T1" s="314"/>
      <c r="U1" s="314"/>
      <c r="V1" s="314"/>
      <c r="W1" s="314"/>
      <c r="X1" s="148"/>
      <c r="Y1" s="148"/>
      <c r="Z1" s="148"/>
      <c r="AA1" s="149"/>
    </row>
    <row r="2" spans="1:27" ht="22.15" customHeight="1" x14ac:dyDescent="0.2">
      <c r="A2" s="314"/>
      <c r="B2" s="314"/>
      <c r="C2" s="316"/>
      <c r="D2" s="314"/>
      <c r="E2" s="314"/>
      <c r="F2" s="314"/>
      <c r="G2" s="314"/>
      <c r="H2" s="314"/>
      <c r="I2" s="314"/>
      <c r="J2" s="314"/>
      <c r="K2" s="314"/>
      <c r="L2" s="314"/>
      <c r="M2" s="314"/>
      <c r="N2" s="192">
        <v>2019</v>
      </c>
      <c r="O2" s="192">
        <v>2020</v>
      </c>
      <c r="P2" s="192">
        <v>2021</v>
      </c>
      <c r="Q2" s="192">
        <v>2022</v>
      </c>
      <c r="R2" s="192">
        <v>2023</v>
      </c>
      <c r="S2" s="192">
        <v>2024</v>
      </c>
      <c r="T2" s="192">
        <v>2025</v>
      </c>
      <c r="U2" s="192">
        <v>2026</v>
      </c>
      <c r="V2" s="192">
        <v>2027</v>
      </c>
      <c r="W2" s="192">
        <v>2028</v>
      </c>
      <c r="X2" s="152" t="s">
        <v>11</v>
      </c>
      <c r="Y2" s="153" t="s">
        <v>12</v>
      </c>
      <c r="Z2" s="152" t="s">
        <v>13</v>
      </c>
      <c r="AA2" s="152" t="s">
        <v>14</v>
      </c>
    </row>
    <row r="3" spans="1:27" s="164" customFormat="1" ht="30.75" customHeight="1" x14ac:dyDescent="0.2">
      <c r="A3" s="218">
        <v>1</v>
      </c>
      <c r="B3" s="218" t="s">
        <v>94</v>
      </c>
      <c r="C3" s="218" t="s">
        <v>15</v>
      </c>
      <c r="D3" s="221" t="s">
        <v>25</v>
      </c>
      <c r="E3" s="221" t="s">
        <v>26</v>
      </c>
      <c r="F3" s="239" t="s">
        <v>101</v>
      </c>
      <c r="G3" s="240" t="s">
        <v>18</v>
      </c>
      <c r="H3" s="223">
        <v>5.3579999999999997</v>
      </c>
      <c r="I3" s="218" t="s">
        <v>102</v>
      </c>
      <c r="J3" s="224">
        <v>5796912.1799999997</v>
      </c>
      <c r="K3" s="224">
        <v>2700709</v>
      </c>
      <c r="L3" s="225">
        <f>J3-K3</f>
        <v>3096203.1799999997</v>
      </c>
      <c r="M3" s="226">
        <v>0.5</v>
      </c>
      <c r="N3" s="182"/>
      <c r="O3" s="182"/>
      <c r="P3" s="183"/>
      <c r="Q3" s="227">
        <v>596351.5</v>
      </c>
      <c r="R3" s="183">
        <v>2104357.5</v>
      </c>
      <c r="S3" s="235"/>
      <c r="T3" s="236"/>
      <c r="U3" s="236"/>
      <c r="V3" s="236"/>
      <c r="W3" s="236"/>
      <c r="X3" s="260" t="b">
        <f>K3=SUM(N3:W3)</f>
        <v>1</v>
      </c>
      <c r="Y3" s="261">
        <f>ROUND(K3/J3,4)</f>
        <v>0.46589999999999998</v>
      </c>
      <c r="Z3" s="260" t="b">
        <f>Y3=M3</f>
        <v>0</v>
      </c>
      <c r="AA3" s="260" t="b">
        <f>J3=K3+L3</f>
        <v>1</v>
      </c>
    </row>
    <row r="4" spans="1:27" s="164" customFormat="1" ht="24" x14ac:dyDescent="0.2">
      <c r="A4" s="218">
        <v>2</v>
      </c>
      <c r="B4" s="218" t="s">
        <v>95</v>
      </c>
      <c r="C4" s="219" t="s">
        <v>15</v>
      </c>
      <c r="D4" s="221" t="s">
        <v>99</v>
      </c>
      <c r="E4" s="221" t="s">
        <v>20</v>
      </c>
      <c r="F4" s="239" t="s">
        <v>103</v>
      </c>
      <c r="G4" s="240" t="s">
        <v>18</v>
      </c>
      <c r="H4" s="223">
        <v>6.8970000000000002</v>
      </c>
      <c r="I4" s="234" t="s">
        <v>104</v>
      </c>
      <c r="J4" s="224">
        <v>5999759.5800000001</v>
      </c>
      <c r="K4" s="224">
        <v>3608553</v>
      </c>
      <c r="L4" s="225">
        <f>J4-K4</f>
        <v>2391206.58</v>
      </c>
      <c r="M4" s="226">
        <v>0.6</v>
      </c>
      <c r="N4" s="182"/>
      <c r="O4" s="182"/>
      <c r="P4" s="183"/>
      <c r="Q4" s="227">
        <v>1500000</v>
      </c>
      <c r="R4" s="183">
        <v>2108553</v>
      </c>
      <c r="S4" s="235"/>
      <c r="T4" s="236"/>
      <c r="U4" s="236"/>
      <c r="V4" s="236"/>
      <c r="W4" s="236"/>
      <c r="X4" s="260" t="b">
        <f>K4=SUM(N4:W4)</f>
        <v>1</v>
      </c>
      <c r="Y4" s="261">
        <f>ROUND(K4/J4,4)</f>
        <v>0.60140000000000005</v>
      </c>
      <c r="Z4" s="260" t="b">
        <f>Y4=M4</f>
        <v>0</v>
      </c>
      <c r="AA4" s="260" t="b">
        <f>J4=K4+L4</f>
        <v>1</v>
      </c>
    </row>
    <row r="5" spans="1:27" s="164" customFormat="1" ht="24" x14ac:dyDescent="0.2">
      <c r="A5" s="218">
        <v>3</v>
      </c>
      <c r="B5" s="218" t="s">
        <v>96</v>
      </c>
      <c r="C5" s="219" t="s">
        <v>15</v>
      </c>
      <c r="D5" s="221" t="s">
        <v>99</v>
      </c>
      <c r="E5" s="221" t="s">
        <v>20</v>
      </c>
      <c r="F5" s="239" t="s">
        <v>105</v>
      </c>
      <c r="G5" s="240" t="s">
        <v>18</v>
      </c>
      <c r="H5" s="223">
        <v>3.7909999999999999</v>
      </c>
      <c r="I5" s="234" t="s">
        <v>104</v>
      </c>
      <c r="J5" s="224">
        <v>4965374.66</v>
      </c>
      <c r="K5" s="224">
        <v>2979224.8</v>
      </c>
      <c r="L5" s="225">
        <f>J5-K5</f>
        <v>1986149.8600000003</v>
      </c>
      <c r="M5" s="226">
        <v>0.6</v>
      </c>
      <c r="N5" s="182"/>
      <c r="O5" s="182"/>
      <c r="P5" s="183"/>
      <c r="Q5" s="227">
        <v>1500000</v>
      </c>
      <c r="R5" s="183">
        <v>1479224.8</v>
      </c>
      <c r="S5" s="235"/>
      <c r="T5" s="236"/>
      <c r="U5" s="236"/>
      <c r="V5" s="236"/>
      <c r="W5" s="236"/>
      <c r="X5" s="260" t="b">
        <f>K5=SUM(N5:W5)</f>
        <v>1</v>
      </c>
      <c r="Y5" s="261">
        <f>ROUND(K5/J5,4)</f>
        <v>0.6</v>
      </c>
      <c r="Z5" s="260" t="b">
        <f>Y5=M5</f>
        <v>1</v>
      </c>
      <c r="AA5" s="260" t="b">
        <f>J5=K5+L5</f>
        <v>1</v>
      </c>
    </row>
    <row r="6" spans="1:27" ht="59.25" customHeight="1" x14ac:dyDescent="0.2">
      <c r="A6" s="218">
        <v>4</v>
      </c>
      <c r="B6" s="218" t="s">
        <v>107</v>
      </c>
      <c r="C6" s="219" t="s">
        <v>15</v>
      </c>
      <c r="D6" s="221" t="s">
        <v>111</v>
      </c>
      <c r="E6" s="221" t="s">
        <v>112</v>
      </c>
      <c r="F6" s="228" t="s">
        <v>115</v>
      </c>
      <c r="G6" s="218" t="s">
        <v>16</v>
      </c>
      <c r="H6" s="223">
        <v>0.57899999999999996</v>
      </c>
      <c r="I6" s="234" t="s">
        <v>116</v>
      </c>
      <c r="J6" s="237">
        <v>14550435</v>
      </c>
      <c r="K6" s="237">
        <v>5860426.2000000002</v>
      </c>
      <c r="L6" s="235">
        <f>J6-K6</f>
        <v>8690008.8000000007</v>
      </c>
      <c r="M6" s="226">
        <v>0.6</v>
      </c>
      <c r="N6" s="230"/>
      <c r="O6" s="230"/>
      <c r="P6" s="227"/>
      <c r="Q6" s="227">
        <v>3418581.7</v>
      </c>
      <c r="R6" s="227">
        <v>2441844.5</v>
      </c>
      <c r="S6" s="227"/>
      <c r="T6" s="225"/>
      <c r="U6" s="225"/>
      <c r="V6" s="225"/>
      <c r="W6" s="225"/>
      <c r="X6" s="260" t="b">
        <f>K6=SUM(N6:W6)</f>
        <v>1</v>
      </c>
      <c r="Y6" s="261">
        <f>ROUND(K6/J6,4)</f>
        <v>0.40279999999999999</v>
      </c>
      <c r="Z6" s="260" t="b">
        <f>Y6=M6</f>
        <v>0</v>
      </c>
      <c r="AA6" s="260" t="b">
        <f>J6=K6+L6</f>
        <v>1</v>
      </c>
    </row>
    <row r="7" spans="1:27" ht="25.5" customHeight="1" x14ac:dyDescent="0.2">
      <c r="A7" s="218">
        <v>5</v>
      </c>
      <c r="B7" s="218" t="s">
        <v>106</v>
      </c>
      <c r="C7" s="219" t="s">
        <v>15</v>
      </c>
      <c r="D7" s="221" t="s">
        <v>109</v>
      </c>
      <c r="E7" s="221" t="s">
        <v>110</v>
      </c>
      <c r="F7" s="228" t="s">
        <v>113</v>
      </c>
      <c r="G7" s="218" t="s">
        <v>16</v>
      </c>
      <c r="H7" s="223">
        <v>0.56999999999999995</v>
      </c>
      <c r="I7" s="234" t="s">
        <v>114</v>
      </c>
      <c r="J7" s="237">
        <v>12219008.82</v>
      </c>
      <c r="K7" s="237">
        <v>3946955.5</v>
      </c>
      <c r="L7" s="235">
        <v>8272053.3200000003</v>
      </c>
      <c r="M7" s="226">
        <v>0.5</v>
      </c>
      <c r="N7" s="230"/>
      <c r="O7" s="230"/>
      <c r="P7" s="227"/>
      <c r="Q7" s="227">
        <v>1450000</v>
      </c>
      <c r="R7" s="227">
        <v>2496955.5</v>
      </c>
      <c r="S7" s="227"/>
      <c r="T7" s="225"/>
      <c r="U7" s="225"/>
      <c r="V7" s="225"/>
      <c r="W7" s="225"/>
      <c r="X7" s="260" t="b">
        <f t="shared" ref="X7:X27" si="0">K7=SUM(N7:W7)</f>
        <v>1</v>
      </c>
      <c r="Y7" s="261">
        <f t="shared" ref="Y7:Y27" si="1">ROUND(K7/J7,4)</f>
        <v>0.32300000000000001</v>
      </c>
      <c r="Z7" s="260" t="b">
        <f t="shared" ref="Z7:Z27" si="2">Y7=M7</f>
        <v>0</v>
      </c>
      <c r="AA7" s="260" t="b">
        <f t="shared" ref="AA7:AA27" si="3">J7=K7+L7</f>
        <v>1</v>
      </c>
    </row>
    <row r="8" spans="1:27" s="164" customFormat="1" ht="39" customHeight="1" x14ac:dyDescent="0.2">
      <c r="A8" s="218">
        <v>6</v>
      </c>
      <c r="B8" s="218" t="s">
        <v>197</v>
      </c>
      <c r="C8" s="218" t="s">
        <v>19</v>
      </c>
      <c r="D8" s="221" t="s">
        <v>97</v>
      </c>
      <c r="E8" s="221" t="s">
        <v>98</v>
      </c>
      <c r="F8" s="228" t="s">
        <v>198</v>
      </c>
      <c r="G8" s="218" t="s">
        <v>16</v>
      </c>
      <c r="H8" s="223">
        <v>1.2769999999999999</v>
      </c>
      <c r="I8" s="234" t="s">
        <v>199</v>
      </c>
      <c r="J8" s="237">
        <v>4756683.53</v>
      </c>
      <c r="K8" s="237">
        <v>3805346.82</v>
      </c>
      <c r="L8" s="235">
        <f>J8-K8</f>
        <v>951336.71000000043</v>
      </c>
      <c r="M8" s="226">
        <v>0.8</v>
      </c>
      <c r="N8" s="230"/>
      <c r="O8" s="230"/>
      <c r="P8" s="227"/>
      <c r="Q8" s="227"/>
      <c r="R8" s="227">
        <v>2397368.5</v>
      </c>
      <c r="S8" s="227">
        <v>1407978.32</v>
      </c>
      <c r="T8" s="225"/>
      <c r="U8" s="225"/>
      <c r="V8" s="225"/>
      <c r="W8" s="225"/>
      <c r="X8" s="260" t="b">
        <f t="shared" si="0"/>
        <v>1</v>
      </c>
      <c r="Y8" s="261">
        <f t="shared" si="1"/>
        <v>0.8</v>
      </c>
      <c r="Z8" s="260" t="b">
        <f t="shared" si="2"/>
        <v>1</v>
      </c>
      <c r="AA8" s="260" t="b">
        <f t="shared" si="3"/>
        <v>1</v>
      </c>
    </row>
    <row r="9" spans="1:27" ht="33" customHeight="1" x14ac:dyDescent="0.2">
      <c r="A9" s="218">
        <v>7</v>
      </c>
      <c r="B9" s="218" t="s">
        <v>200</v>
      </c>
      <c r="C9" s="218" t="s">
        <v>19</v>
      </c>
      <c r="D9" s="221" t="s">
        <v>201</v>
      </c>
      <c r="E9" s="221" t="s">
        <v>20</v>
      </c>
      <c r="F9" s="228" t="s">
        <v>202</v>
      </c>
      <c r="G9" s="218" t="s">
        <v>18</v>
      </c>
      <c r="H9" s="223">
        <v>1.65</v>
      </c>
      <c r="I9" s="234" t="s">
        <v>203</v>
      </c>
      <c r="J9" s="237">
        <v>2183519.69</v>
      </c>
      <c r="K9" s="237">
        <v>1091759.8400000001</v>
      </c>
      <c r="L9" s="235">
        <f>J9-K9</f>
        <v>1091759.8499999999</v>
      </c>
      <c r="M9" s="226">
        <v>0.5</v>
      </c>
      <c r="N9" s="230"/>
      <c r="O9" s="230"/>
      <c r="P9" s="227"/>
      <c r="Q9" s="227"/>
      <c r="R9" s="227">
        <v>901382.84</v>
      </c>
      <c r="S9" s="227">
        <v>190377</v>
      </c>
      <c r="T9" s="225"/>
      <c r="U9" s="225"/>
      <c r="V9" s="225"/>
      <c r="W9" s="225"/>
      <c r="X9" s="260" t="b">
        <f t="shared" si="0"/>
        <v>1</v>
      </c>
      <c r="Y9" s="261">
        <f t="shared" si="1"/>
        <v>0.5</v>
      </c>
      <c r="Z9" s="260" t="b">
        <f t="shared" si="2"/>
        <v>1</v>
      </c>
      <c r="AA9" s="260" t="b">
        <f t="shared" si="3"/>
        <v>1</v>
      </c>
    </row>
    <row r="10" spans="1:27" s="185" customFormat="1" ht="53.25" customHeight="1" x14ac:dyDescent="0.2">
      <c r="A10" s="246">
        <v>8</v>
      </c>
      <c r="B10" s="246" t="s">
        <v>204</v>
      </c>
      <c r="C10" s="246" t="s">
        <v>21</v>
      </c>
      <c r="D10" s="247" t="s">
        <v>23</v>
      </c>
      <c r="E10" s="247" t="s">
        <v>24</v>
      </c>
      <c r="F10" s="248" t="s">
        <v>205</v>
      </c>
      <c r="G10" s="246" t="s">
        <v>16</v>
      </c>
      <c r="H10" s="249">
        <v>0.82</v>
      </c>
      <c r="I10" s="250" t="s">
        <v>206</v>
      </c>
      <c r="J10" s="251">
        <v>3177750.19</v>
      </c>
      <c r="K10" s="251">
        <v>1010304.5</v>
      </c>
      <c r="L10" s="252">
        <f>J10-K10</f>
        <v>2167445.69</v>
      </c>
      <c r="M10" s="253">
        <v>0.5</v>
      </c>
      <c r="N10" s="216"/>
      <c r="O10" s="216"/>
      <c r="P10" s="254"/>
      <c r="Q10" s="254"/>
      <c r="R10" s="254">
        <v>1010304.5</v>
      </c>
      <c r="S10" s="254">
        <v>0</v>
      </c>
      <c r="T10" s="255">
        <v>0</v>
      </c>
      <c r="U10" s="255"/>
      <c r="V10" s="255"/>
      <c r="W10" s="255"/>
      <c r="X10" s="187" t="b">
        <f t="shared" si="0"/>
        <v>1</v>
      </c>
      <c r="Y10" s="188">
        <f t="shared" si="1"/>
        <v>0.31790000000000002</v>
      </c>
      <c r="Z10" s="187" t="b">
        <f t="shared" si="2"/>
        <v>0</v>
      </c>
      <c r="AA10" s="187" t="b">
        <f t="shared" si="3"/>
        <v>1</v>
      </c>
    </row>
    <row r="11" spans="1:27" s="185" customFormat="1" ht="39" customHeight="1" x14ac:dyDescent="0.2">
      <c r="A11" s="246">
        <v>9</v>
      </c>
      <c r="B11" s="246" t="s">
        <v>207</v>
      </c>
      <c r="C11" s="246" t="s">
        <v>21</v>
      </c>
      <c r="D11" s="247" t="s">
        <v>208</v>
      </c>
      <c r="E11" s="247" t="s">
        <v>209</v>
      </c>
      <c r="F11" s="248" t="s">
        <v>210</v>
      </c>
      <c r="G11" s="246" t="s">
        <v>16</v>
      </c>
      <c r="H11" s="249">
        <v>0.57399999999999995</v>
      </c>
      <c r="I11" s="250" t="s">
        <v>211</v>
      </c>
      <c r="J11" s="251">
        <v>2361255</v>
      </c>
      <c r="K11" s="251">
        <v>1652878.5</v>
      </c>
      <c r="L11" s="252">
        <v>708376.5</v>
      </c>
      <c r="M11" s="253">
        <v>0.7</v>
      </c>
      <c r="N11" s="216"/>
      <c r="O11" s="216"/>
      <c r="P11" s="254"/>
      <c r="Q11" s="254"/>
      <c r="R11" s="254">
        <v>1652878.5</v>
      </c>
      <c r="S11" s="254">
        <v>0</v>
      </c>
      <c r="T11" s="255"/>
      <c r="U11" s="255"/>
      <c r="V11" s="255"/>
      <c r="W11" s="255"/>
      <c r="X11" s="187" t="b">
        <f t="shared" si="0"/>
        <v>1</v>
      </c>
      <c r="Y11" s="188">
        <f t="shared" si="1"/>
        <v>0.7</v>
      </c>
      <c r="Z11" s="187" t="b">
        <f t="shared" si="2"/>
        <v>1</v>
      </c>
      <c r="AA11" s="187" t="b">
        <f t="shared" si="3"/>
        <v>1</v>
      </c>
    </row>
    <row r="12" spans="1:27" s="185" customFormat="1" ht="76.5" customHeight="1" x14ac:dyDescent="0.2">
      <c r="A12" s="246">
        <v>10</v>
      </c>
      <c r="B12" s="246" t="s">
        <v>212</v>
      </c>
      <c r="C12" s="246" t="s">
        <v>21</v>
      </c>
      <c r="D12" s="247" t="s">
        <v>213</v>
      </c>
      <c r="E12" s="247" t="s">
        <v>727</v>
      </c>
      <c r="F12" s="248" t="s">
        <v>761</v>
      </c>
      <c r="G12" s="246" t="s">
        <v>16</v>
      </c>
      <c r="H12" s="249">
        <v>0.69199999999999995</v>
      </c>
      <c r="I12" s="250" t="s">
        <v>211</v>
      </c>
      <c r="J12" s="251">
        <v>2358850.7400000002</v>
      </c>
      <c r="K12" s="251">
        <v>1887080.59</v>
      </c>
      <c r="L12" s="252">
        <f>J12-K12</f>
        <v>471770.15000000014</v>
      </c>
      <c r="M12" s="253">
        <v>0.8</v>
      </c>
      <c r="N12" s="216"/>
      <c r="O12" s="216"/>
      <c r="P12" s="254"/>
      <c r="Q12" s="254"/>
      <c r="R12" s="254">
        <f>K12</f>
        <v>1887080.59</v>
      </c>
      <c r="S12" s="254">
        <v>0</v>
      </c>
      <c r="T12" s="255"/>
      <c r="U12" s="255"/>
      <c r="V12" s="255"/>
      <c r="W12" s="255"/>
      <c r="X12" s="187" t="b">
        <f t="shared" si="0"/>
        <v>1</v>
      </c>
      <c r="Y12" s="188">
        <f t="shared" si="1"/>
        <v>0.8</v>
      </c>
      <c r="Z12" s="187" t="b">
        <f t="shared" si="2"/>
        <v>1</v>
      </c>
      <c r="AA12" s="187" t="b">
        <f t="shared" si="3"/>
        <v>1</v>
      </c>
    </row>
    <row r="13" spans="1:27" s="185" customFormat="1" ht="100.5" customHeight="1" x14ac:dyDescent="0.2">
      <c r="A13" s="246" t="s">
        <v>771</v>
      </c>
      <c r="B13" s="246" t="s">
        <v>215</v>
      </c>
      <c r="C13" s="246" t="s">
        <v>21</v>
      </c>
      <c r="D13" s="247" t="s">
        <v>108</v>
      </c>
      <c r="E13" s="247" t="s">
        <v>728</v>
      </c>
      <c r="F13" s="248" t="s">
        <v>762</v>
      </c>
      <c r="G13" s="246" t="s">
        <v>16</v>
      </c>
      <c r="H13" s="249">
        <v>0</v>
      </c>
      <c r="I13" s="250" t="s">
        <v>216</v>
      </c>
      <c r="J13" s="251">
        <v>0</v>
      </c>
      <c r="K13" s="251">
        <v>0</v>
      </c>
      <c r="L13" s="252">
        <v>0</v>
      </c>
      <c r="M13" s="253">
        <v>0.6</v>
      </c>
      <c r="N13" s="216"/>
      <c r="O13" s="216"/>
      <c r="P13" s="254"/>
      <c r="Q13" s="254"/>
      <c r="R13" s="254">
        <v>0</v>
      </c>
      <c r="S13" s="254">
        <v>0</v>
      </c>
      <c r="T13" s="255"/>
      <c r="U13" s="255"/>
      <c r="V13" s="255"/>
      <c r="W13" s="255"/>
      <c r="X13" s="187" t="b">
        <f t="shared" si="0"/>
        <v>1</v>
      </c>
      <c r="Y13" s="188" t="e">
        <f t="shared" si="1"/>
        <v>#DIV/0!</v>
      </c>
      <c r="Z13" s="187" t="e">
        <f t="shared" si="2"/>
        <v>#DIV/0!</v>
      </c>
      <c r="AA13" s="187" t="b">
        <f t="shared" si="3"/>
        <v>1</v>
      </c>
    </row>
    <row r="14" spans="1:27" s="164" customFormat="1" ht="39" customHeight="1" x14ac:dyDescent="0.2">
      <c r="A14" s="218">
        <v>12</v>
      </c>
      <c r="B14" s="218" t="s">
        <v>217</v>
      </c>
      <c r="C14" s="218" t="s">
        <v>19</v>
      </c>
      <c r="D14" s="221" t="s">
        <v>100</v>
      </c>
      <c r="E14" s="221" t="s">
        <v>22</v>
      </c>
      <c r="F14" s="228" t="s">
        <v>218</v>
      </c>
      <c r="G14" s="218" t="s">
        <v>16</v>
      </c>
      <c r="H14" s="223">
        <v>1.4790000000000001</v>
      </c>
      <c r="I14" s="234" t="s">
        <v>219</v>
      </c>
      <c r="J14" s="237">
        <v>3296694</v>
      </c>
      <c r="K14" s="237">
        <v>1648347</v>
      </c>
      <c r="L14" s="235">
        <v>1648347</v>
      </c>
      <c r="M14" s="226">
        <v>0.5</v>
      </c>
      <c r="N14" s="230"/>
      <c r="O14" s="230"/>
      <c r="P14" s="227"/>
      <c r="Q14" s="227"/>
      <c r="R14" s="227">
        <v>850562</v>
      </c>
      <c r="S14" s="227">
        <v>797785</v>
      </c>
      <c r="T14" s="225">
        <v>0</v>
      </c>
      <c r="U14" s="225"/>
      <c r="V14" s="225"/>
      <c r="W14" s="225"/>
      <c r="X14" s="260" t="b">
        <f t="shared" si="0"/>
        <v>1</v>
      </c>
      <c r="Y14" s="261">
        <f t="shared" si="1"/>
        <v>0.5</v>
      </c>
      <c r="Z14" s="260" t="b">
        <f t="shared" si="2"/>
        <v>1</v>
      </c>
      <c r="AA14" s="260" t="b">
        <f t="shared" si="3"/>
        <v>1</v>
      </c>
    </row>
    <row r="15" spans="1:27" s="164" customFormat="1" ht="30.75" customHeight="1" x14ac:dyDescent="0.2">
      <c r="A15" s="218">
        <v>13</v>
      </c>
      <c r="B15" s="218" t="s">
        <v>220</v>
      </c>
      <c r="C15" s="218" t="s">
        <v>19</v>
      </c>
      <c r="D15" s="221" t="s">
        <v>221</v>
      </c>
      <c r="E15" s="221" t="s">
        <v>27</v>
      </c>
      <c r="F15" s="228" t="s">
        <v>222</v>
      </c>
      <c r="G15" s="218" t="s">
        <v>16</v>
      </c>
      <c r="H15" s="223">
        <v>0.88500000000000001</v>
      </c>
      <c r="I15" s="234" t="s">
        <v>223</v>
      </c>
      <c r="J15" s="237">
        <v>7286592.8499999996</v>
      </c>
      <c r="K15" s="237">
        <v>3643296.42</v>
      </c>
      <c r="L15" s="235">
        <f t="shared" ref="L15:L20" si="4">J15-K15</f>
        <v>3643296.4299999997</v>
      </c>
      <c r="M15" s="226">
        <v>0.5</v>
      </c>
      <c r="N15" s="230"/>
      <c r="O15" s="230"/>
      <c r="P15" s="227"/>
      <c r="Q15" s="227"/>
      <c r="R15" s="227">
        <v>1054153</v>
      </c>
      <c r="S15" s="227">
        <f>K15-R15</f>
        <v>2589143.42</v>
      </c>
      <c r="T15" s="225"/>
      <c r="U15" s="225"/>
      <c r="V15" s="225"/>
      <c r="W15" s="225"/>
      <c r="X15" s="260" t="b">
        <f t="shared" si="0"/>
        <v>1</v>
      </c>
      <c r="Y15" s="261">
        <f t="shared" si="1"/>
        <v>0.5</v>
      </c>
      <c r="Z15" s="260" t="b">
        <f t="shared" si="2"/>
        <v>1</v>
      </c>
      <c r="AA15" s="260" t="b">
        <f t="shared" si="3"/>
        <v>1</v>
      </c>
    </row>
    <row r="16" spans="1:27" s="185" customFormat="1" ht="30" customHeight="1" x14ac:dyDescent="0.2">
      <c r="A16" s="246">
        <v>14</v>
      </c>
      <c r="B16" s="246" t="s">
        <v>224</v>
      </c>
      <c r="C16" s="246" t="s">
        <v>21</v>
      </c>
      <c r="D16" s="247" t="s">
        <v>109</v>
      </c>
      <c r="E16" s="247" t="s">
        <v>110</v>
      </c>
      <c r="F16" s="248" t="s">
        <v>225</v>
      </c>
      <c r="G16" s="246" t="s">
        <v>16</v>
      </c>
      <c r="H16" s="249">
        <v>0.42799999999999999</v>
      </c>
      <c r="I16" s="250" t="s">
        <v>226</v>
      </c>
      <c r="J16" s="251">
        <v>3462250</v>
      </c>
      <c r="K16" s="251">
        <v>1436268</v>
      </c>
      <c r="L16" s="252">
        <f t="shared" si="4"/>
        <v>2025982</v>
      </c>
      <c r="M16" s="253">
        <v>0.5</v>
      </c>
      <c r="N16" s="216"/>
      <c r="O16" s="216"/>
      <c r="P16" s="254"/>
      <c r="Q16" s="254"/>
      <c r="R16" s="254">
        <f>K16</f>
        <v>1436268</v>
      </c>
      <c r="S16" s="254">
        <v>0</v>
      </c>
      <c r="T16" s="255"/>
      <c r="U16" s="255"/>
      <c r="V16" s="255"/>
      <c r="W16" s="255"/>
      <c r="X16" s="187" t="b">
        <f t="shared" si="0"/>
        <v>1</v>
      </c>
      <c r="Y16" s="188">
        <f t="shared" si="1"/>
        <v>0.4148</v>
      </c>
      <c r="Z16" s="187" t="b">
        <f t="shared" si="2"/>
        <v>0</v>
      </c>
      <c r="AA16" s="187" t="b">
        <f t="shared" si="3"/>
        <v>1</v>
      </c>
    </row>
    <row r="17" spans="1:28" s="185" customFormat="1" ht="48" customHeight="1" x14ac:dyDescent="0.2">
      <c r="A17" s="246">
        <v>15</v>
      </c>
      <c r="B17" s="246" t="s">
        <v>227</v>
      </c>
      <c r="C17" s="246" t="s">
        <v>21</v>
      </c>
      <c r="D17" s="247" t="s">
        <v>228</v>
      </c>
      <c r="E17" s="247" t="s">
        <v>229</v>
      </c>
      <c r="F17" s="248" t="s">
        <v>230</v>
      </c>
      <c r="G17" s="246" t="s">
        <v>18</v>
      </c>
      <c r="H17" s="249">
        <v>1.7250000000000001</v>
      </c>
      <c r="I17" s="250" t="s">
        <v>231</v>
      </c>
      <c r="J17" s="251">
        <v>1426881.43</v>
      </c>
      <c r="K17" s="251">
        <v>713440.71</v>
      </c>
      <c r="L17" s="252">
        <f t="shared" si="4"/>
        <v>713440.72</v>
      </c>
      <c r="M17" s="253">
        <v>0.5</v>
      </c>
      <c r="N17" s="216"/>
      <c r="O17" s="216"/>
      <c r="P17" s="254"/>
      <c r="Q17" s="254"/>
      <c r="R17" s="254">
        <f>K17</f>
        <v>713440.71</v>
      </c>
      <c r="S17" s="254">
        <v>0</v>
      </c>
      <c r="T17" s="255">
        <v>0</v>
      </c>
      <c r="U17" s="255"/>
      <c r="V17" s="255"/>
      <c r="W17" s="255"/>
      <c r="X17" s="187" t="b">
        <f t="shared" si="0"/>
        <v>1</v>
      </c>
      <c r="Y17" s="188">
        <f t="shared" si="1"/>
        <v>0.5</v>
      </c>
      <c r="Z17" s="187" t="b">
        <f t="shared" si="2"/>
        <v>1</v>
      </c>
      <c r="AA17" s="187" t="b">
        <f t="shared" si="3"/>
        <v>1</v>
      </c>
    </row>
    <row r="18" spans="1:28" s="185" customFormat="1" ht="39" customHeight="1" x14ac:dyDescent="0.2">
      <c r="A18" s="246">
        <v>16</v>
      </c>
      <c r="B18" s="246" t="s">
        <v>232</v>
      </c>
      <c r="C18" s="246" t="s">
        <v>21</v>
      </c>
      <c r="D18" s="247" t="s">
        <v>233</v>
      </c>
      <c r="E18" s="247" t="s">
        <v>234</v>
      </c>
      <c r="F18" s="248" t="s">
        <v>235</v>
      </c>
      <c r="G18" s="246" t="s">
        <v>16</v>
      </c>
      <c r="H18" s="249">
        <v>0.78300000000000003</v>
      </c>
      <c r="I18" s="250" t="s">
        <v>236</v>
      </c>
      <c r="J18" s="251">
        <v>3039020.04</v>
      </c>
      <c r="K18" s="251">
        <f>J18*M18</f>
        <v>2127314.0279999999</v>
      </c>
      <c r="L18" s="252">
        <f t="shared" si="4"/>
        <v>911706.0120000001</v>
      </c>
      <c r="M18" s="253">
        <v>0.7</v>
      </c>
      <c r="N18" s="216"/>
      <c r="O18" s="216"/>
      <c r="P18" s="254"/>
      <c r="Q18" s="254"/>
      <c r="R18" s="254">
        <f>K18</f>
        <v>2127314.0279999999</v>
      </c>
      <c r="S18" s="254">
        <v>0</v>
      </c>
      <c r="T18" s="255"/>
      <c r="U18" s="255"/>
      <c r="V18" s="255"/>
      <c r="W18" s="255"/>
      <c r="X18" s="187" t="b">
        <f t="shared" si="0"/>
        <v>1</v>
      </c>
      <c r="Y18" s="188">
        <f t="shared" si="1"/>
        <v>0.7</v>
      </c>
      <c r="Z18" s="187" t="b">
        <f t="shared" si="2"/>
        <v>1</v>
      </c>
      <c r="AA18" s="187" t="b">
        <f t="shared" si="3"/>
        <v>1</v>
      </c>
    </row>
    <row r="19" spans="1:28" s="185" customFormat="1" ht="30" customHeight="1" x14ac:dyDescent="0.2">
      <c r="A19" s="246">
        <v>17</v>
      </c>
      <c r="B19" s="246" t="s">
        <v>237</v>
      </c>
      <c r="C19" s="246" t="s">
        <v>21</v>
      </c>
      <c r="D19" s="247" t="s">
        <v>97</v>
      </c>
      <c r="E19" s="247" t="s">
        <v>98</v>
      </c>
      <c r="F19" s="248" t="s">
        <v>768</v>
      </c>
      <c r="G19" s="246" t="s">
        <v>16</v>
      </c>
      <c r="H19" s="249">
        <v>1.218</v>
      </c>
      <c r="I19" s="250" t="s">
        <v>211</v>
      </c>
      <c r="J19" s="251">
        <v>4580913.17</v>
      </c>
      <c r="K19" s="251">
        <v>3664730.54</v>
      </c>
      <c r="L19" s="252">
        <f t="shared" si="4"/>
        <v>916182.62999999989</v>
      </c>
      <c r="M19" s="253">
        <v>0.8</v>
      </c>
      <c r="N19" s="216"/>
      <c r="O19" s="216"/>
      <c r="P19" s="254"/>
      <c r="Q19" s="254"/>
      <c r="R19" s="254">
        <f>K19</f>
        <v>3664730.54</v>
      </c>
      <c r="S19" s="254">
        <v>0</v>
      </c>
      <c r="T19" s="255"/>
      <c r="U19" s="255"/>
      <c r="V19" s="255"/>
      <c r="W19" s="255"/>
      <c r="X19" s="187" t="b">
        <f t="shared" si="0"/>
        <v>1</v>
      </c>
      <c r="Y19" s="188">
        <f t="shared" si="1"/>
        <v>0.8</v>
      </c>
      <c r="Z19" s="187" t="b">
        <f t="shared" si="2"/>
        <v>1</v>
      </c>
      <c r="AA19" s="187" t="b">
        <f t="shared" si="3"/>
        <v>1</v>
      </c>
    </row>
    <row r="20" spans="1:28" s="185" customFormat="1" ht="24.75" customHeight="1" x14ac:dyDescent="0.2">
      <c r="A20" s="246">
        <v>18</v>
      </c>
      <c r="B20" s="246" t="s">
        <v>238</v>
      </c>
      <c r="C20" s="246" t="s">
        <v>21</v>
      </c>
      <c r="D20" s="247" t="s">
        <v>201</v>
      </c>
      <c r="E20" s="247" t="s">
        <v>20</v>
      </c>
      <c r="F20" s="248" t="s">
        <v>770</v>
      </c>
      <c r="G20" s="246" t="s">
        <v>18</v>
      </c>
      <c r="H20" s="249">
        <v>1.26</v>
      </c>
      <c r="I20" s="250" t="s">
        <v>239</v>
      </c>
      <c r="J20" s="251">
        <v>1955486</v>
      </c>
      <c r="K20" s="251">
        <v>1368840.2</v>
      </c>
      <c r="L20" s="252">
        <f t="shared" si="4"/>
        <v>586645.80000000005</v>
      </c>
      <c r="M20" s="253">
        <v>0.7</v>
      </c>
      <c r="N20" s="216"/>
      <c r="O20" s="216"/>
      <c r="P20" s="254"/>
      <c r="Q20" s="254"/>
      <c r="R20" s="254">
        <f>K20</f>
        <v>1368840.2</v>
      </c>
      <c r="S20" s="254">
        <v>0</v>
      </c>
      <c r="T20" s="255"/>
      <c r="U20" s="255"/>
      <c r="V20" s="255"/>
      <c r="W20" s="255"/>
      <c r="X20" s="187" t="b">
        <f t="shared" si="0"/>
        <v>1</v>
      </c>
      <c r="Y20" s="188">
        <f t="shared" si="1"/>
        <v>0.7</v>
      </c>
      <c r="Z20" s="187" t="b">
        <f t="shared" si="2"/>
        <v>1</v>
      </c>
      <c r="AA20" s="187" t="b">
        <f t="shared" si="3"/>
        <v>1</v>
      </c>
    </row>
    <row r="21" spans="1:28" s="164" customFormat="1" ht="39" customHeight="1" x14ac:dyDescent="0.2">
      <c r="A21" s="218">
        <v>19</v>
      </c>
      <c r="B21" s="218" t="s">
        <v>240</v>
      </c>
      <c r="C21" s="218" t="s">
        <v>19</v>
      </c>
      <c r="D21" s="221" t="s">
        <v>111</v>
      </c>
      <c r="E21" s="221" t="s">
        <v>112</v>
      </c>
      <c r="F21" s="228" t="s">
        <v>241</v>
      </c>
      <c r="G21" s="218" t="s">
        <v>16</v>
      </c>
      <c r="H21" s="223">
        <v>4.5140000000000002</v>
      </c>
      <c r="I21" s="234" t="s">
        <v>242</v>
      </c>
      <c r="J21" s="237">
        <v>11226307</v>
      </c>
      <c r="K21" s="237">
        <v>5613153.5</v>
      </c>
      <c r="L21" s="235">
        <v>5613153.5</v>
      </c>
      <c r="M21" s="226">
        <v>0.5</v>
      </c>
      <c r="N21" s="230"/>
      <c r="O21" s="230"/>
      <c r="P21" s="227"/>
      <c r="Q21" s="227"/>
      <c r="R21" s="227">
        <v>1247367</v>
      </c>
      <c r="S21" s="227">
        <v>2494734</v>
      </c>
      <c r="T21" s="225">
        <v>1871052.5</v>
      </c>
      <c r="U21" s="225"/>
      <c r="V21" s="225"/>
      <c r="W21" s="225"/>
      <c r="X21" s="260" t="b">
        <f t="shared" si="0"/>
        <v>1</v>
      </c>
      <c r="Y21" s="261">
        <f t="shared" si="1"/>
        <v>0.5</v>
      </c>
      <c r="Z21" s="260" t="b">
        <f t="shared" si="2"/>
        <v>1</v>
      </c>
      <c r="AA21" s="260" t="b">
        <f t="shared" si="3"/>
        <v>1</v>
      </c>
    </row>
    <row r="22" spans="1:28" s="185" customFormat="1" ht="39" customHeight="1" x14ac:dyDescent="0.2">
      <c r="A22" s="246">
        <v>20</v>
      </c>
      <c r="B22" s="246" t="s">
        <v>243</v>
      </c>
      <c r="C22" s="246" t="s">
        <v>21</v>
      </c>
      <c r="D22" s="247" t="s">
        <v>213</v>
      </c>
      <c r="E22" s="247" t="s">
        <v>727</v>
      </c>
      <c r="F22" s="248" t="s">
        <v>244</v>
      </c>
      <c r="G22" s="246" t="s">
        <v>16</v>
      </c>
      <c r="H22" s="249">
        <v>7.4999999999999997E-2</v>
      </c>
      <c r="I22" s="250" t="s">
        <v>211</v>
      </c>
      <c r="J22" s="251">
        <v>1167169.77</v>
      </c>
      <c r="K22" s="251">
        <v>933735.82</v>
      </c>
      <c r="L22" s="252">
        <f>J22-K22</f>
        <v>233433.95000000007</v>
      </c>
      <c r="M22" s="253">
        <v>0.8</v>
      </c>
      <c r="N22" s="216"/>
      <c r="O22" s="216"/>
      <c r="P22" s="254"/>
      <c r="Q22" s="254"/>
      <c r="R22" s="254">
        <f>K22</f>
        <v>933735.82</v>
      </c>
      <c r="S22" s="254">
        <v>0</v>
      </c>
      <c r="T22" s="255"/>
      <c r="U22" s="255"/>
      <c r="V22" s="255"/>
      <c r="W22" s="255"/>
      <c r="X22" s="187" t="b">
        <f t="shared" si="0"/>
        <v>1</v>
      </c>
      <c r="Y22" s="188">
        <f t="shared" si="1"/>
        <v>0.8</v>
      </c>
      <c r="Z22" s="187" t="b">
        <f t="shared" si="2"/>
        <v>1</v>
      </c>
      <c r="AA22" s="187" t="b">
        <f t="shared" si="3"/>
        <v>1</v>
      </c>
    </row>
    <row r="23" spans="1:28" s="185" customFormat="1" ht="39" customHeight="1" x14ac:dyDescent="0.2">
      <c r="A23" s="246">
        <v>21</v>
      </c>
      <c r="B23" s="246" t="s">
        <v>245</v>
      </c>
      <c r="C23" s="246" t="s">
        <v>21</v>
      </c>
      <c r="D23" s="247" t="s">
        <v>246</v>
      </c>
      <c r="E23" s="247" t="s">
        <v>247</v>
      </c>
      <c r="F23" s="248" t="s">
        <v>248</v>
      </c>
      <c r="G23" s="246" t="s">
        <v>16</v>
      </c>
      <c r="H23" s="249">
        <v>0.875</v>
      </c>
      <c r="I23" s="250" t="s">
        <v>249</v>
      </c>
      <c r="J23" s="251">
        <v>1168679.76</v>
      </c>
      <c r="K23" s="251">
        <v>584339.88</v>
      </c>
      <c r="L23" s="252">
        <f>J23-K23</f>
        <v>584339.88</v>
      </c>
      <c r="M23" s="253">
        <v>0.5</v>
      </c>
      <c r="N23" s="216"/>
      <c r="O23" s="216"/>
      <c r="P23" s="254"/>
      <c r="Q23" s="254"/>
      <c r="R23" s="254">
        <f>K23</f>
        <v>584339.88</v>
      </c>
      <c r="S23" s="254">
        <v>0</v>
      </c>
      <c r="T23" s="255">
        <v>0</v>
      </c>
      <c r="U23" s="255"/>
      <c r="V23" s="255"/>
      <c r="W23" s="255"/>
      <c r="X23" s="187" t="b">
        <f t="shared" si="0"/>
        <v>1</v>
      </c>
      <c r="Y23" s="188">
        <f t="shared" si="1"/>
        <v>0.5</v>
      </c>
      <c r="Z23" s="187" t="b">
        <f t="shared" si="2"/>
        <v>1</v>
      </c>
      <c r="AA23" s="187" t="b">
        <f t="shared" si="3"/>
        <v>1</v>
      </c>
    </row>
    <row r="24" spans="1:28" s="185" customFormat="1" ht="30.75" customHeight="1" x14ac:dyDescent="0.2">
      <c r="A24" s="246">
        <v>22</v>
      </c>
      <c r="B24" s="246" t="s">
        <v>250</v>
      </c>
      <c r="C24" s="246" t="s">
        <v>21</v>
      </c>
      <c r="D24" s="247" t="s">
        <v>25</v>
      </c>
      <c r="E24" s="247" t="s">
        <v>26</v>
      </c>
      <c r="F24" s="248" t="s">
        <v>251</v>
      </c>
      <c r="G24" s="246" t="s">
        <v>16</v>
      </c>
      <c r="H24" s="249">
        <v>1.77</v>
      </c>
      <c r="I24" s="250" t="s">
        <v>252</v>
      </c>
      <c r="J24" s="251">
        <v>3369666.67</v>
      </c>
      <c r="K24" s="251">
        <v>1684833.33</v>
      </c>
      <c r="L24" s="252">
        <f>J24-K24</f>
        <v>1684833.3399999999</v>
      </c>
      <c r="M24" s="253">
        <v>0.5</v>
      </c>
      <c r="N24" s="216"/>
      <c r="O24" s="216"/>
      <c r="P24" s="254"/>
      <c r="Q24" s="254"/>
      <c r="R24" s="254">
        <f>K24</f>
        <v>1684833.33</v>
      </c>
      <c r="S24" s="254">
        <v>0</v>
      </c>
      <c r="T24" s="255"/>
      <c r="U24" s="255"/>
      <c r="V24" s="255"/>
      <c r="W24" s="255"/>
      <c r="X24" s="187" t="b">
        <f t="shared" si="0"/>
        <v>1</v>
      </c>
      <c r="Y24" s="188">
        <f t="shared" si="1"/>
        <v>0.5</v>
      </c>
      <c r="Z24" s="187" t="b">
        <f t="shared" si="2"/>
        <v>1</v>
      </c>
      <c r="AA24" s="187" t="b">
        <f t="shared" si="3"/>
        <v>1</v>
      </c>
    </row>
    <row r="25" spans="1:28" s="185" customFormat="1" ht="57" customHeight="1" x14ac:dyDescent="0.2">
      <c r="A25" s="246">
        <v>23</v>
      </c>
      <c r="B25" s="246" t="s">
        <v>253</v>
      </c>
      <c r="C25" s="246" t="s">
        <v>21</v>
      </c>
      <c r="D25" s="247" t="s">
        <v>29</v>
      </c>
      <c r="E25" s="247" t="s">
        <v>30</v>
      </c>
      <c r="F25" s="248" t="s">
        <v>254</v>
      </c>
      <c r="G25" s="246" t="s">
        <v>18</v>
      </c>
      <c r="H25" s="249">
        <v>4.2999999999999997E-2</v>
      </c>
      <c r="I25" s="250" t="s">
        <v>252</v>
      </c>
      <c r="J25" s="251">
        <v>1186622.46</v>
      </c>
      <c r="K25" s="251">
        <v>593311.23</v>
      </c>
      <c r="L25" s="252">
        <f>J25-K25</f>
        <v>593311.23</v>
      </c>
      <c r="M25" s="253">
        <v>0.5</v>
      </c>
      <c r="N25" s="216"/>
      <c r="O25" s="216"/>
      <c r="P25" s="254"/>
      <c r="Q25" s="254"/>
      <c r="R25" s="254">
        <f>K25</f>
        <v>593311.23</v>
      </c>
      <c r="S25" s="254">
        <v>0</v>
      </c>
      <c r="T25" s="255"/>
      <c r="U25" s="255"/>
      <c r="V25" s="255"/>
      <c r="W25" s="255"/>
      <c r="X25" s="187" t="b">
        <f t="shared" si="0"/>
        <v>1</v>
      </c>
      <c r="Y25" s="188">
        <f t="shared" si="1"/>
        <v>0.5</v>
      </c>
      <c r="Z25" s="187" t="b">
        <f t="shared" si="2"/>
        <v>1</v>
      </c>
      <c r="AA25" s="187" t="b">
        <f t="shared" si="3"/>
        <v>1</v>
      </c>
    </row>
    <row r="26" spans="1:28" s="185" customFormat="1" ht="39" customHeight="1" x14ac:dyDescent="0.2">
      <c r="A26" s="246">
        <v>24</v>
      </c>
      <c r="B26" s="246" t="s">
        <v>255</v>
      </c>
      <c r="C26" s="246" t="s">
        <v>21</v>
      </c>
      <c r="D26" s="247" t="s">
        <v>23</v>
      </c>
      <c r="E26" s="247" t="s">
        <v>24</v>
      </c>
      <c r="F26" s="248" t="s">
        <v>256</v>
      </c>
      <c r="G26" s="246" t="s">
        <v>16</v>
      </c>
      <c r="H26" s="249">
        <v>0.748</v>
      </c>
      <c r="I26" s="250" t="s">
        <v>206</v>
      </c>
      <c r="J26" s="251">
        <v>3233681.83</v>
      </c>
      <c r="K26" s="251">
        <v>1616840.91</v>
      </c>
      <c r="L26" s="252">
        <f>J26-K26</f>
        <v>1616840.9200000002</v>
      </c>
      <c r="M26" s="253">
        <v>0.5</v>
      </c>
      <c r="N26" s="216"/>
      <c r="O26" s="216"/>
      <c r="P26" s="254"/>
      <c r="Q26" s="254"/>
      <c r="R26" s="254">
        <f>K26</f>
        <v>1616840.91</v>
      </c>
      <c r="S26" s="254">
        <v>0</v>
      </c>
      <c r="T26" s="255">
        <v>0</v>
      </c>
      <c r="U26" s="255"/>
      <c r="V26" s="255"/>
      <c r="W26" s="255"/>
      <c r="X26" s="187" t="b">
        <f t="shared" si="0"/>
        <v>1</v>
      </c>
      <c r="Y26" s="188">
        <f t="shared" si="1"/>
        <v>0.5</v>
      </c>
      <c r="Z26" s="187" t="b">
        <f t="shared" si="2"/>
        <v>1</v>
      </c>
      <c r="AA26" s="187" t="b">
        <f t="shared" si="3"/>
        <v>1</v>
      </c>
    </row>
    <row r="27" spans="1:28" s="185" customFormat="1" ht="40.5" customHeight="1" x14ac:dyDescent="0.2">
      <c r="A27" s="246" t="s">
        <v>789</v>
      </c>
      <c r="B27" s="246" t="s">
        <v>257</v>
      </c>
      <c r="C27" s="246" t="s">
        <v>21</v>
      </c>
      <c r="D27" s="247" t="s">
        <v>258</v>
      </c>
      <c r="E27" s="247" t="s">
        <v>214</v>
      </c>
      <c r="F27" s="248" t="s">
        <v>259</v>
      </c>
      <c r="G27" s="246" t="s">
        <v>16</v>
      </c>
      <c r="H27" s="249">
        <v>0</v>
      </c>
      <c r="I27" s="250" t="s">
        <v>260</v>
      </c>
      <c r="J27" s="251">
        <v>0</v>
      </c>
      <c r="K27" s="251">
        <v>0</v>
      </c>
      <c r="L27" s="252">
        <v>0</v>
      </c>
      <c r="M27" s="253">
        <v>0.5</v>
      </c>
      <c r="N27" s="216"/>
      <c r="O27" s="216"/>
      <c r="P27" s="254"/>
      <c r="Q27" s="254"/>
      <c r="R27" s="254">
        <v>0</v>
      </c>
      <c r="S27" s="254">
        <v>0</v>
      </c>
      <c r="T27" s="255"/>
      <c r="U27" s="255"/>
      <c r="V27" s="255"/>
      <c r="W27" s="255"/>
      <c r="X27" s="187" t="b">
        <f t="shared" si="0"/>
        <v>1</v>
      </c>
      <c r="Y27" s="188" t="e">
        <f t="shared" si="1"/>
        <v>#DIV/0!</v>
      </c>
      <c r="Z27" s="187" t="e">
        <f t="shared" si="2"/>
        <v>#DIV/0!</v>
      </c>
      <c r="AA27" s="187" t="b">
        <f t="shared" si="3"/>
        <v>1</v>
      </c>
    </row>
    <row r="28" spans="1:28" ht="24" x14ac:dyDescent="0.2">
      <c r="A28" s="246">
        <v>26</v>
      </c>
      <c r="B28" s="272" t="s">
        <v>461</v>
      </c>
      <c r="C28" s="246" t="s">
        <v>21</v>
      </c>
      <c r="D28" s="247" t="s">
        <v>462</v>
      </c>
      <c r="E28" s="247" t="s">
        <v>463</v>
      </c>
      <c r="F28" s="273" t="s">
        <v>464</v>
      </c>
      <c r="G28" s="246" t="s">
        <v>16</v>
      </c>
      <c r="H28" s="249">
        <v>0.99</v>
      </c>
      <c r="I28" s="274" t="s">
        <v>409</v>
      </c>
      <c r="J28" s="251">
        <v>2044868.61</v>
      </c>
      <c r="K28" s="251">
        <v>924702.35</v>
      </c>
      <c r="L28" s="252">
        <f>J28-K28</f>
        <v>1120166.2600000002</v>
      </c>
      <c r="M28" s="253">
        <v>0.5</v>
      </c>
      <c r="N28" s="216"/>
      <c r="O28" s="216"/>
      <c r="P28" s="254"/>
      <c r="Q28" s="254"/>
      <c r="R28" s="254">
        <v>924702.35</v>
      </c>
      <c r="S28" s="254">
        <v>0</v>
      </c>
      <c r="T28" s="255"/>
      <c r="U28" s="255"/>
      <c r="V28" s="255"/>
      <c r="W28" s="255"/>
      <c r="X28" s="187" t="b">
        <f>K28=SUM(N28:W28)</f>
        <v>1</v>
      </c>
      <c r="Y28" s="188">
        <f>ROUND(K28/J28,4)</f>
        <v>0.45219999999999999</v>
      </c>
      <c r="Z28" s="187" t="b">
        <f>Y28=M28</f>
        <v>0</v>
      </c>
      <c r="AA28" s="187" t="b">
        <f>J28=K28+L28</f>
        <v>1</v>
      </c>
    </row>
    <row r="29" spans="1:28" ht="36" x14ac:dyDescent="0.2">
      <c r="A29" s="246">
        <v>27</v>
      </c>
      <c r="B29" s="246" t="s">
        <v>261</v>
      </c>
      <c r="C29" s="246" t="s">
        <v>21</v>
      </c>
      <c r="D29" s="247" t="s">
        <v>262</v>
      </c>
      <c r="E29" s="247" t="s">
        <v>263</v>
      </c>
      <c r="F29" s="248" t="s">
        <v>779</v>
      </c>
      <c r="G29" s="246" t="s">
        <v>18</v>
      </c>
      <c r="H29" s="249">
        <v>0.53</v>
      </c>
      <c r="I29" s="250" t="s">
        <v>252</v>
      </c>
      <c r="J29" s="251">
        <v>1331528.53</v>
      </c>
      <c r="K29" s="251">
        <f>J29*M29</f>
        <v>798917.11800000002</v>
      </c>
      <c r="L29" s="252">
        <f>J29-K29</f>
        <v>532611.41200000001</v>
      </c>
      <c r="M29" s="253">
        <v>0.6</v>
      </c>
      <c r="N29" s="216"/>
      <c r="O29" s="216"/>
      <c r="P29" s="254"/>
      <c r="Q29" s="254"/>
      <c r="R29" s="254">
        <f>K29</f>
        <v>798917.11800000002</v>
      </c>
      <c r="S29" s="254">
        <v>0</v>
      </c>
      <c r="T29" s="255"/>
      <c r="U29" s="255"/>
      <c r="V29" s="255"/>
      <c r="W29" s="255"/>
      <c r="X29" s="187" t="b">
        <f t="shared" ref="X29:X34" si="5">K29=SUM(N29:W29)</f>
        <v>1</v>
      </c>
      <c r="Y29" s="188">
        <f t="shared" ref="Y29:Y34" si="6">ROUND(K29/J29,4)</f>
        <v>0.6</v>
      </c>
      <c r="Z29" s="187" t="b">
        <f t="shared" ref="Z29:Z34" si="7">Y29=M29</f>
        <v>1</v>
      </c>
      <c r="AA29" s="187" t="b">
        <f t="shared" ref="AA29:AA34" si="8">J29=K29+L29</f>
        <v>1</v>
      </c>
    </row>
    <row r="30" spans="1:28" ht="24" x14ac:dyDescent="0.2">
      <c r="A30" s="218">
        <v>28</v>
      </c>
      <c r="B30" s="240" t="s">
        <v>435</v>
      </c>
      <c r="C30" s="218" t="s">
        <v>19</v>
      </c>
      <c r="D30" s="221" t="s">
        <v>436</v>
      </c>
      <c r="E30" s="221" t="s">
        <v>437</v>
      </c>
      <c r="F30" s="239" t="s">
        <v>438</v>
      </c>
      <c r="G30" s="218" t="s">
        <v>28</v>
      </c>
      <c r="H30" s="223">
        <v>0.89400000000000002</v>
      </c>
      <c r="I30" s="218" t="s">
        <v>413</v>
      </c>
      <c r="J30" s="237">
        <v>12786948</v>
      </c>
      <c r="K30" s="237">
        <v>6393474</v>
      </c>
      <c r="L30" s="235">
        <v>6393474</v>
      </c>
      <c r="M30" s="226">
        <v>0.5</v>
      </c>
      <c r="N30" s="230"/>
      <c r="O30" s="230"/>
      <c r="P30" s="227"/>
      <c r="Q30" s="227"/>
      <c r="R30" s="227">
        <v>1225000</v>
      </c>
      <c r="S30" s="227">
        <v>5168474</v>
      </c>
      <c r="T30" s="225">
        <v>0</v>
      </c>
      <c r="U30" s="255"/>
      <c r="V30" s="255"/>
      <c r="W30" s="255"/>
      <c r="X30" s="260" t="b">
        <f t="shared" si="5"/>
        <v>1</v>
      </c>
      <c r="Y30" s="261">
        <f t="shared" si="6"/>
        <v>0.5</v>
      </c>
      <c r="Z30" s="260" t="b">
        <f t="shared" si="7"/>
        <v>1</v>
      </c>
      <c r="AA30" s="260" t="b">
        <f t="shared" si="8"/>
        <v>1</v>
      </c>
    </row>
    <row r="31" spans="1:28" ht="24" x14ac:dyDescent="0.2">
      <c r="A31" s="246">
        <v>29</v>
      </c>
      <c r="B31" s="272" t="s">
        <v>439</v>
      </c>
      <c r="C31" s="246" t="s">
        <v>21</v>
      </c>
      <c r="D31" s="247" t="s">
        <v>233</v>
      </c>
      <c r="E31" s="247" t="s">
        <v>234</v>
      </c>
      <c r="F31" s="273" t="s">
        <v>440</v>
      </c>
      <c r="G31" s="246" t="s">
        <v>28</v>
      </c>
      <c r="H31" s="249">
        <v>0.65900000000000003</v>
      </c>
      <c r="I31" s="246" t="s">
        <v>236</v>
      </c>
      <c r="J31" s="251">
        <v>3846727.67</v>
      </c>
      <c r="K31" s="251">
        <v>2530140.9</v>
      </c>
      <c r="L31" s="252">
        <f>J31-K31</f>
        <v>1316586.77</v>
      </c>
      <c r="M31" s="253">
        <v>0.7</v>
      </c>
      <c r="N31" s="216"/>
      <c r="O31" s="216"/>
      <c r="P31" s="254"/>
      <c r="Q31" s="254"/>
      <c r="R31" s="254">
        <v>2530140.9</v>
      </c>
      <c r="S31" s="254">
        <v>0</v>
      </c>
      <c r="T31" s="225"/>
      <c r="U31" s="255"/>
      <c r="V31" s="255"/>
      <c r="W31" s="255"/>
      <c r="X31" s="187" t="b">
        <f t="shared" si="5"/>
        <v>1</v>
      </c>
      <c r="Y31" s="188">
        <f t="shared" si="6"/>
        <v>0.65769999999999995</v>
      </c>
      <c r="Z31" s="187" t="b">
        <f t="shared" si="7"/>
        <v>0</v>
      </c>
      <c r="AA31" s="187" t="b">
        <f t="shared" si="8"/>
        <v>1</v>
      </c>
      <c r="AB31" s="185"/>
    </row>
    <row r="32" spans="1:28" ht="24" x14ac:dyDescent="0.2">
      <c r="A32" s="246">
        <v>30</v>
      </c>
      <c r="B32" s="272" t="s">
        <v>441</v>
      </c>
      <c r="C32" s="246" t="s">
        <v>21</v>
      </c>
      <c r="D32" s="247" t="s">
        <v>442</v>
      </c>
      <c r="E32" s="247" t="s">
        <v>443</v>
      </c>
      <c r="F32" s="273" t="s">
        <v>444</v>
      </c>
      <c r="G32" s="246" t="s">
        <v>18</v>
      </c>
      <c r="H32" s="249">
        <v>2.9249999999999998</v>
      </c>
      <c r="I32" s="274" t="s">
        <v>445</v>
      </c>
      <c r="J32" s="251">
        <v>2882608</v>
      </c>
      <c r="K32" s="251">
        <f>J32*M32</f>
        <v>1441304</v>
      </c>
      <c r="L32" s="252">
        <f>J32-K32</f>
        <v>1441304</v>
      </c>
      <c r="M32" s="253">
        <v>0.5</v>
      </c>
      <c r="N32" s="216"/>
      <c r="O32" s="216"/>
      <c r="P32" s="254"/>
      <c r="Q32" s="254"/>
      <c r="R32" s="254">
        <f>K32</f>
        <v>1441304</v>
      </c>
      <c r="S32" s="254"/>
      <c r="T32" s="225"/>
      <c r="U32" s="255"/>
      <c r="V32" s="255"/>
      <c r="W32" s="255"/>
      <c r="X32" s="187" t="b">
        <f t="shared" si="5"/>
        <v>1</v>
      </c>
      <c r="Y32" s="188">
        <f t="shared" si="6"/>
        <v>0.5</v>
      </c>
      <c r="Z32" s="187" t="b">
        <f t="shared" si="7"/>
        <v>1</v>
      </c>
      <c r="AA32" s="187" t="b">
        <f t="shared" si="8"/>
        <v>1</v>
      </c>
      <c r="AB32" s="185"/>
    </row>
    <row r="33" spans="1:28" ht="24" x14ac:dyDescent="0.2">
      <c r="A33" s="246">
        <v>31</v>
      </c>
      <c r="B33" s="272" t="s">
        <v>446</v>
      </c>
      <c r="C33" s="246" t="s">
        <v>21</v>
      </c>
      <c r="D33" s="247" t="s">
        <v>447</v>
      </c>
      <c r="E33" s="247" t="s">
        <v>17</v>
      </c>
      <c r="F33" s="273" t="s">
        <v>448</v>
      </c>
      <c r="G33" s="246" t="s">
        <v>16</v>
      </c>
      <c r="H33" s="249">
        <v>1.411</v>
      </c>
      <c r="I33" s="274" t="s">
        <v>449</v>
      </c>
      <c r="J33" s="251">
        <v>3953794</v>
      </c>
      <c r="K33" s="251">
        <v>1976897</v>
      </c>
      <c r="L33" s="252">
        <v>1976897</v>
      </c>
      <c r="M33" s="253">
        <v>0.5</v>
      </c>
      <c r="N33" s="216"/>
      <c r="O33" s="216"/>
      <c r="P33" s="254"/>
      <c r="Q33" s="254"/>
      <c r="R33" s="254">
        <v>1976897</v>
      </c>
      <c r="S33" s="254"/>
      <c r="T33" s="225"/>
      <c r="U33" s="255"/>
      <c r="V33" s="255"/>
      <c r="W33" s="255"/>
      <c r="X33" s="187" t="b">
        <f t="shared" si="5"/>
        <v>1</v>
      </c>
      <c r="Y33" s="188">
        <f t="shared" si="6"/>
        <v>0.5</v>
      </c>
      <c r="Z33" s="187" t="b">
        <f t="shared" si="7"/>
        <v>1</v>
      </c>
      <c r="AA33" s="187" t="b">
        <f t="shared" si="8"/>
        <v>1</v>
      </c>
      <c r="AB33" s="185"/>
    </row>
    <row r="34" spans="1:28" s="185" customFormat="1" ht="45.75" customHeight="1" x14ac:dyDescent="0.2">
      <c r="A34" s="291" t="s">
        <v>788</v>
      </c>
      <c r="B34" s="272" t="s">
        <v>450</v>
      </c>
      <c r="C34" s="246" t="s">
        <v>21</v>
      </c>
      <c r="D34" s="247" t="s">
        <v>451</v>
      </c>
      <c r="E34" s="247" t="s">
        <v>452</v>
      </c>
      <c r="F34" s="273" t="s">
        <v>453</v>
      </c>
      <c r="G34" s="246" t="s">
        <v>16</v>
      </c>
      <c r="H34" s="249">
        <v>1.34</v>
      </c>
      <c r="I34" s="274" t="s">
        <v>211</v>
      </c>
      <c r="J34" s="251">
        <v>2265168</v>
      </c>
      <c r="K34" s="251">
        <v>1132584</v>
      </c>
      <c r="L34" s="252">
        <v>1132584</v>
      </c>
      <c r="M34" s="253">
        <v>0.5</v>
      </c>
      <c r="N34" s="216"/>
      <c r="O34" s="216"/>
      <c r="P34" s="254"/>
      <c r="Q34" s="254"/>
      <c r="R34" s="254">
        <v>1132584</v>
      </c>
      <c r="S34" s="254"/>
      <c r="T34" s="255"/>
      <c r="U34" s="255"/>
      <c r="V34" s="255"/>
      <c r="W34" s="255"/>
      <c r="X34" s="187" t="b">
        <f t="shared" si="5"/>
        <v>1</v>
      </c>
      <c r="Y34" s="188">
        <f t="shared" si="6"/>
        <v>0.5</v>
      </c>
      <c r="Z34" s="187" t="b">
        <f t="shared" si="7"/>
        <v>1</v>
      </c>
      <c r="AA34" s="187" t="b">
        <f t="shared" si="8"/>
        <v>1</v>
      </c>
    </row>
    <row r="35" spans="1:28" ht="13.9" customHeight="1" x14ac:dyDescent="0.2">
      <c r="A35" s="315" t="s">
        <v>31</v>
      </c>
      <c r="B35" s="315"/>
      <c r="C35" s="315"/>
      <c r="D35" s="315"/>
      <c r="E35" s="315"/>
      <c r="F35" s="315"/>
      <c r="G35" s="315"/>
      <c r="H35" s="158">
        <f>SUM(H3:H34)</f>
        <v>46.760000000000012</v>
      </c>
      <c r="I35" s="269" t="s">
        <v>32</v>
      </c>
      <c r="J35" s="157">
        <f>SUM(J3:J34)</f>
        <v>133881157.18000001</v>
      </c>
      <c r="K35" s="157">
        <f>SUM(K3:K34)</f>
        <v>69369709.68599999</v>
      </c>
      <c r="L35" s="157">
        <f>SUM(L3:L34)</f>
        <v>64511447.49400001</v>
      </c>
      <c r="M35" s="160" t="s">
        <v>32</v>
      </c>
      <c r="N35" s="157">
        <f t="shared" ref="N35:W35" si="9">SUM(N3:N34)</f>
        <v>0</v>
      </c>
      <c r="O35" s="157">
        <f t="shared" si="9"/>
        <v>0</v>
      </c>
      <c r="P35" s="157">
        <f t="shared" si="9"/>
        <v>0</v>
      </c>
      <c r="Q35" s="157">
        <f t="shared" si="9"/>
        <v>8464933.1999999993</v>
      </c>
      <c r="R35" s="157">
        <f t="shared" si="9"/>
        <v>46385232.245999992</v>
      </c>
      <c r="S35" s="157">
        <f>SUM(S3:S34)</f>
        <v>12648491.74</v>
      </c>
      <c r="T35" s="157">
        <f t="shared" si="9"/>
        <v>1871052.5</v>
      </c>
      <c r="U35" s="157">
        <f t="shared" si="9"/>
        <v>0</v>
      </c>
      <c r="V35" s="157">
        <f t="shared" si="9"/>
        <v>0</v>
      </c>
      <c r="W35" s="157">
        <f t="shared" si="9"/>
        <v>0</v>
      </c>
      <c r="X35" s="265"/>
      <c r="Y35" s="148"/>
      <c r="Z35" s="148"/>
      <c r="AA35" s="149"/>
    </row>
    <row r="36" spans="1:28" ht="13.9" customHeight="1" x14ac:dyDescent="0.2">
      <c r="A36" s="317" t="s">
        <v>33</v>
      </c>
      <c r="B36" s="317"/>
      <c r="C36" s="317"/>
      <c r="D36" s="317"/>
      <c r="E36" s="317"/>
      <c r="F36" s="317"/>
      <c r="G36" s="317"/>
      <c r="H36" s="161">
        <f>SUMIF($C$3:$C$34,"K",H3:H34)</f>
        <v>17.195</v>
      </c>
      <c r="I36" s="270" t="s">
        <v>32</v>
      </c>
      <c r="J36" s="155">
        <f>SUMIF($C$3:$C$34,"K",J3:J34)</f>
        <v>43531490.240000002</v>
      </c>
      <c r="K36" s="155">
        <f>SUMIF($C$3:$C$34,"K",K3:K34)</f>
        <v>19095868.5</v>
      </c>
      <c r="L36" s="155">
        <f>SUMIF($C$3:$C$34,"K",L3:L34)</f>
        <v>24435621.740000002</v>
      </c>
      <c r="M36" s="163" t="s">
        <v>32</v>
      </c>
      <c r="N36" s="155">
        <f t="shared" ref="N36:W36" si="10">SUMIF($C$3:$C$34,"K",N3:N34)</f>
        <v>0</v>
      </c>
      <c r="O36" s="155">
        <f t="shared" si="10"/>
        <v>0</v>
      </c>
      <c r="P36" s="155">
        <f t="shared" si="10"/>
        <v>0</v>
      </c>
      <c r="Q36" s="155">
        <f>SUMIF($C$3:$C$34,"K",Q3:Q34)</f>
        <v>8464933.1999999993</v>
      </c>
      <c r="R36" s="155">
        <f>SUMIF($C$3:$C$34,"K",R3:R34)</f>
        <v>10630935.300000001</v>
      </c>
      <c r="S36" s="155">
        <f>SUMIF($C$3:$C$34,"K",S3:S34)</f>
        <v>0</v>
      </c>
      <c r="T36" s="155">
        <f t="shared" si="10"/>
        <v>0</v>
      </c>
      <c r="U36" s="155">
        <f t="shared" si="10"/>
        <v>0</v>
      </c>
      <c r="V36" s="155">
        <f t="shared" si="10"/>
        <v>0</v>
      </c>
      <c r="W36" s="155">
        <f t="shared" si="10"/>
        <v>0</v>
      </c>
      <c r="X36" s="149"/>
      <c r="Y36" s="148"/>
      <c r="Z36" s="148"/>
      <c r="AA36" s="149"/>
    </row>
    <row r="37" spans="1:28" ht="13.9" customHeight="1" x14ac:dyDescent="0.2">
      <c r="A37" s="315" t="s">
        <v>34</v>
      </c>
      <c r="B37" s="315"/>
      <c r="C37" s="315"/>
      <c r="D37" s="315"/>
      <c r="E37" s="315"/>
      <c r="F37" s="315"/>
      <c r="G37" s="315"/>
      <c r="H37" s="158">
        <f>SUMIF($C$3:$C$34,"N",H3:H34)</f>
        <v>18.866</v>
      </c>
      <c r="I37" s="269" t="s">
        <v>32</v>
      </c>
      <c r="J37" s="157">
        <f>SUMIF($C$3:$C$34,"N",J3:J34)</f>
        <v>48812921.870000005</v>
      </c>
      <c r="K37" s="157">
        <f>SUMIF($C$3:$C$34,"N",K3:K34)</f>
        <v>28078463.606000002</v>
      </c>
      <c r="L37" s="157">
        <f>SUMIF($C$3:$C$34,"N",L3:L34)</f>
        <v>20734458.263999999</v>
      </c>
      <c r="M37" s="160" t="s">
        <v>32</v>
      </c>
      <c r="N37" s="157">
        <f t="shared" ref="N37:W37" si="11">SUMIF($C$3:$C$34,"N",N3:N34)</f>
        <v>0</v>
      </c>
      <c r="O37" s="157">
        <f t="shared" si="11"/>
        <v>0</v>
      </c>
      <c r="P37" s="157">
        <f t="shared" si="11"/>
        <v>0</v>
      </c>
      <c r="Q37" s="157">
        <f t="shared" si="11"/>
        <v>0</v>
      </c>
      <c r="R37" s="157">
        <f t="shared" si="11"/>
        <v>28078463.606000002</v>
      </c>
      <c r="S37" s="157">
        <f>SUMIF($C$3:$C$34,"N",S3:S34)</f>
        <v>0</v>
      </c>
      <c r="T37" s="157">
        <f t="shared" si="11"/>
        <v>0</v>
      </c>
      <c r="U37" s="157">
        <f t="shared" si="11"/>
        <v>0</v>
      </c>
      <c r="V37" s="157">
        <f t="shared" si="11"/>
        <v>0</v>
      </c>
      <c r="W37" s="157">
        <f t="shared" si="11"/>
        <v>0</v>
      </c>
      <c r="X37" s="148"/>
      <c r="Y37" s="148"/>
      <c r="Z37" s="148"/>
      <c r="AA37" s="149"/>
    </row>
    <row r="38" spans="1:28" ht="13.9" customHeight="1" x14ac:dyDescent="0.2">
      <c r="A38" s="317" t="s">
        <v>35</v>
      </c>
      <c r="B38" s="317"/>
      <c r="C38" s="317"/>
      <c r="D38" s="317"/>
      <c r="E38" s="317"/>
      <c r="F38" s="317"/>
      <c r="G38" s="317"/>
      <c r="H38" s="161">
        <f>SUMIF($C$3:$C$34,"W",H3:H34)</f>
        <v>10.699</v>
      </c>
      <c r="I38" s="270" t="s">
        <v>32</v>
      </c>
      <c r="J38" s="155">
        <f>SUMIF($C$3:$C$34,"W",J3:J34)</f>
        <v>41536745.07</v>
      </c>
      <c r="K38" s="155">
        <f>SUMIF($C$3:$C$34,"W",K3:K34)</f>
        <v>22195377.579999998</v>
      </c>
      <c r="L38" s="155">
        <f>SUMIF($C$3:$C$34,"W",L3:L34)</f>
        <v>19341367.490000002</v>
      </c>
      <c r="M38" s="163" t="s">
        <v>32</v>
      </c>
      <c r="N38" s="155">
        <f t="shared" ref="N38:W38" si="12">SUMIF($C$3:$C$34,"W",N3:N34)</f>
        <v>0</v>
      </c>
      <c r="O38" s="155">
        <f t="shared" si="12"/>
        <v>0</v>
      </c>
      <c r="P38" s="155">
        <f t="shared" si="12"/>
        <v>0</v>
      </c>
      <c r="Q38" s="155">
        <f t="shared" si="12"/>
        <v>0</v>
      </c>
      <c r="R38" s="155">
        <f t="shared" si="12"/>
        <v>7675833.3399999999</v>
      </c>
      <c r="S38" s="155">
        <f>SUMIF($C$3:$C$34,"W",S3:S34)</f>
        <v>12648491.74</v>
      </c>
      <c r="T38" s="155">
        <f t="shared" si="12"/>
        <v>1871052.5</v>
      </c>
      <c r="U38" s="155">
        <f t="shared" si="12"/>
        <v>0</v>
      </c>
      <c r="V38" s="155">
        <f t="shared" si="12"/>
        <v>0</v>
      </c>
      <c r="W38" s="180">
        <f t="shared" si="12"/>
        <v>0</v>
      </c>
      <c r="X38" s="181"/>
      <c r="Y38" s="181"/>
      <c r="Z38" s="181"/>
      <c r="AA38" s="181"/>
    </row>
    <row r="40" spans="1:28" x14ac:dyDescent="0.2">
      <c r="A40" s="150" t="s">
        <v>36</v>
      </c>
      <c r="P40" s="290"/>
      <c r="Q40" s="170"/>
      <c r="R40" s="170"/>
    </row>
    <row r="41" spans="1:28" x14ac:dyDescent="0.2">
      <c r="A41" s="164" t="s">
        <v>37</v>
      </c>
      <c r="Q41" s="170"/>
      <c r="R41" s="170"/>
      <c r="S41" s="170"/>
    </row>
    <row r="42" spans="1:28" x14ac:dyDescent="0.2">
      <c r="A42" s="150" t="s">
        <v>38</v>
      </c>
      <c r="N42" s="170"/>
      <c r="S42" s="170"/>
    </row>
    <row r="43" spans="1:28" x14ac:dyDescent="0.2">
      <c r="R43" s="170"/>
    </row>
    <row r="44" spans="1:28" x14ac:dyDescent="0.2">
      <c r="A44" s="165" t="s">
        <v>39</v>
      </c>
    </row>
  </sheetData>
  <mergeCells count="18">
    <mergeCell ref="A36:G36"/>
    <mergeCell ref="A37:G37"/>
    <mergeCell ref="A38:G38"/>
    <mergeCell ref="K1:K2"/>
    <mergeCell ref="L1:L2"/>
    <mergeCell ref="D1:D2"/>
    <mergeCell ref="E1:E2"/>
    <mergeCell ref="N1:W1"/>
    <mergeCell ref="A35:G35"/>
    <mergeCell ref="F1:F2"/>
    <mergeCell ref="G1:G2"/>
    <mergeCell ref="H1:H2"/>
    <mergeCell ref="I1:I2"/>
    <mergeCell ref="J1:J2"/>
    <mergeCell ref="A1:A2"/>
    <mergeCell ref="B1:B2"/>
    <mergeCell ref="C1:C2"/>
    <mergeCell ref="M1:M2"/>
  </mergeCells>
  <dataValidations count="3">
    <dataValidation type="list" operator="equal" allowBlank="1" showInputMessage="1" showErrorMessage="1" sqref="C3:C7" xr:uid="{00000000-0002-0000-0100-000000000000}">
      <formula1>"N,K,W"</formula1>
      <formula2>0</formula2>
    </dataValidation>
    <dataValidation type="list" operator="equal" allowBlank="1" showInputMessage="1" showErrorMessage="1" sqref="C8:C34" xr:uid="{00000000-0002-0000-0100-000001000000}">
      <formula1>"N,W"</formula1>
      <formula2>0</formula2>
    </dataValidation>
    <dataValidation type="list" operator="equal" allowBlank="1" showInputMessage="1" showErrorMessage="1" sqref="G3:G34" xr:uid="{00000000-0002-0000-0100-000002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1" fitToHeight="0" orientation="landscape" useFirstPageNumber="1" r:id="rId1"/>
  <headerFooter>
    <oddHeader>&amp;LWojewództwo Dolnośląskie- zadania powiatowe lista podstawowa</oddHeader>
    <oddFooter>&amp;C&amp;"Times New Roman,Normalny"&amp;12Strona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13"/>
  <sheetViews>
    <sheetView tabSelected="1" view="pageBreakPreview" topLeftCell="D73" zoomScale="90" zoomScaleNormal="90" zoomScaleSheetLayoutView="90" workbookViewId="0">
      <selection activeCell="P85" sqref="P85"/>
    </sheetView>
  </sheetViews>
  <sheetFormatPr defaultColWidth="8.7109375" defaultRowHeight="12.75" x14ac:dyDescent="0.2"/>
  <cols>
    <col min="1" max="1" width="6.7109375" style="150" customWidth="1"/>
    <col min="2" max="2" width="12.5703125" style="150" customWidth="1"/>
    <col min="3" max="3" width="16" style="150" customWidth="1"/>
    <col min="4" max="4" width="18.7109375" style="150" customWidth="1"/>
    <col min="5" max="5" width="11.42578125" style="150" customWidth="1"/>
    <col min="6" max="6" width="14.140625" style="150" customWidth="1"/>
    <col min="7" max="7" width="41.28515625" style="150" customWidth="1"/>
    <col min="8" max="8" width="8.7109375" style="150" customWidth="1"/>
    <col min="9" max="9" width="13.28515625" style="150" customWidth="1"/>
    <col min="10" max="10" width="13.140625" style="150" customWidth="1"/>
    <col min="11" max="11" width="15" style="150" customWidth="1"/>
    <col min="12" max="12" width="18.42578125" style="150" customWidth="1"/>
    <col min="13" max="13" width="15.28515625" style="150" customWidth="1"/>
    <col min="14" max="14" width="13.140625" style="150" customWidth="1"/>
    <col min="15" max="15" width="11.7109375" style="150" customWidth="1"/>
    <col min="16" max="16" width="16.85546875" style="150" customWidth="1"/>
    <col min="17" max="17" width="15" style="150" customWidth="1"/>
    <col min="18" max="18" width="15.85546875" style="150" customWidth="1"/>
    <col min="19" max="19" width="13.85546875" style="150" customWidth="1"/>
    <col min="20" max="20" width="14.28515625" style="150" customWidth="1"/>
    <col min="21" max="24" width="11.7109375" style="150" customWidth="1"/>
    <col min="25" max="25" width="8.7109375" style="148" customWidth="1"/>
    <col min="26" max="26" width="8.7109375" style="190" customWidth="1"/>
    <col min="27" max="28" width="8.7109375" style="148" customWidth="1"/>
    <col min="29" max="29" width="9.28515625" style="152" customWidth="1"/>
    <col min="30" max="49" width="8.7109375" style="152" customWidth="1"/>
    <col min="50" max="16384" width="8.7109375" style="150"/>
  </cols>
  <sheetData>
    <row r="1" spans="1:49" ht="22.15" customHeight="1" x14ac:dyDescent="0.2">
      <c r="A1" s="318" t="s">
        <v>0</v>
      </c>
      <c r="B1" s="318" t="s">
        <v>1</v>
      </c>
      <c r="C1" s="321" t="s">
        <v>2</v>
      </c>
      <c r="D1" s="318" t="s">
        <v>3</v>
      </c>
      <c r="E1" s="318" t="s">
        <v>4</v>
      </c>
      <c r="F1" s="318" t="s">
        <v>40</v>
      </c>
      <c r="G1" s="318" t="s">
        <v>5</v>
      </c>
      <c r="H1" s="318" t="s">
        <v>6</v>
      </c>
      <c r="I1" s="318" t="s">
        <v>93</v>
      </c>
      <c r="J1" s="318" t="s">
        <v>7</v>
      </c>
      <c r="K1" s="318" t="s">
        <v>92</v>
      </c>
      <c r="L1" s="318" t="s">
        <v>91</v>
      </c>
      <c r="M1" s="318" t="s">
        <v>8</v>
      </c>
      <c r="N1" s="318" t="s">
        <v>9</v>
      </c>
      <c r="O1" s="318" t="s">
        <v>10</v>
      </c>
      <c r="P1" s="318"/>
      <c r="Q1" s="318"/>
      <c r="R1" s="318"/>
      <c r="S1" s="318"/>
      <c r="T1" s="318"/>
      <c r="U1" s="318"/>
      <c r="V1" s="318"/>
      <c r="W1" s="318"/>
      <c r="X1" s="318"/>
      <c r="Y1" s="187"/>
      <c r="Z1" s="188"/>
      <c r="AA1" s="187"/>
      <c r="AB1" s="187"/>
    </row>
    <row r="2" spans="1:49" ht="22.15" customHeight="1" x14ac:dyDescent="0.2">
      <c r="A2" s="318"/>
      <c r="B2" s="318"/>
      <c r="C2" s="321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268">
        <v>2019</v>
      </c>
      <c r="P2" s="268">
        <v>2020</v>
      </c>
      <c r="Q2" s="268">
        <v>2021</v>
      </c>
      <c r="R2" s="268">
        <v>2022</v>
      </c>
      <c r="S2" s="268">
        <v>2023</v>
      </c>
      <c r="T2" s="268">
        <v>2024</v>
      </c>
      <c r="U2" s="268">
        <v>2025</v>
      </c>
      <c r="V2" s="268">
        <v>2026</v>
      </c>
      <c r="W2" s="268">
        <v>2027</v>
      </c>
      <c r="X2" s="268">
        <v>2028</v>
      </c>
      <c r="Y2" s="187" t="s">
        <v>11</v>
      </c>
      <c r="Z2" s="188" t="s">
        <v>12</v>
      </c>
      <c r="AA2" s="187" t="s">
        <v>13</v>
      </c>
      <c r="AB2" s="187" t="s">
        <v>14</v>
      </c>
    </row>
    <row r="3" spans="1:49" ht="24" x14ac:dyDescent="0.2">
      <c r="A3" s="232">
        <v>1</v>
      </c>
      <c r="B3" s="218" t="s">
        <v>57</v>
      </c>
      <c r="C3" s="275" t="s">
        <v>15</v>
      </c>
      <c r="D3" s="220" t="s">
        <v>58</v>
      </c>
      <c r="E3" s="221" t="s">
        <v>59</v>
      </c>
      <c r="F3" s="218" t="s">
        <v>43</v>
      </c>
      <c r="G3" s="228" t="s">
        <v>60</v>
      </c>
      <c r="H3" s="218" t="s">
        <v>16</v>
      </c>
      <c r="I3" s="223">
        <v>2.9620000000000002</v>
      </c>
      <c r="J3" s="218" t="s">
        <v>61</v>
      </c>
      <c r="K3" s="224">
        <v>2515583.89</v>
      </c>
      <c r="L3" s="276">
        <v>1509350.33</v>
      </c>
      <c r="M3" s="224">
        <v>1006233.56</v>
      </c>
      <c r="N3" s="226">
        <v>0.6</v>
      </c>
      <c r="O3" s="182">
        <v>0</v>
      </c>
      <c r="P3" s="182">
        <v>0</v>
      </c>
      <c r="Q3" s="229">
        <v>241496.05</v>
      </c>
      <c r="R3" s="229">
        <v>633927.14</v>
      </c>
      <c r="S3" s="229">
        <v>633927.14</v>
      </c>
      <c r="T3" s="229"/>
      <c r="U3" s="229"/>
      <c r="V3" s="229"/>
      <c r="W3" s="229"/>
      <c r="X3" s="230"/>
      <c r="Y3" s="187" t="b">
        <f t="shared" ref="Y3:Y13" si="0">L3=SUM(O3:X3)</f>
        <v>1</v>
      </c>
      <c r="Z3" s="188">
        <f t="shared" ref="Z3:Z13" si="1">ROUND(L3/K3,4)</f>
        <v>0.6</v>
      </c>
      <c r="AA3" s="187" t="b">
        <f t="shared" ref="AA3:AA13" si="2">Z3=N3</f>
        <v>1</v>
      </c>
      <c r="AB3" s="187" t="b">
        <f t="shared" ref="AB3:AB13" si="3">K3=L3+M3</f>
        <v>1</v>
      </c>
    </row>
    <row r="4" spans="1:49" s="164" customFormat="1" ht="53.25" customHeight="1" x14ac:dyDescent="0.2">
      <c r="A4" s="232">
        <v>2</v>
      </c>
      <c r="B4" s="218" t="s">
        <v>117</v>
      </c>
      <c r="C4" s="219" t="s">
        <v>15</v>
      </c>
      <c r="D4" s="220" t="s">
        <v>64</v>
      </c>
      <c r="E4" s="221" t="s">
        <v>646</v>
      </c>
      <c r="F4" s="218" t="s">
        <v>53</v>
      </c>
      <c r="G4" s="222" t="s">
        <v>191</v>
      </c>
      <c r="H4" s="218" t="s">
        <v>16</v>
      </c>
      <c r="I4" s="223">
        <v>2.3170000000000002</v>
      </c>
      <c r="J4" s="218" t="s">
        <v>142</v>
      </c>
      <c r="K4" s="224">
        <v>4021886</v>
      </c>
      <c r="L4" s="224">
        <v>1919050</v>
      </c>
      <c r="M4" s="225">
        <f t="shared" ref="M4:M10" si="4">K4-L4</f>
        <v>2102836</v>
      </c>
      <c r="N4" s="226">
        <v>0.5</v>
      </c>
      <c r="O4" s="182"/>
      <c r="P4" s="182"/>
      <c r="Q4" s="183"/>
      <c r="R4" s="183">
        <v>50000</v>
      </c>
      <c r="S4" s="183">
        <v>1869050</v>
      </c>
      <c r="T4" s="183"/>
      <c r="U4" s="183"/>
      <c r="V4" s="183"/>
      <c r="W4" s="183"/>
      <c r="X4" s="227"/>
      <c r="Y4" s="187" t="b">
        <f t="shared" si="0"/>
        <v>1</v>
      </c>
      <c r="Z4" s="188">
        <f t="shared" si="1"/>
        <v>0.47720000000000001</v>
      </c>
      <c r="AA4" s="187" t="b">
        <f t="shared" si="2"/>
        <v>0</v>
      </c>
      <c r="AB4" s="187" t="b">
        <f t="shared" si="3"/>
        <v>1</v>
      </c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84"/>
      <c r="AP4" s="184"/>
      <c r="AQ4" s="184"/>
      <c r="AR4" s="184"/>
      <c r="AS4" s="184"/>
      <c r="AT4" s="184"/>
      <c r="AU4" s="184"/>
      <c r="AV4" s="184"/>
      <c r="AW4" s="184"/>
    </row>
    <row r="5" spans="1:49" s="164" customFormat="1" ht="24" x14ac:dyDescent="0.2">
      <c r="A5" s="232">
        <v>3</v>
      </c>
      <c r="B5" s="218" t="s">
        <v>118</v>
      </c>
      <c r="C5" s="219" t="s">
        <v>15</v>
      </c>
      <c r="D5" s="220" t="s">
        <v>131</v>
      </c>
      <c r="E5" s="221" t="s">
        <v>352</v>
      </c>
      <c r="F5" s="218" t="s">
        <v>41</v>
      </c>
      <c r="G5" s="222" t="s">
        <v>143</v>
      </c>
      <c r="H5" s="218" t="s">
        <v>18</v>
      </c>
      <c r="I5" s="223">
        <v>1.2470000000000001</v>
      </c>
      <c r="J5" s="218" t="s">
        <v>144</v>
      </c>
      <c r="K5" s="224">
        <v>2297392.48</v>
      </c>
      <c r="L5" s="224">
        <v>935811.5</v>
      </c>
      <c r="M5" s="225">
        <f t="shared" si="4"/>
        <v>1361580.98</v>
      </c>
      <c r="N5" s="226">
        <v>0.5</v>
      </c>
      <c r="O5" s="182"/>
      <c r="P5" s="182"/>
      <c r="Q5" s="183"/>
      <c r="R5" s="183">
        <v>335811.5</v>
      </c>
      <c r="S5" s="183">
        <v>600000</v>
      </c>
      <c r="T5" s="183"/>
      <c r="U5" s="183"/>
      <c r="V5" s="183"/>
      <c r="W5" s="183"/>
      <c r="X5" s="227"/>
      <c r="Y5" s="187" t="b">
        <f t="shared" si="0"/>
        <v>1</v>
      </c>
      <c r="Z5" s="188">
        <f t="shared" si="1"/>
        <v>0.4073</v>
      </c>
      <c r="AA5" s="187" t="b">
        <f t="shared" si="2"/>
        <v>0</v>
      </c>
      <c r="AB5" s="187" t="b">
        <f t="shared" si="3"/>
        <v>1</v>
      </c>
      <c r="AC5" s="184"/>
      <c r="AD5" s="184"/>
      <c r="AE5" s="184"/>
      <c r="AF5" s="184"/>
      <c r="AG5" s="184"/>
      <c r="AH5" s="184"/>
      <c r="AI5" s="184"/>
      <c r="AJ5" s="184"/>
      <c r="AK5" s="184"/>
      <c r="AL5" s="184"/>
      <c r="AM5" s="184"/>
      <c r="AN5" s="184"/>
      <c r="AO5" s="184"/>
      <c r="AP5" s="184"/>
      <c r="AQ5" s="184"/>
      <c r="AR5" s="184"/>
      <c r="AS5" s="184"/>
      <c r="AT5" s="184"/>
      <c r="AU5" s="184"/>
      <c r="AV5" s="184"/>
      <c r="AW5" s="184"/>
    </row>
    <row r="6" spans="1:49" s="164" customFormat="1" ht="24" x14ac:dyDescent="0.2">
      <c r="A6" s="232">
        <v>4</v>
      </c>
      <c r="B6" s="218" t="s">
        <v>119</v>
      </c>
      <c r="C6" s="219" t="s">
        <v>15</v>
      </c>
      <c r="D6" s="220" t="s">
        <v>132</v>
      </c>
      <c r="E6" s="221" t="s">
        <v>647</v>
      </c>
      <c r="F6" s="218" t="s">
        <v>43</v>
      </c>
      <c r="G6" s="244" t="s">
        <v>193</v>
      </c>
      <c r="H6" s="245" t="s">
        <v>16</v>
      </c>
      <c r="I6" s="223">
        <v>0.52700000000000002</v>
      </c>
      <c r="J6" s="218" t="s">
        <v>145</v>
      </c>
      <c r="K6" s="224">
        <v>1193066.8999999999</v>
      </c>
      <c r="L6" s="224">
        <v>954453.52</v>
      </c>
      <c r="M6" s="225">
        <f>K6-L6</f>
        <v>238613.37999999989</v>
      </c>
      <c r="N6" s="226">
        <v>0.8</v>
      </c>
      <c r="O6" s="182"/>
      <c r="P6" s="182"/>
      <c r="Q6" s="183"/>
      <c r="R6" s="183">
        <f>L6-S6</f>
        <v>519485.42000000004</v>
      </c>
      <c r="S6" s="183">
        <v>434968.1</v>
      </c>
      <c r="T6" s="183"/>
      <c r="U6" s="183"/>
      <c r="V6" s="183"/>
      <c r="W6" s="183"/>
      <c r="X6" s="227"/>
      <c r="Y6" s="187" t="b">
        <f t="shared" si="0"/>
        <v>1</v>
      </c>
      <c r="Z6" s="188">
        <f t="shared" si="1"/>
        <v>0.8</v>
      </c>
      <c r="AA6" s="187" t="b">
        <f t="shared" si="2"/>
        <v>1</v>
      </c>
      <c r="AB6" s="187" t="b">
        <f t="shared" si="3"/>
        <v>1</v>
      </c>
      <c r="AC6" s="184"/>
      <c r="AD6" s="184"/>
      <c r="AE6" s="184"/>
      <c r="AF6" s="184"/>
      <c r="AG6" s="184"/>
      <c r="AH6" s="184"/>
      <c r="AI6" s="184"/>
      <c r="AJ6" s="184"/>
      <c r="AK6" s="184"/>
      <c r="AL6" s="184"/>
      <c r="AM6" s="184"/>
      <c r="AN6" s="184"/>
      <c r="AO6" s="184"/>
      <c r="AP6" s="184"/>
      <c r="AQ6" s="184"/>
      <c r="AR6" s="184"/>
      <c r="AS6" s="184"/>
      <c r="AT6" s="184"/>
      <c r="AU6" s="184"/>
      <c r="AV6" s="184"/>
      <c r="AW6" s="184"/>
    </row>
    <row r="7" spans="1:49" s="164" customFormat="1" ht="36" x14ac:dyDescent="0.2">
      <c r="A7" s="232">
        <v>5</v>
      </c>
      <c r="B7" s="218" t="s">
        <v>120</v>
      </c>
      <c r="C7" s="219" t="s">
        <v>15</v>
      </c>
      <c r="D7" s="220" t="s">
        <v>133</v>
      </c>
      <c r="E7" s="221" t="s">
        <v>648</v>
      </c>
      <c r="F7" s="218" t="s">
        <v>41</v>
      </c>
      <c r="G7" s="228" t="s">
        <v>146</v>
      </c>
      <c r="H7" s="218" t="s">
        <v>28</v>
      </c>
      <c r="I7" s="223">
        <v>0.97899999999999998</v>
      </c>
      <c r="J7" s="218" t="s">
        <v>147</v>
      </c>
      <c r="K7" s="224">
        <v>11110603.439999999</v>
      </c>
      <c r="L7" s="224">
        <v>4150000</v>
      </c>
      <c r="M7" s="225">
        <f>K7-L7</f>
        <v>6960603.4399999995</v>
      </c>
      <c r="N7" s="226">
        <v>0.5</v>
      </c>
      <c r="O7" s="182"/>
      <c r="P7" s="182"/>
      <c r="Q7" s="183"/>
      <c r="R7" s="183">
        <v>650000</v>
      </c>
      <c r="S7" s="183">
        <v>2000000</v>
      </c>
      <c r="T7" s="183">
        <v>1500000</v>
      </c>
      <c r="U7" s="183"/>
      <c r="V7" s="183"/>
      <c r="W7" s="183"/>
      <c r="X7" s="227"/>
      <c r="Y7" s="187" t="b">
        <f t="shared" si="0"/>
        <v>1</v>
      </c>
      <c r="Z7" s="188">
        <f t="shared" si="1"/>
        <v>0.3735</v>
      </c>
      <c r="AA7" s="187" t="b">
        <f t="shared" si="2"/>
        <v>0</v>
      </c>
      <c r="AB7" s="187" t="b">
        <f t="shared" si="3"/>
        <v>1</v>
      </c>
      <c r="AC7" s="184"/>
      <c r="AD7" s="184"/>
      <c r="AE7" s="184"/>
      <c r="AF7" s="184"/>
      <c r="AG7" s="184"/>
      <c r="AH7" s="184"/>
      <c r="AI7" s="184"/>
      <c r="AJ7" s="184"/>
      <c r="AK7" s="184"/>
      <c r="AL7" s="184"/>
      <c r="AM7" s="184"/>
      <c r="AN7" s="184"/>
      <c r="AO7" s="184"/>
      <c r="AP7" s="184"/>
      <c r="AQ7" s="184"/>
      <c r="AR7" s="184"/>
      <c r="AS7" s="184"/>
      <c r="AT7" s="184"/>
      <c r="AU7" s="184"/>
      <c r="AV7" s="184"/>
      <c r="AW7" s="184"/>
    </row>
    <row r="8" spans="1:49" s="164" customFormat="1" ht="24" x14ac:dyDescent="0.2">
      <c r="A8" s="232">
        <v>6</v>
      </c>
      <c r="B8" s="218" t="s">
        <v>121</v>
      </c>
      <c r="C8" s="219" t="s">
        <v>15</v>
      </c>
      <c r="D8" s="220" t="s">
        <v>134</v>
      </c>
      <c r="E8" s="221" t="s">
        <v>649</v>
      </c>
      <c r="F8" s="218" t="s">
        <v>75</v>
      </c>
      <c r="G8" s="222" t="s">
        <v>192</v>
      </c>
      <c r="H8" s="218" t="s">
        <v>16</v>
      </c>
      <c r="I8" s="223">
        <v>0.57399999999999995</v>
      </c>
      <c r="J8" s="218" t="s">
        <v>144</v>
      </c>
      <c r="K8" s="224">
        <v>2048985.88</v>
      </c>
      <c r="L8" s="224">
        <v>764134.79999999993</v>
      </c>
      <c r="M8" s="225">
        <f t="shared" si="4"/>
        <v>1284851.08</v>
      </c>
      <c r="N8" s="226">
        <v>0.6</v>
      </c>
      <c r="O8" s="182"/>
      <c r="P8" s="182"/>
      <c r="Q8" s="183"/>
      <c r="R8" s="183">
        <v>575640</v>
      </c>
      <c r="S8" s="183">
        <v>188494.8</v>
      </c>
      <c r="T8" s="183"/>
      <c r="U8" s="183"/>
      <c r="V8" s="183"/>
      <c r="W8" s="183"/>
      <c r="X8" s="227"/>
      <c r="Y8" s="187" t="b">
        <f t="shared" si="0"/>
        <v>1</v>
      </c>
      <c r="Z8" s="188">
        <f t="shared" si="1"/>
        <v>0.37290000000000001</v>
      </c>
      <c r="AA8" s="187" t="b">
        <f t="shared" si="2"/>
        <v>0</v>
      </c>
      <c r="AB8" s="187" t="b">
        <f t="shared" si="3"/>
        <v>1</v>
      </c>
      <c r="AC8" s="184"/>
      <c r="AD8" s="184"/>
      <c r="AE8" s="184"/>
      <c r="AF8" s="184"/>
      <c r="AG8" s="184"/>
      <c r="AH8" s="184"/>
      <c r="AI8" s="184"/>
      <c r="AJ8" s="184"/>
      <c r="AK8" s="184"/>
      <c r="AL8" s="184"/>
      <c r="AM8" s="184"/>
      <c r="AN8" s="184"/>
      <c r="AO8" s="184"/>
      <c r="AP8" s="184"/>
      <c r="AQ8" s="184"/>
      <c r="AR8" s="184"/>
      <c r="AS8" s="184"/>
      <c r="AT8" s="184"/>
      <c r="AU8" s="184"/>
      <c r="AV8" s="184"/>
      <c r="AW8" s="184"/>
    </row>
    <row r="9" spans="1:49" s="164" customFormat="1" ht="24" x14ac:dyDescent="0.2">
      <c r="A9" s="232">
        <v>7</v>
      </c>
      <c r="B9" s="218" t="s">
        <v>122</v>
      </c>
      <c r="C9" s="219" t="s">
        <v>15</v>
      </c>
      <c r="D9" s="220" t="s">
        <v>135</v>
      </c>
      <c r="E9" s="221" t="s">
        <v>650</v>
      </c>
      <c r="F9" s="218" t="s">
        <v>63</v>
      </c>
      <c r="G9" s="228" t="s">
        <v>148</v>
      </c>
      <c r="H9" s="218" t="s">
        <v>16</v>
      </c>
      <c r="I9" s="223">
        <v>2.181</v>
      </c>
      <c r="J9" s="218" t="s">
        <v>149</v>
      </c>
      <c r="K9" s="224">
        <v>12897244.939999999</v>
      </c>
      <c r="L9" s="224">
        <v>7968064</v>
      </c>
      <c r="M9" s="225">
        <v>4929180.9399999995</v>
      </c>
      <c r="N9" s="226">
        <v>0.8</v>
      </c>
      <c r="O9" s="182"/>
      <c r="P9" s="182"/>
      <c r="Q9" s="183"/>
      <c r="R9" s="183">
        <v>2800000</v>
      </c>
      <c r="S9" s="183">
        <v>5168064</v>
      </c>
      <c r="T9" s="183"/>
      <c r="U9" s="183"/>
      <c r="V9" s="183"/>
      <c r="W9" s="183"/>
      <c r="X9" s="227"/>
      <c r="Y9" s="187" t="b">
        <f t="shared" si="0"/>
        <v>1</v>
      </c>
      <c r="Z9" s="188">
        <f t="shared" si="1"/>
        <v>0.61780000000000002</v>
      </c>
      <c r="AA9" s="187" t="b">
        <f t="shared" si="2"/>
        <v>0</v>
      </c>
      <c r="AB9" s="187" t="b">
        <f t="shared" si="3"/>
        <v>1</v>
      </c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</row>
    <row r="10" spans="1:49" s="164" customFormat="1" ht="24" x14ac:dyDescent="0.2">
      <c r="A10" s="232">
        <v>8</v>
      </c>
      <c r="B10" s="218" t="s">
        <v>123</v>
      </c>
      <c r="C10" s="219" t="s">
        <v>15</v>
      </c>
      <c r="D10" s="220" t="s">
        <v>136</v>
      </c>
      <c r="E10" s="221" t="s">
        <v>651</v>
      </c>
      <c r="F10" s="218" t="s">
        <v>45</v>
      </c>
      <c r="G10" s="228" t="s">
        <v>150</v>
      </c>
      <c r="H10" s="218" t="s">
        <v>16</v>
      </c>
      <c r="I10" s="223">
        <v>0.58399999999999996</v>
      </c>
      <c r="J10" s="234" t="s">
        <v>151</v>
      </c>
      <c r="K10" s="224">
        <v>9045573.0399999991</v>
      </c>
      <c r="L10" s="224">
        <v>4211962.8</v>
      </c>
      <c r="M10" s="225">
        <f t="shared" si="4"/>
        <v>4833610.2399999993</v>
      </c>
      <c r="N10" s="226">
        <v>0.6</v>
      </c>
      <c r="O10" s="182"/>
      <c r="P10" s="182"/>
      <c r="Q10" s="183"/>
      <c r="R10" s="183">
        <v>900000</v>
      </c>
      <c r="S10" s="183">
        <v>3311962.8</v>
      </c>
      <c r="T10" s="183"/>
      <c r="U10" s="183"/>
      <c r="V10" s="183"/>
      <c r="W10" s="183"/>
      <c r="X10" s="227"/>
      <c r="Y10" s="187" t="b">
        <f t="shared" si="0"/>
        <v>1</v>
      </c>
      <c r="Z10" s="188">
        <f t="shared" si="1"/>
        <v>0.46560000000000001</v>
      </c>
      <c r="AA10" s="187" t="b">
        <f t="shared" si="2"/>
        <v>0</v>
      </c>
      <c r="AB10" s="187" t="b">
        <f t="shared" si="3"/>
        <v>1</v>
      </c>
      <c r="AC10" s="184"/>
      <c r="AD10" s="184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84"/>
      <c r="AS10" s="184"/>
      <c r="AT10" s="184"/>
      <c r="AU10" s="184"/>
      <c r="AV10" s="184"/>
      <c r="AW10" s="184"/>
    </row>
    <row r="11" spans="1:49" s="164" customFormat="1" ht="24" x14ac:dyDescent="0.2">
      <c r="A11" s="232">
        <v>9</v>
      </c>
      <c r="B11" s="218" t="s">
        <v>124</v>
      </c>
      <c r="C11" s="219" t="s">
        <v>15</v>
      </c>
      <c r="D11" s="220" t="s">
        <v>49</v>
      </c>
      <c r="E11" s="221" t="s">
        <v>652</v>
      </c>
      <c r="F11" s="218" t="s">
        <v>41</v>
      </c>
      <c r="G11" s="222" t="s">
        <v>152</v>
      </c>
      <c r="H11" s="218" t="s">
        <v>16</v>
      </c>
      <c r="I11" s="223">
        <v>2.7120000000000002</v>
      </c>
      <c r="J11" s="218" t="s">
        <v>153</v>
      </c>
      <c r="K11" s="224">
        <v>8834000</v>
      </c>
      <c r="L11" s="224">
        <v>4364472.8</v>
      </c>
      <c r="M11" s="225">
        <f t="shared" ref="M11:M19" si="5">K11-L11</f>
        <v>4469527.2</v>
      </c>
      <c r="N11" s="226">
        <v>0.8</v>
      </c>
      <c r="O11" s="182"/>
      <c r="P11" s="182"/>
      <c r="Q11" s="183"/>
      <c r="R11" s="183">
        <f>L11-S11</f>
        <v>2073124.4</v>
      </c>
      <c r="S11" s="183">
        <v>2291348.4</v>
      </c>
      <c r="T11" s="183"/>
      <c r="U11" s="183"/>
      <c r="V11" s="183"/>
      <c r="W11" s="183"/>
      <c r="X11" s="227"/>
      <c r="Y11" s="187" t="b">
        <f t="shared" si="0"/>
        <v>1</v>
      </c>
      <c r="Z11" s="188">
        <f t="shared" si="1"/>
        <v>0.49409999999999998</v>
      </c>
      <c r="AA11" s="187" t="b">
        <f t="shared" si="2"/>
        <v>0</v>
      </c>
      <c r="AB11" s="187" t="b">
        <f t="shared" si="3"/>
        <v>1</v>
      </c>
      <c r="AC11" s="184"/>
      <c r="AD11" s="184"/>
      <c r="AE11" s="184"/>
      <c r="AF11" s="184"/>
      <c r="AG11" s="184"/>
      <c r="AH11" s="184"/>
      <c r="AI11" s="184"/>
      <c r="AJ11" s="184"/>
      <c r="AK11" s="184"/>
      <c r="AL11" s="184"/>
      <c r="AM11" s="184"/>
      <c r="AN11" s="184"/>
      <c r="AO11" s="184"/>
      <c r="AP11" s="184"/>
      <c r="AQ11" s="184"/>
      <c r="AR11" s="184"/>
      <c r="AS11" s="184"/>
      <c r="AT11" s="184"/>
      <c r="AU11" s="184"/>
      <c r="AV11" s="184"/>
      <c r="AW11" s="184"/>
    </row>
    <row r="12" spans="1:49" s="164" customFormat="1" ht="24" x14ac:dyDescent="0.2">
      <c r="A12" s="232">
        <v>10</v>
      </c>
      <c r="B12" s="218" t="s">
        <v>125</v>
      </c>
      <c r="C12" s="219" t="s">
        <v>15</v>
      </c>
      <c r="D12" s="220" t="s">
        <v>73</v>
      </c>
      <c r="E12" s="221" t="s">
        <v>653</v>
      </c>
      <c r="F12" s="218" t="s">
        <v>56</v>
      </c>
      <c r="G12" s="222" t="s">
        <v>194</v>
      </c>
      <c r="H12" s="218" t="s">
        <v>16</v>
      </c>
      <c r="I12" s="223">
        <v>0.63800000000000001</v>
      </c>
      <c r="J12" s="218" t="s">
        <v>154</v>
      </c>
      <c r="K12" s="224">
        <v>2726220.01</v>
      </c>
      <c r="L12" s="224">
        <v>1908354</v>
      </c>
      <c r="M12" s="225">
        <v>817866.00999999978</v>
      </c>
      <c r="N12" s="226">
        <v>0.7</v>
      </c>
      <c r="O12" s="182"/>
      <c r="P12" s="182"/>
      <c r="Q12" s="183"/>
      <c r="R12" s="183">
        <v>1413372.4</v>
      </c>
      <c r="S12" s="183">
        <v>494981.6</v>
      </c>
      <c r="T12" s="183"/>
      <c r="U12" s="183"/>
      <c r="V12" s="183"/>
      <c r="W12" s="183"/>
      <c r="X12" s="227"/>
      <c r="Y12" s="187" t="b">
        <f t="shared" si="0"/>
        <v>1</v>
      </c>
      <c r="Z12" s="188">
        <f t="shared" si="1"/>
        <v>0.7</v>
      </c>
      <c r="AA12" s="187" t="b">
        <f t="shared" si="2"/>
        <v>1</v>
      </c>
      <c r="AB12" s="187" t="b">
        <f t="shared" si="3"/>
        <v>1</v>
      </c>
      <c r="AC12" s="184"/>
      <c r="AD12" s="184"/>
      <c r="AE12" s="184"/>
      <c r="AF12" s="184"/>
      <c r="AG12" s="184"/>
      <c r="AH12" s="184"/>
      <c r="AI12" s="184"/>
      <c r="AJ12" s="184"/>
      <c r="AK12" s="184"/>
      <c r="AL12" s="184"/>
      <c r="AM12" s="184"/>
      <c r="AN12" s="184"/>
      <c r="AO12" s="184"/>
      <c r="AP12" s="184"/>
      <c r="AQ12" s="184"/>
      <c r="AR12" s="184"/>
      <c r="AS12" s="184"/>
      <c r="AT12" s="184"/>
      <c r="AU12" s="184"/>
      <c r="AV12" s="184"/>
      <c r="AW12" s="184"/>
    </row>
    <row r="13" spans="1:49" s="164" customFormat="1" ht="24" x14ac:dyDescent="0.2">
      <c r="A13" s="232">
        <v>11</v>
      </c>
      <c r="B13" s="218" t="s">
        <v>126</v>
      </c>
      <c r="C13" s="219" t="s">
        <v>15</v>
      </c>
      <c r="D13" s="220" t="s">
        <v>73</v>
      </c>
      <c r="E13" s="221" t="s">
        <v>653</v>
      </c>
      <c r="F13" s="218" t="s">
        <v>56</v>
      </c>
      <c r="G13" s="222" t="s">
        <v>155</v>
      </c>
      <c r="H13" s="218" t="s">
        <v>18</v>
      </c>
      <c r="I13" s="223">
        <v>0.85699999999999998</v>
      </c>
      <c r="J13" s="218" t="s">
        <v>154</v>
      </c>
      <c r="K13" s="224">
        <v>1799900</v>
      </c>
      <c r="L13" s="224">
        <v>931320</v>
      </c>
      <c r="M13" s="225">
        <v>868580</v>
      </c>
      <c r="N13" s="226">
        <v>0.6</v>
      </c>
      <c r="O13" s="182"/>
      <c r="P13" s="182"/>
      <c r="Q13" s="183"/>
      <c r="R13" s="183">
        <f>L13-S13</f>
        <v>505220</v>
      </c>
      <c r="S13" s="183">
        <v>426100</v>
      </c>
      <c r="T13" s="183"/>
      <c r="U13" s="183"/>
      <c r="V13" s="183"/>
      <c r="W13" s="183"/>
      <c r="X13" s="227"/>
      <c r="Y13" s="187" t="b">
        <f t="shared" si="0"/>
        <v>1</v>
      </c>
      <c r="Z13" s="188">
        <f t="shared" si="1"/>
        <v>0.51739999999999997</v>
      </c>
      <c r="AA13" s="187" t="b">
        <f t="shared" si="2"/>
        <v>0</v>
      </c>
      <c r="AB13" s="187" t="b">
        <f t="shared" si="3"/>
        <v>1</v>
      </c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4"/>
      <c r="AU13" s="184"/>
      <c r="AV13" s="184"/>
      <c r="AW13" s="184"/>
    </row>
    <row r="14" spans="1:49" s="164" customFormat="1" ht="24" x14ac:dyDescent="0.2">
      <c r="A14" s="232">
        <v>12</v>
      </c>
      <c r="B14" s="218" t="s">
        <v>127</v>
      </c>
      <c r="C14" s="219" t="s">
        <v>15</v>
      </c>
      <c r="D14" s="220" t="s">
        <v>50</v>
      </c>
      <c r="E14" s="221" t="s">
        <v>654</v>
      </c>
      <c r="F14" s="218" t="s">
        <v>51</v>
      </c>
      <c r="G14" s="228" t="s">
        <v>156</v>
      </c>
      <c r="H14" s="218" t="s">
        <v>28</v>
      </c>
      <c r="I14" s="223">
        <v>1.51</v>
      </c>
      <c r="J14" s="218" t="s">
        <v>157</v>
      </c>
      <c r="K14" s="224">
        <v>5891817.9800000004</v>
      </c>
      <c r="L14" s="224">
        <v>2945908.99</v>
      </c>
      <c r="M14" s="225">
        <v>2945908.99</v>
      </c>
      <c r="N14" s="226">
        <v>0.5</v>
      </c>
      <c r="O14" s="182"/>
      <c r="P14" s="182"/>
      <c r="Q14" s="183"/>
      <c r="R14" s="183">
        <v>980262</v>
      </c>
      <c r="S14" s="183">
        <v>1965646.99</v>
      </c>
      <c r="T14" s="183"/>
      <c r="U14" s="183"/>
      <c r="V14" s="183"/>
      <c r="W14" s="183"/>
      <c r="X14" s="227"/>
      <c r="Y14" s="187" t="b">
        <f t="shared" ref="Y14:Y76" si="6">L14=SUM(O14:X14)</f>
        <v>1</v>
      </c>
      <c r="Z14" s="188">
        <f t="shared" ref="Z14:Z76" si="7">ROUND(L14/K14,4)</f>
        <v>0.5</v>
      </c>
      <c r="AA14" s="187" t="b">
        <f t="shared" ref="AA14:AA76" si="8">Z14=N14</f>
        <v>1</v>
      </c>
      <c r="AB14" s="187" t="b">
        <f t="shared" ref="AB14:AB76" si="9">K14=L14+M14</f>
        <v>1</v>
      </c>
      <c r="AC14" s="184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4"/>
      <c r="AU14" s="184"/>
      <c r="AV14" s="184"/>
      <c r="AW14" s="184"/>
    </row>
    <row r="15" spans="1:49" s="164" customFormat="1" ht="28.5" customHeight="1" x14ac:dyDescent="0.2">
      <c r="A15" s="232">
        <v>13</v>
      </c>
      <c r="B15" s="218" t="s">
        <v>128</v>
      </c>
      <c r="C15" s="219" t="s">
        <v>15</v>
      </c>
      <c r="D15" s="220" t="s">
        <v>140</v>
      </c>
      <c r="E15" s="221" t="s">
        <v>655</v>
      </c>
      <c r="F15" s="218" t="s">
        <v>44</v>
      </c>
      <c r="G15" s="222" t="s">
        <v>158</v>
      </c>
      <c r="H15" s="218" t="s">
        <v>16</v>
      </c>
      <c r="I15" s="223">
        <v>1.841</v>
      </c>
      <c r="J15" s="218" t="s">
        <v>153</v>
      </c>
      <c r="K15" s="224">
        <v>2240673.73</v>
      </c>
      <c r="L15" s="224">
        <v>1120336.8600000001</v>
      </c>
      <c r="M15" s="225">
        <v>1120336.8699999999</v>
      </c>
      <c r="N15" s="226">
        <v>0.5</v>
      </c>
      <c r="O15" s="182"/>
      <c r="P15" s="182"/>
      <c r="Q15" s="183"/>
      <c r="R15" s="183">
        <v>719931.5</v>
      </c>
      <c r="S15" s="183">
        <v>400405.36</v>
      </c>
      <c r="T15" s="183"/>
      <c r="U15" s="183"/>
      <c r="V15" s="183"/>
      <c r="W15" s="183"/>
      <c r="X15" s="227"/>
      <c r="Y15" s="187" t="b">
        <f t="shared" si="6"/>
        <v>1</v>
      </c>
      <c r="Z15" s="188">
        <f t="shared" si="7"/>
        <v>0.5</v>
      </c>
      <c r="AA15" s="187" t="b">
        <f t="shared" si="8"/>
        <v>1</v>
      </c>
      <c r="AB15" s="187" t="b">
        <f t="shared" si="9"/>
        <v>1</v>
      </c>
      <c r="AC15" s="184"/>
      <c r="AD15" s="184"/>
      <c r="AE15" s="184"/>
      <c r="AF15" s="184"/>
      <c r="AG15" s="184"/>
      <c r="AH15" s="184"/>
      <c r="AI15" s="184"/>
      <c r="AJ15" s="184"/>
      <c r="AK15" s="184"/>
      <c r="AL15" s="184"/>
      <c r="AM15" s="184"/>
      <c r="AN15" s="184"/>
      <c r="AO15" s="184"/>
      <c r="AP15" s="184"/>
      <c r="AQ15" s="184"/>
      <c r="AR15" s="184"/>
      <c r="AS15" s="184"/>
      <c r="AT15" s="184"/>
      <c r="AU15" s="184"/>
      <c r="AV15" s="184"/>
      <c r="AW15" s="184"/>
    </row>
    <row r="16" spans="1:49" s="164" customFormat="1" ht="24" x14ac:dyDescent="0.2">
      <c r="A16" s="232">
        <v>14</v>
      </c>
      <c r="B16" s="218" t="s">
        <v>129</v>
      </c>
      <c r="C16" s="218" t="s">
        <v>15</v>
      </c>
      <c r="D16" s="241" t="s">
        <v>136</v>
      </c>
      <c r="E16" s="242" t="s">
        <v>651</v>
      </c>
      <c r="F16" s="243" t="s">
        <v>45</v>
      </c>
      <c r="G16" s="228" t="s">
        <v>159</v>
      </c>
      <c r="H16" s="218" t="s">
        <v>18</v>
      </c>
      <c r="I16" s="223">
        <v>0.28999999999999998</v>
      </c>
      <c r="J16" s="234" t="s">
        <v>151</v>
      </c>
      <c r="K16" s="224">
        <v>5327079.1399999997</v>
      </c>
      <c r="L16" s="224">
        <v>2663539.5699999998</v>
      </c>
      <c r="M16" s="225">
        <f t="shared" si="5"/>
        <v>2663539.5699999998</v>
      </c>
      <c r="N16" s="226">
        <v>0.5</v>
      </c>
      <c r="O16" s="229"/>
      <c r="P16" s="229"/>
      <c r="Q16" s="229"/>
      <c r="R16" s="229">
        <v>363306.8</v>
      </c>
      <c r="S16" s="229">
        <v>2300232.77</v>
      </c>
      <c r="T16" s="237"/>
      <c r="U16" s="237"/>
      <c r="V16" s="237"/>
      <c r="W16" s="237"/>
      <c r="X16" s="237"/>
      <c r="Y16" s="187" t="b">
        <f t="shared" si="6"/>
        <v>1</v>
      </c>
      <c r="Z16" s="188">
        <f t="shared" si="7"/>
        <v>0.5</v>
      </c>
      <c r="AA16" s="187" t="b">
        <f t="shared" si="8"/>
        <v>1</v>
      </c>
      <c r="AB16" s="187" t="b">
        <f t="shared" si="9"/>
        <v>1</v>
      </c>
      <c r="AC16" s="184"/>
      <c r="AD16" s="184"/>
      <c r="AE16" s="184"/>
      <c r="AF16" s="184"/>
      <c r="AG16" s="184"/>
      <c r="AH16" s="184"/>
      <c r="AI16" s="184"/>
      <c r="AJ16" s="184"/>
      <c r="AK16" s="184"/>
      <c r="AL16" s="184"/>
      <c r="AM16" s="184"/>
      <c r="AN16" s="184"/>
      <c r="AO16" s="184"/>
      <c r="AP16" s="184"/>
      <c r="AQ16" s="184"/>
      <c r="AR16" s="184"/>
      <c r="AS16" s="184"/>
      <c r="AT16" s="184"/>
      <c r="AU16" s="184"/>
      <c r="AV16" s="184"/>
      <c r="AW16" s="184"/>
    </row>
    <row r="17" spans="1:49" s="164" customFormat="1" ht="43.5" customHeight="1" x14ac:dyDescent="0.2">
      <c r="A17" s="232">
        <v>15</v>
      </c>
      <c r="B17" s="218" t="s">
        <v>130</v>
      </c>
      <c r="C17" s="218" t="s">
        <v>15</v>
      </c>
      <c r="D17" s="220" t="s">
        <v>141</v>
      </c>
      <c r="E17" s="221" t="s">
        <v>656</v>
      </c>
      <c r="F17" s="218" t="s">
        <v>72</v>
      </c>
      <c r="G17" s="228" t="s">
        <v>160</v>
      </c>
      <c r="H17" s="218" t="s">
        <v>16</v>
      </c>
      <c r="I17" s="223">
        <v>0.318</v>
      </c>
      <c r="J17" s="234" t="s">
        <v>161</v>
      </c>
      <c r="K17" s="224">
        <v>1950953</v>
      </c>
      <c r="L17" s="224">
        <v>1170571.8</v>
      </c>
      <c r="M17" s="225">
        <f t="shared" si="5"/>
        <v>780381.2</v>
      </c>
      <c r="N17" s="226">
        <v>0.6</v>
      </c>
      <c r="O17" s="229"/>
      <c r="P17" s="229"/>
      <c r="Q17" s="229"/>
      <c r="R17" s="229">
        <v>732565.8</v>
      </c>
      <c r="S17" s="229">
        <v>438006</v>
      </c>
      <c r="T17" s="237"/>
      <c r="U17" s="237"/>
      <c r="V17" s="237"/>
      <c r="W17" s="237"/>
      <c r="X17" s="237"/>
      <c r="Y17" s="187" t="b">
        <f t="shared" si="6"/>
        <v>1</v>
      </c>
      <c r="Z17" s="188">
        <f t="shared" si="7"/>
        <v>0.6</v>
      </c>
      <c r="AA17" s="187" t="b">
        <f t="shared" si="8"/>
        <v>1</v>
      </c>
      <c r="AB17" s="187" t="b">
        <f t="shared" si="9"/>
        <v>1</v>
      </c>
      <c r="AC17" s="184"/>
      <c r="AD17" s="184"/>
      <c r="AE17" s="184"/>
      <c r="AF17" s="184"/>
      <c r="AG17" s="184"/>
      <c r="AH17" s="184"/>
      <c r="AI17" s="184"/>
      <c r="AJ17" s="184"/>
      <c r="AK17" s="184"/>
      <c r="AL17" s="184"/>
      <c r="AM17" s="184"/>
      <c r="AN17" s="184"/>
      <c r="AO17" s="184"/>
      <c r="AP17" s="184"/>
      <c r="AQ17" s="184"/>
      <c r="AR17" s="184"/>
      <c r="AS17" s="184"/>
      <c r="AT17" s="184"/>
      <c r="AU17" s="184"/>
      <c r="AV17" s="184"/>
      <c r="AW17" s="184"/>
    </row>
    <row r="18" spans="1:49" s="164" customFormat="1" ht="24" x14ac:dyDescent="0.2">
      <c r="A18" s="232">
        <v>16</v>
      </c>
      <c r="B18" s="218" t="s">
        <v>162</v>
      </c>
      <c r="C18" s="218" t="s">
        <v>15</v>
      </c>
      <c r="D18" s="220" t="s">
        <v>168</v>
      </c>
      <c r="E18" s="221" t="s">
        <v>657</v>
      </c>
      <c r="F18" s="218" t="s">
        <v>45</v>
      </c>
      <c r="G18" s="233" t="s">
        <v>177</v>
      </c>
      <c r="H18" s="218" t="s">
        <v>16</v>
      </c>
      <c r="I18" s="223">
        <v>0.54600000000000004</v>
      </c>
      <c r="J18" s="234" t="s">
        <v>178</v>
      </c>
      <c r="K18" s="224">
        <v>1292471.22</v>
      </c>
      <c r="L18" s="224">
        <v>890218</v>
      </c>
      <c r="M18" s="225">
        <v>402253.22</v>
      </c>
      <c r="N18" s="226">
        <v>0.7</v>
      </c>
      <c r="O18" s="230"/>
      <c r="P18" s="230"/>
      <c r="Q18" s="227"/>
      <c r="R18" s="227">
        <f>L18-S18</f>
        <v>285809.5</v>
      </c>
      <c r="S18" s="227">
        <v>604408.5</v>
      </c>
      <c r="T18" s="227"/>
      <c r="U18" s="227"/>
      <c r="V18" s="227"/>
      <c r="W18" s="227"/>
      <c r="X18" s="222"/>
      <c r="Y18" s="187" t="b">
        <f t="shared" si="6"/>
        <v>1</v>
      </c>
      <c r="Z18" s="188">
        <f t="shared" si="7"/>
        <v>0.68879999999999997</v>
      </c>
      <c r="AA18" s="187" t="b">
        <f t="shared" si="8"/>
        <v>0</v>
      </c>
      <c r="AB18" s="187" t="b">
        <f t="shared" si="9"/>
        <v>1</v>
      </c>
      <c r="AC18" s="184"/>
      <c r="AD18" s="184"/>
      <c r="AE18" s="184"/>
      <c r="AF18" s="184"/>
      <c r="AG18" s="184"/>
      <c r="AH18" s="184"/>
      <c r="AI18" s="184"/>
      <c r="AJ18" s="184"/>
      <c r="AK18" s="184"/>
      <c r="AL18" s="184"/>
      <c r="AM18" s="184"/>
      <c r="AN18" s="184"/>
      <c r="AO18" s="184"/>
      <c r="AP18" s="184"/>
      <c r="AQ18" s="184"/>
      <c r="AR18" s="184"/>
      <c r="AS18" s="184"/>
      <c r="AT18" s="184"/>
      <c r="AU18" s="184"/>
      <c r="AV18" s="184"/>
      <c r="AW18" s="184"/>
    </row>
    <row r="19" spans="1:49" s="164" customFormat="1" ht="24" x14ac:dyDescent="0.2">
      <c r="A19" s="232">
        <v>17</v>
      </c>
      <c r="B19" s="218" t="s">
        <v>164</v>
      </c>
      <c r="C19" s="218" t="s">
        <v>15</v>
      </c>
      <c r="D19" s="220" t="s">
        <v>170</v>
      </c>
      <c r="E19" s="221" t="s">
        <v>658</v>
      </c>
      <c r="F19" s="218" t="s">
        <v>41</v>
      </c>
      <c r="G19" s="233" t="s">
        <v>182</v>
      </c>
      <c r="H19" s="218" t="s">
        <v>16</v>
      </c>
      <c r="I19" s="223">
        <v>0.247</v>
      </c>
      <c r="J19" s="234" t="s">
        <v>183</v>
      </c>
      <c r="K19" s="224">
        <v>2712989.4</v>
      </c>
      <c r="L19" s="224">
        <v>1892015.2999999998</v>
      </c>
      <c r="M19" s="225">
        <f t="shared" si="5"/>
        <v>820974.10000000009</v>
      </c>
      <c r="N19" s="226">
        <v>0.7</v>
      </c>
      <c r="O19" s="230"/>
      <c r="P19" s="230"/>
      <c r="Q19" s="227"/>
      <c r="R19" s="227">
        <v>700000</v>
      </c>
      <c r="S19" s="227">
        <v>1192015.3</v>
      </c>
      <c r="T19" s="227"/>
      <c r="U19" s="227"/>
      <c r="V19" s="227"/>
      <c r="W19" s="227"/>
      <c r="X19" s="222"/>
      <c r="Y19" s="187" t="b">
        <f t="shared" si="6"/>
        <v>1</v>
      </c>
      <c r="Z19" s="188">
        <f t="shared" si="7"/>
        <v>0.69740000000000002</v>
      </c>
      <c r="AA19" s="187" t="b">
        <f t="shared" si="8"/>
        <v>0</v>
      </c>
      <c r="AB19" s="187" t="b">
        <f t="shared" si="9"/>
        <v>1</v>
      </c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</row>
    <row r="20" spans="1:49" s="164" customFormat="1" ht="24" x14ac:dyDescent="0.2">
      <c r="A20" s="232">
        <v>18</v>
      </c>
      <c r="B20" s="218" t="s">
        <v>195</v>
      </c>
      <c r="C20" s="218" t="s">
        <v>15</v>
      </c>
      <c r="D20" s="220" t="s">
        <v>170</v>
      </c>
      <c r="E20" s="221" t="s">
        <v>658</v>
      </c>
      <c r="F20" s="218" t="s">
        <v>41</v>
      </c>
      <c r="G20" s="233" t="s">
        <v>196</v>
      </c>
      <c r="H20" s="218" t="s">
        <v>28</v>
      </c>
      <c r="I20" s="223">
        <v>0.36199999999999999</v>
      </c>
      <c r="J20" s="234" t="s">
        <v>181</v>
      </c>
      <c r="K20" s="224">
        <v>2668080</v>
      </c>
      <c r="L20" s="224">
        <v>1867655.9999999998</v>
      </c>
      <c r="M20" s="225">
        <v>800424.00000000023</v>
      </c>
      <c r="N20" s="226">
        <v>0.7</v>
      </c>
      <c r="O20" s="230"/>
      <c r="P20" s="230"/>
      <c r="Q20" s="227"/>
      <c r="R20" s="227">
        <v>700000</v>
      </c>
      <c r="S20" s="227">
        <v>1167656</v>
      </c>
      <c r="T20" s="227"/>
      <c r="U20" s="227"/>
      <c r="V20" s="227"/>
      <c r="W20" s="227"/>
      <c r="X20" s="222"/>
      <c r="Y20" s="187" t="b">
        <f t="shared" si="6"/>
        <v>1</v>
      </c>
      <c r="Z20" s="188">
        <f t="shared" si="7"/>
        <v>0.7</v>
      </c>
      <c r="AA20" s="187" t="b">
        <f t="shared" si="8"/>
        <v>1</v>
      </c>
      <c r="AB20" s="187" t="b">
        <f t="shared" si="9"/>
        <v>1</v>
      </c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</row>
    <row r="21" spans="1:49" s="164" customFormat="1" ht="24" x14ac:dyDescent="0.2">
      <c r="A21" s="232">
        <v>19</v>
      </c>
      <c r="B21" s="218" t="s">
        <v>167</v>
      </c>
      <c r="C21" s="218" t="s">
        <v>15</v>
      </c>
      <c r="D21" s="220" t="s">
        <v>168</v>
      </c>
      <c r="E21" s="221" t="s">
        <v>657</v>
      </c>
      <c r="F21" s="218" t="s">
        <v>45</v>
      </c>
      <c r="G21" s="228" t="s">
        <v>189</v>
      </c>
      <c r="H21" s="218" t="s">
        <v>16</v>
      </c>
      <c r="I21" s="223">
        <v>0.65500000000000003</v>
      </c>
      <c r="J21" s="218" t="s">
        <v>181</v>
      </c>
      <c r="K21" s="224">
        <v>2655495.12</v>
      </c>
      <c r="L21" s="224">
        <v>1858846.5</v>
      </c>
      <c r="M21" s="224">
        <v>796648.62000000011</v>
      </c>
      <c r="N21" s="226">
        <v>0.7</v>
      </c>
      <c r="O21" s="230"/>
      <c r="P21" s="230"/>
      <c r="Q21" s="230"/>
      <c r="R21" s="230">
        <v>744897.5</v>
      </c>
      <c r="S21" s="230">
        <f>L21-R21</f>
        <v>1113949</v>
      </c>
      <c r="T21" s="230"/>
      <c r="U21" s="230"/>
      <c r="V21" s="230"/>
      <c r="W21" s="230"/>
      <c r="X21" s="238"/>
      <c r="Y21" s="187" t="b">
        <f t="shared" si="6"/>
        <v>1</v>
      </c>
      <c r="Z21" s="188">
        <f t="shared" si="7"/>
        <v>0.7</v>
      </c>
      <c r="AA21" s="187" t="b">
        <f t="shared" si="8"/>
        <v>1</v>
      </c>
      <c r="AB21" s="187" t="b">
        <f t="shared" si="9"/>
        <v>1</v>
      </c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</row>
    <row r="22" spans="1:49" s="285" customFormat="1" ht="31.5" customHeight="1" x14ac:dyDescent="0.2">
      <c r="A22" s="232">
        <v>20</v>
      </c>
      <c r="B22" s="218" t="s">
        <v>163</v>
      </c>
      <c r="C22" s="218" t="s">
        <v>15</v>
      </c>
      <c r="D22" s="220" t="s">
        <v>50</v>
      </c>
      <c r="E22" s="221" t="s">
        <v>654</v>
      </c>
      <c r="F22" s="218" t="s">
        <v>51</v>
      </c>
      <c r="G22" s="233" t="s">
        <v>179</v>
      </c>
      <c r="H22" s="218" t="s">
        <v>28</v>
      </c>
      <c r="I22" s="223">
        <v>0.99099999999999999</v>
      </c>
      <c r="J22" s="234" t="s">
        <v>180</v>
      </c>
      <c r="K22" s="224">
        <v>5673614.1399999997</v>
      </c>
      <c r="L22" s="224">
        <v>1878849.5</v>
      </c>
      <c r="M22" s="225">
        <v>3794764.6399999997</v>
      </c>
      <c r="N22" s="226">
        <v>0.5</v>
      </c>
      <c r="O22" s="230"/>
      <c r="P22" s="230"/>
      <c r="Q22" s="227"/>
      <c r="R22" s="227">
        <v>437987.5</v>
      </c>
      <c r="S22" s="227">
        <v>1440862</v>
      </c>
      <c r="T22" s="216"/>
      <c r="U22" s="216"/>
      <c r="V22" s="216"/>
      <c r="W22" s="216"/>
      <c r="X22" s="217"/>
      <c r="Y22" s="187" t="b">
        <f t="shared" si="6"/>
        <v>1</v>
      </c>
      <c r="Z22" s="188">
        <f t="shared" si="7"/>
        <v>0.33119999999999999</v>
      </c>
      <c r="AA22" s="187" t="b">
        <f t="shared" si="8"/>
        <v>0</v>
      </c>
      <c r="AB22" s="187" t="b">
        <f t="shared" si="9"/>
        <v>1</v>
      </c>
      <c r="AC22" s="284"/>
      <c r="AD22" s="284"/>
      <c r="AE22" s="284"/>
      <c r="AF22" s="284"/>
      <c r="AG22" s="284"/>
      <c r="AH22" s="284"/>
      <c r="AI22" s="284"/>
      <c r="AJ22" s="284"/>
      <c r="AK22" s="284"/>
      <c r="AL22" s="284"/>
      <c r="AM22" s="284"/>
      <c r="AN22" s="284"/>
      <c r="AO22" s="284"/>
      <c r="AP22" s="284"/>
      <c r="AQ22" s="284"/>
      <c r="AR22" s="284"/>
      <c r="AS22" s="284"/>
      <c r="AT22" s="284"/>
      <c r="AU22" s="284"/>
      <c r="AV22" s="284"/>
      <c r="AW22" s="284"/>
    </row>
    <row r="23" spans="1:49" s="285" customFormat="1" ht="31.5" customHeight="1" x14ac:dyDescent="0.2">
      <c r="A23" s="232">
        <v>21</v>
      </c>
      <c r="B23" s="218" t="s">
        <v>165</v>
      </c>
      <c r="C23" s="218" t="s">
        <v>15</v>
      </c>
      <c r="D23" s="220" t="s">
        <v>171</v>
      </c>
      <c r="E23" s="221" t="s">
        <v>659</v>
      </c>
      <c r="F23" s="218" t="s">
        <v>42</v>
      </c>
      <c r="G23" s="233" t="s">
        <v>184</v>
      </c>
      <c r="H23" s="218" t="s">
        <v>16</v>
      </c>
      <c r="I23" s="223">
        <v>1.306</v>
      </c>
      <c r="J23" s="234" t="s">
        <v>185</v>
      </c>
      <c r="K23" s="224">
        <v>5996278.1900000004</v>
      </c>
      <c r="L23" s="224">
        <v>4797022.55</v>
      </c>
      <c r="M23" s="225">
        <v>1199255.6400000006</v>
      </c>
      <c r="N23" s="226">
        <v>0.8</v>
      </c>
      <c r="O23" s="230"/>
      <c r="P23" s="230"/>
      <c r="Q23" s="227"/>
      <c r="R23" s="227">
        <v>2455307.7999999998</v>
      </c>
      <c r="S23" s="227">
        <v>2341714.75</v>
      </c>
      <c r="T23" s="216"/>
      <c r="U23" s="216"/>
      <c r="V23" s="216"/>
      <c r="W23" s="216"/>
      <c r="X23" s="217"/>
      <c r="Y23" s="187" t="b">
        <f t="shared" si="6"/>
        <v>1</v>
      </c>
      <c r="Z23" s="188">
        <f t="shared" si="7"/>
        <v>0.8</v>
      </c>
      <c r="AA23" s="187" t="b">
        <f t="shared" si="8"/>
        <v>1</v>
      </c>
      <c r="AB23" s="187" t="b">
        <f t="shared" si="9"/>
        <v>1</v>
      </c>
      <c r="AC23" s="284"/>
      <c r="AD23" s="284"/>
      <c r="AE23" s="284"/>
      <c r="AF23" s="284"/>
      <c r="AG23" s="284"/>
      <c r="AH23" s="284"/>
      <c r="AI23" s="284"/>
      <c r="AJ23" s="284"/>
      <c r="AK23" s="284"/>
      <c r="AL23" s="284"/>
      <c r="AM23" s="284"/>
      <c r="AN23" s="284"/>
      <c r="AO23" s="284"/>
      <c r="AP23" s="284"/>
      <c r="AQ23" s="284"/>
      <c r="AR23" s="284"/>
      <c r="AS23" s="284"/>
      <c r="AT23" s="284"/>
      <c r="AU23" s="284"/>
      <c r="AV23" s="284"/>
      <c r="AW23" s="284"/>
    </row>
    <row r="24" spans="1:49" s="285" customFormat="1" ht="31.5" customHeight="1" x14ac:dyDescent="0.2">
      <c r="A24" s="232">
        <v>22</v>
      </c>
      <c r="B24" s="218" t="s">
        <v>166</v>
      </c>
      <c r="C24" s="218" t="s">
        <v>15</v>
      </c>
      <c r="D24" s="220" t="s">
        <v>172</v>
      </c>
      <c r="E24" s="221" t="s">
        <v>660</v>
      </c>
      <c r="F24" s="218" t="s">
        <v>51</v>
      </c>
      <c r="G24" s="233" t="s">
        <v>186</v>
      </c>
      <c r="H24" s="218" t="s">
        <v>16</v>
      </c>
      <c r="I24" s="223">
        <v>0.36</v>
      </c>
      <c r="J24" s="234" t="s">
        <v>187</v>
      </c>
      <c r="K24" s="224">
        <v>965796</v>
      </c>
      <c r="L24" s="224">
        <v>419199</v>
      </c>
      <c r="M24" s="225">
        <v>546597</v>
      </c>
      <c r="N24" s="226">
        <v>0.5</v>
      </c>
      <c r="O24" s="230"/>
      <c r="P24" s="230"/>
      <c r="Q24" s="227"/>
      <c r="R24" s="227">
        <v>200000</v>
      </c>
      <c r="S24" s="227">
        <v>219199</v>
      </c>
      <c r="T24" s="216"/>
      <c r="U24" s="216"/>
      <c r="V24" s="216"/>
      <c r="W24" s="216"/>
      <c r="X24" s="217"/>
      <c r="Y24" s="187" t="b">
        <f t="shared" si="6"/>
        <v>1</v>
      </c>
      <c r="Z24" s="188">
        <f t="shared" si="7"/>
        <v>0.434</v>
      </c>
      <c r="AA24" s="187" t="b">
        <f t="shared" si="8"/>
        <v>0</v>
      </c>
      <c r="AB24" s="187" t="b">
        <f t="shared" si="9"/>
        <v>1</v>
      </c>
      <c r="AC24" s="284"/>
      <c r="AD24" s="284"/>
      <c r="AE24" s="284"/>
      <c r="AF24" s="284"/>
      <c r="AG24" s="284"/>
      <c r="AH24" s="284"/>
      <c r="AI24" s="284"/>
      <c r="AJ24" s="284"/>
      <c r="AK24" s="284"/>
      <c r="AL24" s="284"/>
      <c r="AM24" s="284"/>
      <c r="AN24" s="284"/>
      <c r="AO24" s="284"/>
      <c r="AP24" s="284"/>
      <c r="AQ24" s="284"/>
      <c r="AR24" s="284"/>
      <c r="AS24" s="284"/>
      <c r="AT24" s="284"/>
      <c r="AU24" s="284"/>
      <c r="AV24" s="284"/>
      <c r="AW24" s="284"/>
    </row>
    <row r="25" spans="1:49" s="185" customFormat="1" ht="31.5" customHeight="1" x14ac:dyDescent="0.2">
      <c r="A25" s="277">
        <v>23</v>
      </c>
      <c r="B25" s="246" t="s">
        <v>264</v>
      </c>
      <c r="C25" s="246" t="s">
        <v>21</v>
      </c>
      <c r="D25" s="257" t="s">
        <v>265</v>
      </c>
      <c r="E25" s="247" t="s">
        <v>661</v>
      </c>
      <c r="F25" s="246" t="s">
        <v>47</v>
      </c>
      <c r="G25" s="258" t="s">
        <v>266</v>
      </c>
      <c r="H25" s="246" t="s">
        <v>16</v>
      </c>
      <c r="I25" s="249">
        <v>0.99099999999999999</v>
      </c>
      <c r="J25" s="250" t="s">
        <v>267</v>
      </c>
      <c r="K25" s="259">
        <v>3351663.97</v>
      </c>
      <c r="L25" s="259">
        <v>2681331.1800000002</v>
      </c>
      <c r="M25" s="255">
        <f>K25-L25</f>
        <v>670332.79</v>
      </c>
      <c r="N25" s="253">
        <v>0.8</v>
      </c>
      <c r="O25" s="216"/>
      <c r="P25" s="216"/>
      <c r="Q25" s="254"/>
      <c r="R25" s="254"/>
      <c r="S25" s="254">
        <f>L25</f>
        <v>2681331.1800000002</v>
      </c>
      <c r="T25" s="216">
        <v>0</v>
      </c>
      <c r="U25" s="216">
        <v>0</v>
      </c>
      <c r="V25" s="216"/>
      <c r="W25" s="216"/>
      <c r="X25" s="217"/>
      <c r="Y25" s="187" t="b">
        <f t="shared" si="6"/>
        <v>1</v>
      </c>
      <c r="Z25" s="188">
        <f t="shared" si="7"/>
        <v>0.8</v>
      </c>
      <c r="AA25" s="187" t="b">
        <f t="shared" si="8"/>
        <v>1</v>
      </c>
      <c r="AB25" s="187" t="b">
        <f t="shared" si="9"/>
        <v>1</v>
      </c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1:49" s="185" customFormat="1" ht="31.5" customHeight="1" x14ac:dyDescent="0.2">
      <c r="A26" s="277">
        <v>24</v>
      </c>
      <c r="B26" s="246" t="s">
        <v>268</v>
      </c>
      <c r="C26" s="246" t="s">
        <v>21</v>
      </c>
      <c r="D26" s="257" t="s">
        <v>269</v>
      </c>
      <c r="E26" s="247" t="s">
        <v>662</v>
      </c>
      <c r="F26" s="246" t="s">
        <v>47</v>
      </c>
      <c r="G26" s="258" t="s">
        <v>270</v>
      </c>
      <c r="H26" s="246" t="s">
        <v>16</v>
      </c>
      <c r="I26" s="249">
        <v>0.33500000000000002</v>
      </c>
      <c r="J26" s="250" t="s">
        <v>271</v>
      </c>
      <c r="K26" s="259">
        <v>1485297.57</v>
      </c>
      <c r="L26" s="259">
        <v>742648.78</v>
      </c>
      <c r="M26" s="255">
        <f>K26-L26</f>
        <v>742648.79</v>
      </c>
      <c r="N26" s="253">
        <v>0.5</v>
      </c>
      <c r="O26" s="216"/>
      <c r="P26" s="216"/>
      <c r="Q26" s="254"/>
      <c r="R26" s="254"/>
      <c r="S26" s="254">
        <f>L26</f>
        <v>742648.78</v>
      </c>
      <c r="T26" s="216">
        <v>0</v>
      </c>
      <c r="U26" s="216">
        <v>0</v>
      </c>
      <c r="V26" s="216"/>
      <c r="W26" s="216"/>
      <c r="X26" s="217"/>
      <c r="Y26" s="187" t="b">
        <f t="shared" si="6"/>
        <v>1</v>
      </c>
      <c r="Z26" s="188">
        <f t="shared" si="7"/>
        <v>0.5</v>
      </c>
      <c r="AA26" s="187" t="b">
        <f t="shared" si="8"/>
        <v>1</v>
      </c>
      <c r="AB26" s="187" t="b">
        <f t="shared" si="9"/>
        <v>1</v>
      </c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1:49" s="185" customFormat="1" ht="31.5" customHeight="1" x14ac:dyDescent="0.2">
      <c r="A27" s="277">
        <v>25</v>
      </c>
      <c r="B27" s="246" t="s">
        <v>272</v>
      </c>
      <c r="C27" s="246" t="s">
        <v>21</v>
      </c>
      <c r="D27" s="257" t="s">
        <v>49</v>
      </c>
      <c r="E27" s="247" t="s">
        <v>652</v>
      </c>
      <c r="F27" s="246" t="s">
        <v>41</v>
      </c>
      <c r="G27" s="258" t="s">
        <v>273</v>
      </c>
      <c r="H27" s="246" t="s">
        <v>16</v>
      </c>
      <c r="I27" s="249">
        <v>0.80500000000000005</v>
      </c>
      <c r="J27" s="250" t="s">
        <v>274</v>
      </c>
      <c r="K27" s="259">
        <v>1228500</v>
      </c>
      <c r="L27" s="259">
        <v>859950</v>
      </c>
      <c r="M27" s="255">
        <f>K27-L27</f>
        <v>368550</v>
      </c>
      <c r="N27" s="253">
        <v>0.7</v>
      </c>
      <c r="O27" s="216"/>
      <c r="P27" s="216"/>
      <c r="Q27" s="254"/>
      <c r="R27" s="254"/>
      <c r="S27" s="254">
        <f>L27</f>
        <v>859950</v>
      </c>
      <c r="T27" s="216">
        <v>0</v>
      </c>
      <c r="U27" s="216">
        <v>0</v>
      </c>
      <c r="V27" s="216"/>
      <c r="W27" s="216"/>
      <c r="X27" s="217"/>
      <c r="Y27" s="187" t="b">
        <f t="shared" si="6"/>
        <v>1</v>
      </c>
      <c r="Z27" s="188">
        <f t="shared" si="7"/>
        <v>0.7</v>
      </c>
      <c r="AA27" s="187" t="b">
        <f t="shared" si="8"/>
        <v>1</v>
      </c>
      <c r="AB27" s="187" t="b">
        <f t="shared" si="9"/>
        <v>1</v>
      </c>
      <c r="AC27" s="152"/>
      <c r="AD27" s="152"/>
      <c r="AE27" s="152"/>
      <c r="AF27" s="152"/>
      <c r="AG27" s="152"/>
      <c r="AH27" s="152"/>
      <c r="AI27" s="152"/>
      <c r="AJ27" s="152"/>
      <c r="AK27" s="152"/>
      <c r="AL27" s="152"/>
      <c r="AM27" s="152"/>
      <c r="AN27" s="152"/>
      <c r="AO27" s="152"/>
      <c r="AP27" s="152"/>
      <c r="AQ27" s="152"/>
      <c r="AR27" s="152"/>
      <c r="AS27" s="152"/>
      <c r="AT27" s="152"/>
      <c r="AU27" s="152"/>
      <c r="AV27" s="152"/>
      <c r="AW27" s="152"/>
    </row>
    <row r="28" spans="1:49" s="185" customFormat="1" ht="31.5" customHeight="1" x14ac:dyDescent="0.2">
      <c r="A28" s="277">
        <v>26</v>
      </c>
      <c r="B28" s="246" t="s">
        <v>275</v>
      </c>
      <c r="C28" s="246" t="s">
        <v>21</v>
      </c>
      <c r="D28" s="257" t="s">
        <v>763</v>
      </c>
      <c r="E28" s="247" t="s">
        <v>663</v>
      </c>
      <c r="F28" s="246" t="s">
        <v>276</v>
      </c>
      <c r="G28" s="258" t="s">
        <v>277</v>
      </c>
      <c r="H28" s="246" t="s">
        <v>16</v>
      </c>
      <c r="I28" s="249">
        <v>0.93300000000000005</v>
      </c>
      <c r="J28" s="250" t="s">
        <v>278</v>
      </c>
      <c r="K28" s="259">
        <v>2308532.86</v>
      </c>
      <c r="L28" s="259">
        <v>1615973</v>
      </c>
      <c r="M28" s="255">
        <f>K28-L28</f>
        <v>692559.85999999987</v>
      </c>
      <c r="N28" s="253">
        <v>0.7</v>
      </c>
      <c r="O28" s="216"/>
      <c r="P28" s="216"/>
      <c r="Q28" s="254"/>
      <c r="R28" s="254"/>
      <c r="S28" s="254">
        <f>L28</f>
        <v>1615973</v>
      </c>
      <c r="T28" s="216">
        <v>0</v>
      </c>
      <c r="U28" s="216">
        <v>0</v>
      </c>
      <c r="V28" s="216"/>
      <c r="W28" s="216"/>
      <c r="X28" s="217"/>
      <c r="Y28" s="187" t="b">
        <f t="shared" si="6"/>
        <v>1</v>
      </c>
      <c r="Z28" s="188">
        <f t="shared" si="7"/>
        <v>0.7</v>
      </c>
      <c r="AA28" s="187" t="b">
        <f t="shared" si="8"/>
        <v>1</v>
      </c>
      <c r="AB28" s="187" t="b">
        <f>K28=L28+M28</f>
        <v>1</v>
      </c>
      <c r="AC28" s="152"/>
      <c r="AD28" s="152"/>
      <c r="AE28" s="152"/>
      <c r="AF28" s="152"/>
      <c r="AG28" s="152"/>
      <c r="AH28" s="152"/>
      <c r="AI28" s="152"/>
      <c r="AJ28" s="152"/>
      <c r="AK28" s="152"/>
      <c r="AL28" s="152"/>
      <c r="AM28" s="152"/>
      <c r="AN28" s="152"/>
      <c r="AO28" s="152"/>
      <c r="AP28" s="152"/>
      <c r="AQ28" s="152"/>
      <c r="AR28" s="152"/>
      <c r="AS28" s="152"/>
      <c r="AT28" s="152"/>
      <c r="AU28" s="152"/>
      <c r="AV28" s="152"/>
      <c r="AW28" s="152"/>
    </row>
    <row r="29" spans="1:49" s="185" customFormat="1" ht="31.5" customHeight="1" x14ac:dyDescent="0.2">
      <c r="A29" s="277">
        <v>27</v>
      </c>
      <c r="B29" s="246" t="s">
        <v>279</v>
      </c>
      <c r="C29" s="246" t="s">
        <v>21</v>
      </c>
      <c r="D29" s="257" t="s">
        <v>280</v>
      </c>
      <c r="E29" s="247" t="s">
        <v>664</v>
      </c>
      <c r="F29" s="246" t="s">
        <v>48</v>
      </c>
      <c r="G29" s="258" t="s">
        <v>773</v>
      </c>
      <c r="H29" s="246" t="s">
        <v>16</v>
      </c>
      <c r="I29" s="249">
        <v>0.36399999999999999</v>
      </c>
      <c r="J29" s="250" t="s">
        <v>249</v>
      </c>
      <c r="K29" s="259">
        <v>1582385</v>
      </c>
      <c r="L29" s="259">
        <v>1107669.5</v>
      </c>
      <c r="M29" s="255">
        <v>474715.5</v>
      </c>
      <c r="N29" s="253">
        <v>0.7</v>
      </c>
      <c r="O29" s="216"/>
      <c r="P29" s="216"/>
      <c r="Q29" s="254"/>
      <c r="R29" s="254"/>
      <c r="S29" s="254">
        <v>1107669.5</v>
      </c>
      <c r="T29" s="216">
        <v>0</v>
      </c>
      <c r="U29" s="216">
        <v>0</v>
      </c>
      <c r="V29" s="216"/>
      <c r="W29" s="216"/>
      <c r="X29" s="217"/>
      <c r="Y29" s="187" t="b">
        <f t="shared" si="6"/>
        <v>1</v>
      </c>
      <c r="Z29" s="188">
        <f t="shared" si="7"/>
        <v>0.7</v>
      </c>
      <c r="AA29" s="187" t="b">
        <f t="shared" si="8"/>
        <v>1</v>
      </c>
      <c r="AB29" s="187" t="b">
        <f t="shared" si="9"/>
        <v>1</v>
      </c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152"/>
      <c r="AU29" s="152"/>
      <c r="AV29" s="152"/>
      <c r="AW29" s="152"/>
    </row>
    <row r="30" spans="1:49" s="185" customFormat="1" ht="31.5" customHeight="1" x14ac:dyDescent="0.2">
      <c r="A30" s="277">
        <v>28</v>
      </c>
      <c r="B30" s="246" t="s">
        <v>281</v>
      </c>
      <c r="C30" s="246" t="s">
        <v>21</v>
      </c>
      <c r="D30" s="257" t="s">
        <v>282</v>
      </c>
      <c r="E30" s="247" t="s">
        <v>665</v>
      </c>
      <c r="F30" s="246" t="s">
        <v>48</v>
      </c>
      <c r="G30" s="258" t="s">
        <v>283</v>
      </c>
      <c r="H30" s="246" t="s">
        <v>28</v>
      </c>
      <c r="I30" s="249">
        <v>0.12</v>
      </c>
      <c r="J30" s="250" t="s">
        <v>211</v>
      </c>
      <c r="K30" s="259">
        <v>288729.14</v>
      </c>
      <c r="L30" s="259">
        <v>202110.4</v>
      </c>
      <c r="M30" s="255">
        <f>K30-L30</f>
        <v>86618.74000000002</v>
      </c>
      <c r="N30" s="253">
        <v>0.7</v>
      </c>
      <c r="O30" s="216"/>
      <c r="P30" s="216"/>
      <c r="Q30" s="254"/>
      <c r="R30" s="254"/>
      <c r="S30" s="254">
        <f>L30</f>
        <v>202110.4</v>
      </c>
      <c r="T30" s="216">
        <v>0</v>
      </c>
      <c r="U30" s="216">
        <v>0</v>
      </c>
      <c r="V30" s="216"/>
      <c r="W30" s="216"/>
      <c r="X30" s="217"/>
      <c r="Y30" s="187" t="b">
        <f t="shared" si="6"/>
        <v>1</v>
      </c>
      <c r="Z30" s="188">
        <f t="shared" si="7"/>
        <v>0.7</v>
      </c>
      <c r="AA30" s="187" t="b">
        <f t="shared" si="8"/>
        <v>1</v>
      </c>
      <c r="AB30" s="187" t="b">
        <f t="shared" si="9"/>
        <v>1</v>
      </c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</row>
    <row r="31" spans="1:49" s="185" customFormat="1" ht="31.5" customHeight="1" x14ac:dyDescent="0.2">
      <c r="A31" s="283" t="s">
        <v>783</v>
      </c>
      <c r="B31" s="246" t="s">
        <v>284</v>
      </c>
      <c r="C31" s="246" t="s">
        <v>21</v>
      </c>
      <c r="D31" s="257" t="s">
        <v>269</v>
      </c>
      <c r="E31" s="247" t="s">
        <v>662</v>
      </c>
      <c r="F31" s="246" t="s">
        <v>47</v>
      </c>
      <c r="G31" s="258" t="s">
        <v>285</v>
      </c>
      <c r="H31" s="246" t="s">
        <v>18</v>
      </c>
      <c r="I31" s="249">
        <v>0</v>
      </c>
      <c r="J31" s="250" t="s">
        <v>271</v>
      </c>
      <c r="K31" s="259">
        <v>0</v>
      </c>
      <c r="L31" s="259">
        <v>0</v>
      </c>
      <c r="M31" s="255">
        <v>0</v>
      </c>
      <c r="N31" s="253">
        <v>0.5</v>
      </c>
      <c r="O31" s="216"/>
      <c r="P31" s="216"/>
      <c r="Q31" s="254"/>
      <c r="R31" s="254"/>
      <c r="S31" s="254">
        <v>0</v>
      </c>
      <c r="T31" s="216">
        <v>0</v>
      </c>
      <c r="U31" s="216">
        <v>0</v>
      </c>
      <c r="V31" s="216"/>
      <c r="W31" s="216"/>
      <c r="X31" s="217"/>
      <c r="Y31" s="187" t="b">
        <f t="shared" si="6"/>
        <v>1</v>
      </c>
      <c r="Z31" s="188" t="e">
        <f t="shared" si="7"/>
        <v>#DIV/0!</v>
      </c>
      <c r="AA31" s="187" t="e">
        <f t="shared" si="8"/>
        <v>#DIV/0!</v>
      </c>
      <c r="AB31" s="187" t="b">
        <f t="shared" si="9"/>
        <v>1</v>
      </c>
      <c r="AC31" s="152"/>
      <c r="AD31" s="152"/>
      <c r="AE31" s="152"/>
      <c r="AF31" s="152"/>
      <c r="AG31" s="152"/>
      <c r="AH31" s="152"/>
      <c r="AI31" s="152"/>
      <c r="AJ31" s="152"/>
      <c r="AK31" s="152"/>
      <c r="AL31" s="152"/>
      <c r="AM31" s="152"/>
      <c r="AN31" s="152"/>
      <c r="AO31" s="152"/>
      <c r="AP31" s="152"/>
      <c r="AQ31" s="152"/>
      <c r="AR31" s="152"/>
      <c r="AS31" s="152"/>
      <c r="AT31" s="152"/>
      <c r="AU31" s="152"/>
      <c r="AV31" s="152"/>
      <c r="AW31" s="152"/>
    </row>
    <row r="32" spans="1:49" s="185" customFormat="1" ht="31.5" customHeight="1" x14ac:dyDescent="0.2">
      <c r="A32" s="283" t="s">
        <v>782</v>
      </c>
      <c r="B32" s="246" t="s">
        <v>286</v>
      </c>
      <c r="C32" s="246" t="s">
        <v>21</v>
      </c>
      <c r="D32" s="257" t="s">
        <v>287</v>
      </c>
      <c r="E32" s="247" t="s">
        <v>666</v>
      </c>
      <c r="F32" s="246" t="s">
        <v>48</v>
      </c>
      <c r="G32" s="258" t="s">
        <v>288</v>
      </c>
      <c r="H32" s="246" t="s">
        <v>16</v>
      </c>
      <c r="I32" s="249">
        <v>0</v>
      </c>
      <c r="J32" s="250" t="s">
        <v>289</v>
      </c>
      <c r="K32" s="259">
        <v>0</v>
      </c>
      <c r="L32" s="259">
        <v>0</v>
      </c>
      <c r="M32" s="255">
        <v>0</v>
      </c>
      <c r="N32" s="253">
        <v>0.5</v>
      </c>
      <c r="O32" s="216"/>
      <c r="P32" s="216"/>
      <c r="Q32" s="254" t="s">
        <v>780</v>
      </c>
      <c r="R32" s="254"/>
      <c r="S32" s="254">
        <v>0</v>
      </c>
      <c r="T32" s="216">
        <v>0</v>
      </c>
      <c r="U32" s="216">
        <v>0</v>
      </c>
      <c r="V32" s="216"/>
      <c r="W32" s="216"/>
      <c r="X32" s="217"/>
      <c r="Y32" s="187" t="b">
        <f t="shared" si="6"/>
        <v>1</v>
      </c>
      <c r="Z32" s="188" t="e">
        <f t="shared" si="7"/>
        <v>#DIV/0!</v>
      </c>
      <c r="AA32" s="187" t="e">
        <f t="shared" si="8"/>
        <v>#DIV/0!</v>
      </c>
      <c r="AB32" s="187" t="b">
        <f t="shared" si="9"/>
        <v>1</v>
      </c>
      <c r="AC32" s="152"/>
      <c r="AD32" s="152"/>
      <c r="AE32" s="152"/>
      <c r="AF32" s="152"/>
      <c r="AG32" s="152"/>
      <c r="AH32" s="152"/>
      <c r="AI32" s="152"/>
      <c r="AJ32" s="152"/>
      <c r="AK32" s="152"/>
      <c r="AL32" s="152"/>
      <c r="AM32" s="152"/>
      <c r="AN32" s="152"/>
      <c r="AO32" s="152"/>
      <c r="AP32" s="152"/>
      <c r="AQ32" s="152"/>
      <c r="AR32" s="152"/>
      <c r="AS32" s="152"/>
      <c r="AT32" s="152"/>
      <c r="AU32" s="152"/>
      <c r="AV32" s="152"/>
      <c r="AW32" s="152"/>
    </row>
    <row r="33" spans="1:49" s="185" customFormat="1" ht="31.5" customHeight="1" x14ac:dyDescent="0.2">
      <c r="A33" s="277">
        <v>31</v>
      </c>
      <c r="B33" s="246" t="s">
        <v>290</v>
      </c>
      <c r="C33" s="246" t="s">
        <v>21</v>
      </c>
      <c r="D33" s="257" t="s">
        <v>291</v>
      </c>
      <c r="E33" s="247" t="s">
        <v>669</v>
      </c>
      <c r="F33" s="246" t="s">
        <v>47</v>
      </c>
      <c r="G33" s="258" t="s">
        <v>292</v>
      </c>
      <c r="H33" s="246" t="s">
        <v>16</v>
      </c>
      <c r="I33" s="249">
        <v>0.124</v>
      </c>
      <c r="J33" s="250" t="s">
        <v>216</v>
      </c>
      <c r="K33" s="259">
        <v>786546.15</v>
      </c>
      <c r="L33" s="259">
        <v>469072.2</v>
      </c>
      <c r="M33" s="255">
        <f>K33-L33</f>
        <v>317473.95</v>
      </c>
      <c r="N33" s="253">
        <v>0.6</v>
      </c>
      <c r="O33" s="216"/>
      <c r="P33" s="216"/>
      <c r="Q33" s="254"/>
      <c r="R33" s="254"/>
      <c r="S33" s="254">
        <v>469072.2</v>
      </c>
      <c r="T33" s="216">
        <v>0</v>
      </c>
      <c r="U33" s="216">
        <v>0</v>
      </c>
      <c r="V33" s="216"/>
      <c r="W33" s="216"/>
      <c r="X33" s="217"/>
      <c r="Y33" s="187" t="b">
        <f t="shared" si="6"/>
        <v>1</v>
      </c>
      <c r="Z33" s="188">
        <f t="shared" si="7"/>
        <v>0.59640000000000004</v>
      </c>
      <c r="AA33" s="187" t="b">
        <f t="shared" si="8"/>
        <v>0</v>
      </c>
      <c r="AB33" s="187" t="b">
        <f t="shared" si="9"/>
        <v>1</v>
      </c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1:49" s="185" customFormat="1" ht="24.75" customHeight="1" x14ac:dyDescent="0.2">
      <c r="A34" s="277">
        <v>32</v>
      </c>
      <c r="B34" s="246" t="s">
        <v>293</v>
      </c>
      <c r="C34" s="246" t="s">
        <v>21</v>
      </c>
      <c r="D34" s="257" t="s">
        <v>294</v>
      </c>
      <c r="E34" s="247" t="s">
        <v>667</v>
      </c>
      <c r="F34" s="246" t="s">
        <v>48</v>
      </c>
      <c r="G34" s="258" t="s">
        <v>295</v>
      </c>
      <c r="H34" s="246" t="s">
        <v>16</v>
      </c>
      <c r="I34" s="249">
        <v>0.156</v>
      </c>
      <c r="J34" s="250" t="s">
        <v>349</v>
      </c>
      <c r="K34" s="259">
        <v>2381318</v>
      </c>
      <c r="L34" s="259">
        <v>1369758.5999999999</v>
      </c>
      <c r="M34" s="255">
        <f>K34-L34</f>
        <v>1011559.4000000001</v>
      </c>
      <c r="N34" s="253">
        <v>0.6</v>
      </c>
      <c r="O34" s="216"/>
      <c r="P34" s="216"/>
      <c r="Q34" s="254"/>
      <c r="R34" s="254"/>
      <c r="S34" s="254">
        <v>1369758.5999999999</v>
      </c>
      <c r="T34" s="216">
        <v>0</v>
      </c>
      <c r="U34" s="216">
        <v>0</v>
      </c>
      <c r="V34" s="216"/>
      <c r="W34" s="216"/>
      <c r="X34" s="217"/>
      <c r="Y34" s="187" t="b">
        <f t="shared" si="6"/>
        <v>1</v>
      </c>
      <c r="Z34" s="188">
        <f t="shared" si="7"/>
        <v>0.57520000000000004</v>
      </c>
      <c r="AA34" s="187" t="b">
        <f t="shared" si="8"/>
        <v>0</v>
      </c>
      <c r="AB34" s="187" t="b">
        <f t="shared" si="9"/>
        <v>1</v>
      </c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1:49" s="164" customFormat="1" ht="31.5" customHeight="1" x14ac:dyDescent="0.2">
      <c r="A35" s="232">
        <v>33</v>
      </c>
      <c r="B35" s="218" t="s">
        <v>296</v>
      </c>
      <c r="C35" s="218" t="s">
        <v>19</v>
      </c>
      <c r="D35" s="220" t="s">
        <v>297</v>
      </c>
      <c r="E35" s="221" t="s">
        <v>668</v>
      </c>
      <c r="F35" s="218" t="s">
        <v>47</v>
      </c>
      <c r="G35" s="233" t="s">
        <v>298</v>
      </c>
      <c r="H35" s="218" t="s">
        <v>28</v>
      </c>
      <c r="I35" s="223">
        <v>1.0940000000000001</v>
      </c>
      <c r="J35" s="234" t="s">
        <v>219</v>
      </c>
      <c r="K35" s="224">
        <v>5720555.8300000001</v>
      </c>
      <c r="L35" s="224">
        <v>4012392.42</v>
      </c>
      <c r="M35" s="225">
        <f>K35-L35</f>
        <v>1708163.4100000001</v>
      </c>
      <c r="N35" s="226">
        <v>0.8</v>
      </c>
      <c r="O35" s="230"/>
      <c r="P35" s="230"/>
      <c r="Q35" s="227"/>
      <c r="R35" s="227"/>
      <c r="S35" s="227">
        <v>1560000</v>
      </c>
      <c r="T35" s="230">
        <v>2452392.42</v>
      </c>
      <c r="U35" s="230">
        <v>0</v>
      </c>
      <c r="V35" s="230"/>
      <c r="W35" s="230"/>
      <c r="X35" s="238"/>
      <c r="Y35" s="260" t="b">
        <f t="shared" si="6"/>
        <v>1</v>
      </c>
      <c r="Z35" s="261">
        <f t="shared" si="7"/>
        <v>0.70140000000000002</v>
      </c>
      <c r="AA35" s="260" t="b">
        <f t="shared" si="8"/>
        <v>0</v>
      </c>
      <c r="AB35" s="260" t="b">
        <f t="shared" si="9"/>
        <v>1</v>
      </c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</row>
    <row r="36" spans="1:49" s="185" customFormat="1" ht="31.5" customHeight="1" x14ac:dyDescent="0.2">
      <c r="A36" s="277">
        <v>34</v>
      </c>
      <c r="B36" s="246" t="s">
        <v>299</v>
      </c>
      <c r="C36" s="246" t="s">
        <v>21</v>
      </c>
      <c r="D36" s="257" t="s">
        <v>300</v>
      </c>
      <c r="E36" s="247" t="s">
        <v>670</v>
      </c>
      <c r="F36" s="246" t="s">
        <v>42</v>
      </c>
      <c r="G36" s="258" t="s">
        <v>301</v>
      </c>
      <c r="H36" s="246" t="s">
        <v>16</v>
      </c>
      <c r="I36" s="249">
        <v>0.95</v>
      </c>
      <c r="J36" s="250" t="s">
        <v>239</v>
      </c>
      <c r="K36" s="259">
        <v>1014554.1</v>
      </c>
      <c r="L36" s="259">
        <v>608732.46</v>
      </c>
      <c r="M36" s="255">
        <v>405821.64</v>
      </c>
      <c r="N36" s="253">
        <v>0.6</v>
      </c>
      <c r="O36" s="216"/>
      <c r="P36" s="216"/>
      <c r="Q36" s="254"/>
      <c r="R36" s="254"/>
      <c r="S36" s="254">
        <v>608732.46</v>
      </c>
      <c r="T36" s="216">
        <v>0</v>
      </c>
      <c r="U36" s="216">
        <v>0</v>
      </c>
      <c r="V36" s="216"/>
      <c r="W36" s="216"/>
      <c r="X36" s="217"/>
      <c r="Y36" s="187" t="b">
        <f t="shared" si="6"/>
        <v>1</v>
      </c>
      <c r="Z36" s="188">
        <f t="shared" si="7"/>
        <v>0.6</v>
      </c>
      <c r="AA36" s="187" t="b">
        <f t="shared" si="8"/>
        <v>1</v>
      </c>
      <c r="AB36" s="187" t="b">
        <f t="shared" si="9"/>
        <v>1</v>
      </c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</row>
    <row r="37" spans="1:49" s="185" customFormat="1" ht="31.5" customHeight="1" x14ac:dyDescent="0.2">
      <c r="A37" s="277">
        <v>35</v>
      </c>
      <c r="B37" s="246" t="s">
        <v>302</v>
      </c>
      <c r="C37" s="246" t="s">
        <v>21</v>
      </c>
      <c r="D37" s="257" t="s">
        <v>170</v>
      </c>
      <c r="E37" s="247" t="s">
        <v>658</v>
      </c>
      <c r="F37" s="246" t="s">
        <v>41</v>
      </c>
      <c r="G37" s="258" t="s">
        <v>303</v>
      </c>
      <c r="H37" s="246" t="s">
        <v>16</v>
      </c>
      <c r="I37" s="249">
        <v>0.17299999999999999</v>
      </c>
      <c r="J37" s="250" t="s">
        <v>623</v>
      </c>
      <c r="K37" s="259">
        <v>1729793.82</v>
      </c>
      <c r="L37" s="259">
        <v>1383835.05</v>
      </c>
      <c r="M37" s="255">
        <f>K37-L37</f>
        <v>345958.77</v>
      </c>
      <c r="N37" s="253">
        <v>0.8</v>
      </c>
      <c r="O37" s="216"/>
      <c r="P37" s="216"/>
      <c r="Q37" s="254"/>
      <c r="R37" s="254"/>
      <c r="S37" s="254">
        <f>L37</f>
        <v>1383835.05</v>
      </c>
      <c r="T37" s="216">
        <v>0</v>
      </c>
      <c r="U37" s="216">
        <v>0</v>
      </c>
      <c r="V37" s="216"/>
      <c r="W37" s="216"/>
      <c r="X37" s="217"/>
      <c r="Y37" s="187" t="b">
        <f t="shared" si="6"/>
        <v>1</v>
      </c>
      <c r="Z37" s="188">
        <f t="shared" si="7"/>
        <v>0.8</v>
      </c>
      <c r="AA37" s="187" t="b">
        <f t="shared" si="8"/>
        <v>1</v>
      </c>
      <c r="AB37" s="187" t="b">
        <f t="shared" si="9"/>
        <v>1</v>
      </c>
      <c r="AC37" s="152"/>
      <c r="AD37" s="152"/>
      <c r="AE37" s="152"/>
      <c r="AF37" s="152"/>
      <c r="AG37" s="152"/>
      <c r="AH37" s="152"/>
      <c r="AI37" s="152"/>
      <c r="AJ37" s="152"/>
      <c r="AK37" s="152"/>
      <c r="AL37" s="152"/>
      <c r="AM37" s="152"/>
      <c r="AN37" s="152"/>
      <c r="AO37" s="152"/>
      <c r="AP37" s="152"/>
      <c r="AQ37" s="152"/>
      <c r="AR37" s="152"/>
      <c r="AS37" s="152"/>
      <c r="AT37" s="152"/>
      <c r="AU37" s="152"/>
      <c r="AV37" s="152"/>
      <c r="AW37" s="152"/>
    </row>
    <row r="38" spans="1:49" s="185" customFormat="1" ht="31.5" customHeight="1" x14ac:dyDescent="0.2">
      <c r="A38" s="277">
        <v>36</v>
      </c>
      <c r="B38" s="246" t="s">
        <v>304</v>
      </c>
      <c r="C38" s="246" t="s">
        <v>21</v>
      </c>
      <c r="D38" s="257" t="s">
        <v>305</v>
      </c>
      <c r="E38" s="247" t="s">
        <v>671</v>
      </c>
      <c r="F38" s="246" t="s">
        <v>55</v>
      </c>
      <c r="G38" s="258" t="s">
        <v>306</v>
      </c>
      <c r="H38" s="246" t="s">
        <v>18</v>
      </c>
      <c r="I38" s="249">
        <v>1.4770000000000001</v>
      </c>
      <c r="J38" s="250" t="s">
        <v>216</v>
      </c>
      <c r="K38" s="259">
        <v>2976521</v>
      </c>
      <c r="L38" s="259">
        <v>2083564.7</v>
      </c>
      <c r="M38" s="255">
        <v>892956.3</v>
      </c>
      <c r="N38" s="253">
        <v>0.7</v>
      </c>
      <c r="O38" s="216"/>
      <c r="P38" s="216"/>
      <c r="Q38" s="254"/>
      <c r="R38" s="254"/>
      <c r="S38" s="254">
        <v>2083564.7</v>
      </c>
      <c r="T38" s="216">
        <v>0</v>
      </c>
      <c r="U38" s="216">
        <v>0</v>
      </c>
      <c r="V38" s="216"/>
      <c r="W38" s="216"/>
      <c r="X38" s="217"/>
      <c r="Y38" s="187" t="b">
        <f t="shared" si="6"/>
        <v>1</v>
      </c>
      <c r="Z38" s="188">
        <f t="shared" si="7"/>
        <v>0.7</v>
      </c>
      <c r="AA38" s="187" t="b">
        <f t="shared" si="8"/>
        <v>1</v>
      </c>
      <c r="AB38" s="187" t="b">
        <f t="shared" si="9"/>
        <v>1</v>
      </c>
      <c r="AC38" s="152"/>
      <c r="AD38" s="152"/>
      <c r="AE38" s="152"/>
      <c r="AF38" s="152"/>
      <c r="AG38" s="152"/>
      <c r="AH38" s="152"/>
      <c r="AI38" s="152"/>
      <c r="AJ38" s="152"/>
      <c r="AK38" s="152"/>
      <c r="AL38" s="152"/>
      <c r="AM38" s="152"/>
      <c r="AN38" s="152"/>
      <c r="AO38" s="152"/>
      <c r="AP38" s="152"/>
      <c r="AQ38" s="152"/>
      <c r="AR38" s="152"/>
      <c r="AS38" s="152"/>
      <c r="AT38" s="152"/>
      <c r="AU38" s="152"/>
      <c r="AV38" s="152"/>
      <c r="AW38" s="152"/>
    </row>
    <row r="39" spans="1:49" s="185" customFormat="1" ht="30.75" customHeight="1" x14ac:dyDescent="0.2">
      <c r="A39" s="277">
        <v>37</v>
      </c>
      <c r="B39" s="246" t="s">
        <v>307</v>
      </c>
      <c r="C39" s="246" t="s">
        <v>21</v>
      </c>
      <c r="D39" s="257" t="s">
        <v>308</v>
      </c>
      <c r="E39" s="247" t="s">
        <v>672</v>
      </c>
      <c r="F39" s="246" t="s">
        <v>47</v>
      </c>
      <c r="G39" s="258" t="s">
        <v>309</v>
      </c>
      <c r="H39" s="246" t="s">
        <v>18</v>
      </c>
      <c r="I39" s="249">
        <v>1.3</v>
      </c>
      <c r="J39" s="250" t="s">
        <v>252</v>
      </c>
      <c r="K39" s="259">
        <v>1255185.26</v>
      </c>
      <c r="L39" s="259">
        <v>625000</v>
      </c>
      <c r="M39" s="255">
        <f>K39-L39</f>
        <v>630185.26</v>
      </c>
      <c r="N39" s="253">
        <v>0.5</v>
      </c>
      <c r="O39" s="216"/>
      <c r="P39" s="216"/>
      <c r="Q39" s="254"/>
      <c r="R39" s="254"/>
      <c r="S39" s="254">
        <v>625000</v>
      </c>
      <c r="T39" s="216">
        <v>0</v>
      </c>
      <c r="U39" s="216">
        <v>0</v>
      </c>
      <c r="V39" s="216"/>
      <c r="W39" s="216"/>
      <c r="X39" s="217"/>
      <c r="Y39" s="187" t="b">
        <f t="shared" si="6"/>
        <v>1</v>
      </c>
      <c r="Z39" s="188">
        <f t="shared" si="7"/>
        <v>0.49790000000000001</v>
      </c>
      <c r="AA39" s="187" t="b">
        <f t="shared" si="8"/>
        <v>0</v>
      </c>
      <c r="AB39" s="187" t="b">
        <f t="shared" si="9"/>
        <v>1</v>
      </c>
      <c r="AC39" s="152"/>
      <c r="AD39" s="152"/>
      <c r="AE39" s="152"/>
      <c r="AF39" s="152"/>
      <c r="AG39" s="15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152"/>
      <c r="AU39" s="152"/>
      <c r="AV39" s="152"/>
      <c r="AW39" s="152"/>
    </row>
    <row r="40" spans="1:49" s="185" customFormat="1" ht="48.75" customHeight="1" x14ac:dyDescent="0.2">
      <c r="A40" s="283" t="s">
        <v>774</v>
      </c>
      <c r="B40" s="246" t="s">
        <v>310</v>
      </c>
      <c r="C40" s="246" t="s">
        <v>21</v>
      </c>
      <c r="D40" s="257" t="s">
        <v>311</v>
      </c>
      <c r="E40" s="247" t="s">
        <v>673</v>
      </c>
      <c r="F40" s="246" t="s">
        <v>312</v>
      </c>
      <c r="G40" s="258" t="s">
        <v>313</v>
      </c>
      <c r="H40" s="246" t="s">
        <v>16</v>
      </c>
      <c r="I40" s="249">
        <v>0</v>
      </c>
      <c r="J40" s="250" t="s">
        <v>267</v>
      </c>
      <c r="K40" s="259">
        <v>0</v>
      </c>
      <c r="L40" s="259">
        <v>0</v>
      </c>
      <c r="M40" s="255">
        <v>0</v>
      </c>
      <c r="N40" s="253">
        <v>0.6</v>
      </c>
      <c r="O40" s="216"/>
      <c r="P40" s="216"/>
      <c r="Q40" s="254"/>
      <c r="R40" s="254"/>
      <c r="S40" s="254">
        <v>0</v>
      </c>
      <c r="T40" s="216">
        <v>0</v>
      </c>
      <c r="U40" s="216">
        <v>0</v>
      </c>
      <c r="V40" s="216"/>
      <c r="W40" s="216"/>
      <c r="X40" s="217"/>
      <c r="Y40" s="187" t="b">
        <f t="shared" si="6"/>
        <v>1</v>
      </c>
      <c r="Z40" s="188" t="e">
        <f t="shared" si="7"/>
        <v>#DIV/0!</v>
      </c>
      <c r="AA40" s="187" t="e">
        <f t="shared" si="8"/>
        <v>#DIV/0!</v>
      </c>
      <c r="AB40" s="187" t="b">
        <f t="shared" si="9"/>
        <v>1</v>
      </c>
      <c r="AC40" s="152"/>
      <c r="AD40" s="152"/>
      <c r="AE40" s="152"/>
      <c r="AF40" s="152"/>
      <c r="AG40" s="15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152"/>
      <c r="AU40" s="152"/>
      <c r="AV40" s="152"/>
      <c r="AW40" s="152"/>
    </row>
    <row r="41" spans="1:49" s="164" customFormat="1" ht="56.25" customHeight="1" x14ac:dyDescent="0.2">
      <c r="A41" s="232">
        <v>39</v>
      </c>
      <c r="B41" s="218" t="s">
        <v>314</v>
      </c>
      <c r="C41" s="218" t="s">
        <v>19</v>
      </c>
      <c r="D41" s="220" t="s">
        <v>171</v>
      </c>
      <c r="E41" s="221" t="s">
        <v>659</v>
      </c>
      <c r="F41" s="218" t="s">
        <v>42</v>
      </c>
      <c r="G41" s="233" t="s">
        <v>315</v>
      </c>
      <c r="H41" s="218" t="s">
        <v>16</v>
      </c>
      <c r="I41" s="223">
        <v>0.34499999999999997</v>
      </c>
      <c r="J41" s="234" t="s">
        <v>316</v>
      </c>
      <c r="K41" s="224">
        <v>4495749.83</v>
      </c>
      <c r="L41" s="224">
        <v>3596599.86</v>
      </c>
      <c r="M41" s="225">
        <f>K41-L41</f>
        <v>899149.9700000002</v>
      </c>
      <c r="N41" s="226">
        <v>0.8</v>
      </c>
      <c r="O41" s="230"/>
      <c r="P41" s="230"/>
      <c r="Q41" s="227"/>
      <c r="R41" s="227"/>
      <c r="S41" s="227">
        <v>86592</v>
      </c>
      <c r="T41" s="230">
        <v>3510007.86</v>
      </c>
      <c r="U41" s="230">
        <v>0</v>
      </c>
      <c r="V41" s="230"/>
      <c r="W41" s="230"/>
      <c r="X41" s="238"/>
      <c r="Y41" s="260" t="b">
        <f t="shared" si="6"/>
        <v>1</v>
      </c>
      <c r="Z41" s="261">
        <f t="shared" si="7"/>
        <v>0.8</v>
      </c>
      <c r="AA41" s="260" t="b">
        <f t="shared" si="8"/>
        <v>1</v>
      </c>
      <c r="AB41" s="260" t="b">
        <f t="shared" si="9"/>
        <v>1</v>
      </c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</row>
    <row r="42" spans="1:49" s="185" customFormat="1" ht="31.5" customHeight="1" x14ac:dyDescent="0.2">
      <c r="A42" s="277">
        <v>40</v>
      </c>
      <c r="B42" s="246" t="s">
        <v>317</v>
      </c>
      <c r="C42" s="246" t="s">
        <v>21</v>
      </c>
      <c r="D42" s="257" t="s">
        <v>318</v>
      </c>
      <c r="E42" s="247" t="s">
        <v>674</v>
      </c>
      <c r="F42" s="246" t="s">
        <v>51</v>
      </c>
      <c r="G42" s="258" t="s">
        <v>319</v>
      </c>
      <c r="H42" s="246" t="s">
        <v>16</v>
      </c>
      <c r="I42" s="249">
        <v>0.48</v>
      </c>
      <c r="J42" s="250" t="s">
        <v>216</v>
      </c>
      <c r="K42" s="259">
        <v>707003.47</v>
      </c>
      <c r="L42" s="259">
        <v>494902.43</v>
      </c>
      <c r="M42" s="255">
        <f>K42-L42</f>
        <v>212101.03999999998</v>
      </c>
      <c r="N42" s="253">
        <v>0.7</v>
      </c>
      <c r="O42" s="216"/>
      <c r="P42" s="216"/>
      <c r="Q42" s="254"/>
      <c r="R42" s="254"/>
      <c r="S42" s="254">
        <f>L42</f>
        <v>494902.43</v>
      </c>
      <c r="T42" s="216">
        <v>0</v>
      </c>
      <c r="U42" s="216">
        <v>0</v>
      </c>
      <c r="V42" s="216"/>
      <c r="W42" s="216"/>
      <c r="X42" s="217"/>
      <c r="Y42" s="187" t="b">
        <f t="shared" si="6"/>
        <v>1</v>
      </c>
      <c r="Z42" s="188">
        <f t="shared" si="7"/>
        <v>0.7</v>
      </c>
      <c r="AA42" s="187" t="b">
        <f t="shared" si="8"/>
        <v>1</v>
      </c>
      <c r="AB42" s="187" t="b">
        <f t="shared" si="9"/>
        <v>1</v>
      </c>
      <c r="AC42" s="152"/>
      <c r="AD42" s="152"/>
      <c r="AE42" s="152"/>
      <c r="AF42" s="152"/>
      <c r="AG42" s="152"/>
      <c r="AH42" s="152"/>
      <c r="AI42" s="152"/>
      <c r="AJ42" s="152"/>
      <c r="AK42" s="152"/>
      <c r="AL42" s="152"/>
      <c r="AM42" s="152"/>
      <c r="AN42" s="152"/>
      <c r="AO42" s="152"/>
      <c r="AP42" s="152"/>
      <c r="AQ42" s="152"/>
      <c r="AR42" s="152"/>
      <c r="AS42" s="152"/>
      <c r="AT42" s="152"/>
      <c r="AU42" s="152"/>
      <c r="AV42" s="152"/>
      <c r="AW42" s="152"/>
    </row>
    <row r="43" spans="1:49" s="164" customFormat="1" ht="45" customHeight="1" x14ac:dyDescent="0.2">
      <c r="A43" s="232">
        <v>41</v>
      </c>
      <c r="B43" s="218" t="s">
        <v>320</v>
      </c>
      <c r="C43" s="218" t="s">
        <v>19</v>
      </c>
      <c r="D43" s="220" t="s">
        <v>139</v>
      </c>
      <c r="E43" s="221" t="s">
        <v>675</v>
      </c>
      <c r="F43" s="218" t="s">
        <v>45</v>
      </c>
      <c r="G43" s="233" t="s">
        <v>321</v>
      </c>
      <c r="H43" s="218" t="s">
        <v>28</v>
      </c>
      <c r="I43" s="223">
        <v>0.70099999999999996</v>
      </c>
      <c r="J43" s="234" t="s">
        <v>744</v>
      </c>
      <c r="K43" s="224">
        <v>6210962.1699999999</v>
      </c>
      <c r="L43" s="224">
        <v>3196408.8000000003</v>
      </c>
      <c r="M43" s="225">
        <f>K43-L43</f>
        <v>3014553.3699999996</v>
      </c>
      <c r="N43" s="226">
        <v>0.8</v>
      </c>
      <c r="O43" s="230"/>
      <c r="P43" s="230"/>
      <c r="Q43" s="227"/>
      <c r="R43" s="227"/>
      <c r="S43" s="227">
        <v>1600000</v>
      </c>
      <c r="T43" s="230">
        <v>1596408.8</v>
      </c>
      <c r="U43" s="230">
        <v>0</v>
      </c>
      <c r="V43" s="230"/>
      <c r="W43" s="230"/>
      <c r="X43" s="238"/>
      <c r="Y43" s="260" t="b">
        <f t="shared" si="6"/>
        <v>1</v>
      </c>
      <c r="Z43" s="261">
        <f t="shared" si="7"/>
        <v>0.51459999999999995</v>
      </c>
      <c r="AA43" s="260" t="b">
        <f t="shared" si="8"/>
        <v>0</v>
      </c>
      <c r="AB43" s="260" t="b">
        <f t="shared" si="9"/>
        <v>1</v>
      </c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</row>
    <row r="44" spans="1:49" s="185" customFormat="1" ht="31.5" customHeight="1" x14ac:dyDescent="0.2">
      <c r="A44" s="283" t="s">
        <v>772</v>
      </c>
      <c r="B44" s="246" t="s">
        <v>322</v>
      </c>
      <c r="C44" s="246" t="s">
        <v>21</v>
      </c>
      <c r="D44" s="257" t="s">
        <v>323</v>
      </c>
      <c r="E44" s="247" t="s">
        <v>729</v>
      </c>
      <c r="F44" s="246" t="s">
        <v>45</v>
      </c>
      <c r="G44" s="258" t="s">
        <v>324</v>
      </c>
      <c r="H44" s="246" t="s">
        <v>16</v>
      </c>
      <c r="I44" s="249">
        <v>0</v>
      </c>
      <c r="J44" s="250" t="s">
        <v>216</v>
      </c>
      <c r="K44" s="259">
        <v>0</v>
      </c>
      <c r="L44" s="259">
        <v>0</v>
      </c>
      <c r="M44" s="255">
        <v>0</v>
      </c>
      <c r="N44" s="253">
        <v>0.5</v>
      </c>
      <c r="O44" s="216"/>
      <c r="P44" s="216"/>
      <c r="Q44" s="254"/>
      <c r="R44" s="254"/>
      <c r="S44" s="254">
        <v>0</v>
      </c>
      <c r="T44" s="216">
        <v>0</v>
      </c>
      <c r="U44" s="216">
        <v>0</v>
      </c>
      <c r="V44" s="216"/>
      <c r="W44" s="216"/>
      <c r="X44" s="217"/>
      <c r="Y44" s="187" t="b">
        <f t="shared" si="6"/>
        <v>1</v>
      </c>
      <c r="Z44" s="188" t="e">
        <f t="shared" si="7"/>
        <v>#DIV/0!</v>
      </c>
      <c r="AA44" s="187" t="e">
        <f t="shared" si="8"/>
        <v>#DIV/0!</v>
      </c>
      <c r="AB44" s="187" t="b">
        <f t="shared" si="9"/>
        <v>1</v>
      </c>
      <c r="AC44" s="152"/>
      <c r="AD44" s="152"/>
      <c r="AE44" s="152"/>
      <c r="AF44" s="152"/>
      <c r="AG44" s="15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</row>
    <row r="45" spans="1:49" s="185" customFormat="1" ht="28.5" customHeight="1" x14ac:dyDescent="0.2">
      <c r="A45" s="277">
        <v>43</v>
      </c>
      <c r="B45" s="246" t="s">
        <v>325</v>
      </c>
      <c r="C45" s="246" t="s">
        <v>21</v>
      </c>
      <c r="D45" s="257" t="s">
        <v>326</v>
      </c>
      <c r="E45" s="247" t="s">
        <v>676</v>
      </c>
      <c r="F45" s="246" t="s">
        <v>327</v>
      </c>
      <c r="G45" s="258" t="s">
        <v>328</v>
      </c>
      <c r="H45" s="246" t="s">
        <v>16</v>
      </c>
      <c r="I45" s="249">
        <v>0.41699999999999998</v>
      </c>
      <c r="J45" s="250" t="s">
        <v>211</v>
      </c>
      <c r="K45" s="259">
        <v>1492411.23</v>
      </c>
      <c r="L45" s="259">
        <f>K45*N45</f>
        <v>1193928.9839999999</v>
      </c>
      <c r="M45" s="255">
        <f>K45-L45</f>
        <v>298482.24600000004</v>
      </c>
      <c r="N45" s="253">
        <v>0.8</v>
      </c>
      <c r="O45" s="216"/>
      <c r="P45" s="216"/>
      <c r="Q45" s="254"/>
      <c r="R45" s="254"/>
      <c r="S45" s="254">
        <f>L45</f>
        <v>1193928.9839999999</v>
      </c>
      <c r="T45" s="216">
        <v>0</v>
      </c>
      <c r="U45" s="216">
        <v>0</v>
      </c>
      <c r="V45" s="216"/>
      <c r="W45" s="216"/>
      <c r="X45" s="217"/>
      <c r="Y45" s="187" t="b">
        <f t="shared" si="6"/>
        <v>1</v>
      </c>
      <c r="Z45" s="188">
        <f t="shared" si="7"/>
        <v>0.8</v>
      </c>
      <c r="AA45" s="187" t="b">
        <f t="shared" si="8"/>
        <v>1</v>
      </c>
      <c r="AB45" s="187" t="b">
        <f t="shared" si="9"/>
        <v>1</v>
      </c>
      <c r="AC45" s="152"/>
      <c r="AD45" s="152"/>
      <c r="AE45" s="152"/>
      <c r="AF45" s="152"/>
      <c r="AG45" s="15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152"/>
      <c r="AU45" s="152"/>
      <c r="AV45" s="152"/>
      <c r="AW45" s="152"/>
    </row>
    <row r="46" spans="1:49" s="164" customFormat="1" ht="43.5" customHeight="1" x14ac:dyDescent="0.2">
      <c r="A46" s="218" t="s">
        <v>792</v>
      </c>
      <c r="B46" s="218" t="s">
        <v>329</v>
      </c>
      <c r="C46" s="218" t="s">
        <v>19</v>
      </c>
      <c r="D46" s="220" t="s">
        <v>137</v>
      </c>
      <c r="E46" s="221" t="s">
        <v>677</v>
      </c>
      <c r="F46" s="218" t="s">
        <v>47</v>
      </c>
      <c r="G46" s="233" t="s">
        <v>330</v>
      </c>
      <c r="H46" s="218" t="s">
        <v>16</v>
      </c>
      <c r="I46" s="223">
        <v>0</v>
      </c>
      <c r="J46" s="234" t="s">
        <v>331</v>
      </c>
      <c r="K46" s="224">
        <v>0</v>
      </c>
      <c r="L46" s="224">
        <v>0</v>
      </c>
      <c r="M46" s="225">
        <v>0</v>
      </c>
      <c r="N46" s="226">
        <v>0.6</v>
      </c>
      <c r="O46" s="230"/>
      <c r="P46" s="230"/>
      <c r="Q46" s="227"/>
      <c r="R46" s="227"/>
      <c r="S46" s="227">
        <v>0</v>
      </c>
      <c r="T46" s="230">
        <v>0</v>
      </c>
      <c r="U46" s="230">
        <v>0</v>
      </c>
      <c r="V46" s="230"/>
      <c r="W46" s="230"/>
      <c r="X46" s="238"/>
      <c r="Y46" s="260" t="b">
        <f t="shared" si="6"/>
        <v>1</v>
      </c>
      <c r="Z46" s="261" t="e">
        <f t="shared" si="7"/>
        <v>#DIV/0!</v>
      </c>
      <c r="AA46" s="260" t="e">
        <f t="shared" si="8"/>
        <v>#DIV/0!</v>
      </c>
      <c r="AB46" s="260" t="b">
        <f t="shared" si="9"/>
        <v>1</v>
      </c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</row>
    <row r="47" spans="1:49" s="164" customFormat="1" ht="31.5" customHeight="1" x14ac:dyDescent="0.2">
      <c r="A47" s="232">
        <v>45</v>
      </c>
      <c r="B47" s="218" t="s">
        <v>332</v>
      </c>
      <c r="C47" s="218" t="s">
        <v>19</v>
      </c>
      <c r="D47" s="220" t="s">
        <v>333</v>
      </c>
      <c r="E47" s="221" t="s">
        <v>334</v>
      </c>
      <c r="F47" s="218" t="s">
        <v>42</v>
      </c>
      <c r="G47" s="233" t="s">
        <v>335</v>
      </c>
      <c r="H47" s="218" t="s">
        <v>16</v>
      </c>
      <c r="I47" s="223">
        <v>0.92</v>
      </c>
      <c r="J47" s="234" t="s">
        <v>336</v>
      </c>
      <c r="K47" s="224">
        <v>987169</v>
      </c>
      <c r="L47" s="224">
        <v>789735.2</v>
      </c>
      <c r="M47" s="225">
        <f>K47-L47</f>
        <v>197433.80000000005</v>
      </c>
      <c r="N47" s="226">
        <v>0.8</v>
      </c>
      <c r="O47" s="230"/>
      <c r="P47" s="230"/>
      <c r="Q47" s="227"/>
      <c r="R47" s="227"/>
      <c r="S47" s="227">
        <v>580520.80000000005</v>
      </c>
      <c r="T47" s="230">
        <v>209214.4</v>
      </c>
      <c r="U47" s="230">
        <v>0</v>
      </c>
      <c r="V47" s="230"/>
      <c r="W47" s="230"/>
      <c r="X47" s="238"/>
      <c r="Y47" s="260" t="b">
        <f t="shared" si="6"/>
        <v>1</v>
      </c>
      <c r="Z47" s="261">
        <f t="shared" si="7"/>
        <v>0.8</v>
      </c>
      <c r="AA47" s="260" t="b">
        <f t="shared" si="8"/>
        <v>1</v>
      </c>
      <c r="AB47" s="260" t="b">
        <f t="shared" si="9"/>
        <v>1</v>
      </c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</row>
    <row r="48" spans="1:49" s="185" customFormat="1" ht="31.5" customHeight="1" x14ac:dyDescent="0.2">
      <c r="A48" s="277">
        <v>46</v>
      </c>
      <c r="B48" s="246" t="s">
        <v>337</v>
      </c>
      <c r="C48" s="246" t="s">
        <v>21</v>
      </c>
      <c r="D48" s="257" t="s">
        <v>338</v>
      </c>
      <c r="E48" s="247" t="s">
        <v>339</v>
      </c>
      <c r="F48" s="246" t="s">
        <v>42</v>
      </c>
      <c r="G48" s="258" t="s">
        <v>340</v>
      </c>
      <c r="H48" s="246" t="s">
        <v>18</v>
      </c>
      <c r="I48" s="249">
        <v>0.53</v>
      </c>
      <c r="J48" s="250" t="s">
        <v>341</v>
      </c>
      <c r="K48" s="259">
        <v>975820</v>
      </c>
      <c r="L48" s="259">
        <f>K48*N48</f>
        <v>585492</v>
      </c>
      <c r="M48" s="255">
        <f>K48-L48</f>
        <v>390328</v>
      </c>
      <c r="N48" s="253">
        <v>0.6</v>
      </c>
      <c r="O48" s="216"/>
      <c r="P48" s="216"/>
      <c r="Q48" s="254"/>
      <c r="R48" s="254"/>
      <c r="S48" s="254">
        <f>L48</f>
        <v>585492</v>
      </c>
      <c r="T48" s="216">
        <v>0</v>
      </c>
      <c r="U48" s="216">
        <v>0</v>
      </c>
      <c r="V48" s="216"/>
      <c r="W48" s="216"/>
      <c r="X48" s="217"/>
      <c r="Y48" s="187" t="b">
        <f t="shared" si="6"/>
        <v>1</v>
      </c>
      <c r="Z48" s="188">
        <f t="shared" si="7"/>
        <v>0.6</v>
      </c>
      <c r="AA48" s="187" t="b">
        <f t="shared" si="8"/>
        <v>1</v>
      </c>
      <c r="AB48" s="187" t="b">
        <f t="shared" si="9"/>
        <v>1</v>
      </c>
      <c r="AC48" s="152"/>
      <c r="AD48" s="152"/>
      <c r="AE48" s="152"/>
      <c r="AF48" s="152"/>
      <c r="AG48" s="152"/>
      <c r="AH48" s="152"/>
      <c r="AI48" s="152"/>
      <c r="AJ48" s="152"/>
      <c r="AK48" s="152"/>
      <c r="AL48" s="152"/>
      <c r="AM48" s="152"/>
      <c r="AN48" s="152"/>
      <c r="AO48" s="152"/>
      <c r="AP48" s="152"/>
      <c r="AQ48" s="152"/>
      <c r="AR48" s="152"/>
      <c r="AS48" s="152"/>
      <c r="AT48" s="152"/>
      <c r="AU48" s="152"/>
      <c r="AV48" s="152"/>
      <c r="AW48" s="152"/>
    </row>
    <row r="49" spans="1:49" s="164" customFormat="1" ht="31.5" customHeight="1" x14ac:dyDescent="0.2">
      <c r="A49" s="232">
        <v>47</v>
      </c>
      <c r="B49" s="218" t="s">
        <v>342</v>
      </c>
      <c r="C49" s="218" t="s">
        <v>19</v>
      </c>
      <c r="D49" s="220" t="s">
        <v>343</v>
      </c>
      <c r="E49" s="221" t="s">
        <v>730</v>
      </c>
      <c r="F49" s="218" t="s">
        <v>45</v>
      </c>
      <c r="G49" s="233" t="s">
        <v>344</v>
      </c>
      <c r="H49" s="218" t="s">
        <v>16</v>
      </c>
      <c r="I49" s="223">
        <v>0.90800000000000003</v>
      </c>
      <c r="J49" s="234" t="s">
        <v>345</v>
      </c>
      <c r="K49" s="224">
        <v>1515836</v>
      </c>
      <c r="L49" s="224">
        <v>1061085.2</v>
      </c>
      <c r="M49" s="225">
        <v>454750.80000000005</v>
      </c>
      <c r="N49" s="226">
        <v>0.7</v>
      </c>
      <c r="O49" s="230"/>
      <c r="P49" s="230"/>
      <c r="Q49" s="227"/>
      <c r="R49" s="227"/>
      <c r="S49" s="227">
        <v>318325.7</v>
      </c>
      <c r="T49" s="230">
        <v>742759.5</v>
      </c>
      <c r="U49" s="230">
        <v>0</v>
      </c>
      <c r="V49" s="230"/>
      <c r="W49" s="230"/>
      <c r="X49" s="238"/>
      <c r="Y49" s="260" t="b">
        <f t="shared" si="6"/>
        <v>1</v>
      </c>
      <c r="Z49" s="261">
        <f t="shared" si="7"/>
        <v>0.7</v>
      </c>
      <c r="AA49" s="260" t="b">
        <f t="shared" si="8"/>
        <v>1</v>
      </c>
      <c r="AB49" s="260" t="b">
        <f t="shared" si="9"/>
        <v>1</v>
      </c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</row>
    <row r="50" spans="1:49" s="185" customFormat="1" ht="31.5" customHeight="1" x14ac:dyDescent="0.2">
      <c r="A50" s="283" t="s">
        <v>784</v>
      </c>
      <c r="B50" s="246" t="s">
        <v>346</v>
      </c>
      <c r="C50" s="246" t="s">
        <v>21</v>
      </c>
      <c r="D50" s="257" t="s">
        <v>347</v>
      </c>
      <c r="E50" s="247" t="s">
        <v>731</v>
      </c>
      <c r="F50" s="246" t="s">
        <v>51</v>
      </c>
      <c r="G50" s="258" t="s">
        <v>348</v>
      </c>
      <c r="H50" s="246" t="s">
        <v>28</v>
      </c>
      <c r="I50" s="249">
        <v>0</v>
      </c>
      <c r="J50" s="250" t="s">
        <v>349</v>
      </c>
      <c r="K50" s="259">
        <v>0</v>
      </c>
      <c r="L50" s="259">
        <v>0</v>
      </c>
      <c r="M50" s="255">
        <v>0</v>
      </c>
      <c r="N50" s="253">
        <v>0.5</v>
      </c>
      <c r="O50" s="216"/>
      <c r="P50" s="216"/>
      <c r="Q50" s="254"/>
      <c r="R50" s="254"/>
      <c r="S50" s="254">
        <v>0</v>
      </c>
      <c r="T50" s="216">
        <v>0</v>
      </c>
      <c r="U50" s="216">
        <v>0</v>
      </c>
      <c r="V50" s="216"/>
      <c r="W50" s="216"/>
      <c r="X50" s="217"/>
      <c r="Y50" s="187" t="b">
        <f t="shared" si="6"/>
        <v>1</v>
      </c>
      <c r="Z50" s="188" t="e">
        <f t="shared" si="7"/>
        <v>#DIV/0!</v>
      </c>
      <c r="AA50" s="187" t="e">
        <f t="shared" si="8"/>
        <v>#DIV/0!</v>
      </c>
      <c r="AB50" s="187" t="b">
        <f t="shared" si="9"/>
        <v>1</v>
      </c>
      <c r="AC50" s="152"/>
      <c r="AD50" s="152"/>
      <c r="AE50" s="152"/>
      <c r="AF50" s="152"/>
      <c r="AG50" s="152"/>
      <c r="AH50" s="152"/>
      <c r="AI50" s="152"/>
      <c r="AJ50" s="152"/>
      <c r="AK50" s="152"/>
      <c r="AL50" s="152"/>
      <c r="AM50" s="152"/>
      <c r="AN50" s="152"/>
      <c r="AO50" s="152"/>
      <c r="AP50" s="152"/>
      <c r="AQ50" s="152"/>
      <c r="AR50" s="152"/>
      <c r="AS50" s="152"/>
      <c r="AT50" s="152"/>
      <c r="AU50" s="152"/>
      <c r="AV50" s="152"/>
      <c r="AW50" s="152"/>
    </row>
    <row r="51" spans="1:49" s="164" customFormat="1" ht="31.5" customHeight="1" x14ac:dyDescent="0.2">
      <c r="A51" s="232">
        <v>49</v>
      </c>
      <c r="B51" s="218" t="s">
        <v>350</v>
      </c>
      <c r="C51" s="218" t="s">
        <v>19</v>
      </c>
      <c r="D51" s="220" t="s">
        <v>351</v>
      </c>
      <c r="E51" s="221" t="s">
        <v>352</v>
      </c>
      <c r="F51" s="218" t="s">
        <v>41</v>
      </c>
      <c r="G51" s="233" t="s">
        <v>353</v>
      </c>
      <c r="H51" s="218" t="s">
        <v>16</v>
      </c>
      <c r="I51" s="223">
        <v>0.45400000000000001</v>
      </c>
      <c r="J51" s="234" t="s">
        <v>354</v>
      </c>
      <c r="K51" s="224">
        <v>3029444.97</v>
      </c>
      <c r="L51" s="224">
        <v>1514722.48</v>
      </c>
      <c r="M51" s="225">
        <f>K51-L51</f>
        <v>1514722.4900000002</v>
      </c>
      <c r="N51" s="226">
        <v>0.5</v>
      </c>
      <c r="O51" s="230"/>
      <c r="P51" s="230"/>
      <c r="Q51" s="227"/>
      <c r="R51" s="227"/>
      <c r="S51" s="227">
        <v>500000</v>
      </c>
      <c r="T51" s="230">
        <v>1014722.48</v>
      </c>
      <c r="U51" s="230">
        <v>0</v>
      </c>
      <c r="V51" s="230"/>
      <c r="W51" s="230"/>
      <c r="X51" s="238"/>
      <c r="Y51" s="260" t="b">
        <f t="shared" si="6"/>
        <v>1</v>
      </c>
      <c r="Z51" s="261">
        <f t="shared" si="7"/>
        <v>0.5</v>
      </c>
      <c r="AA51" s="260" t="b">
        <f t="shared" si="8"/>
        <v>1</v>
      </c>
      <c r="AB51" s="260" t="b">
        <f t="shared" si="9"/>
        <v>1</v>
      </c>
      <c r="AC51" s="184"/>
      <c r="AD51" s="184"/>
      <c r="AE51" s="184"/>
      <c r="AF51" s="184"/>
      <c r="AG51" s="184"/>
      <c r="AH51" s="184"/>
      <c r="AI51" s="184"/>
      <c r="AJ51" s="184"/>
      <c r="AK51" s="184"/>
      <c r="AL51" s="184"/>
      <c r="AM51" s="184"/>
      <c r="AN51" s="184"/>
      <c r="AO51" s="184"/>
      <c r="AP51" s="184"/>
      <c r="AQ51" s="184"/>
      <c r="AR51" s="184"/>
      <c r="AS51" s="184"/>
      <c r="AT51" s="184"/>
      <c r="AU51" s="184"/>
      <c r="AV51" s="184"/>
      <c r="AW51" s="184"/>
    </row>
    <row r="52" spans="1:49" s="185" customFormat="1" ht="31.5" customHeight="1" x14ac:dyDescent="0.2">
      <c r="A52" s="277">
        <v>50</v>
      </c>
      <c r="B52" s="246" t="s">
        <v>355</v>
      </c>
      <c r="C52" s="246" t="s">
        <v>21</v>
      </c>
      <c r="D52" s="257" t="s">
        <v>356</v>
      </c>
      <c r="E52" s="247" t="s">
        <v>678</v>
      </c>
      <c r="F52" s="246" t="s">
        <v>42</v>
      </c>
      <c r="G52" s="258" t="s">
        <v>357</v>
      </c>
      <c r="H52" s="246" t="s">
        <v>18</v>
      </c>
      <c r="I52" s="249">
        <v>0.17</v>
      </c>
      <c r="J52" s="250" t="s">
        <v>289</v>
      </c>
      <c r="K52" s="259">
        <v>651943</v>
      </c>
      <c r="L52" s="259">
        <v>521554.4</v>
      </c>
      <c r="M52" s="255">
        <v>130388.59999999998</v>
      </c>
      <c r="N52" s="253">
        <v>0.8</v>
      </c>
      <c r="O52" s="216"/>
      <c r="P52" s="216"/>
      <c r="Q52" s="254"/>
      <c r="R52" s="254"/>
      <c r="S52" s="254">
        <v>521554.4</v>
      </c>
      <c r="T52" s="216">
        <v>0</v>
      </c>
      <c r="U52" s="216">
        <v>0</v>
      </c>
      <c r="V52" s="216"/>
      <c r="W52" s="216"/>
      <c r="X52" s="217"/>
      <c r="Y52" s="187" t="b">
        <f t="shared" si="6"/>
        <v>1</v>
      </c>
      <c r="Z52" s="188">
        <f t="shared" si="7"/>
        <v>0.8</v>
      </c>
      <c r="AA52" s="187" t="b">
        <f t="shared" si="8"/>
        <v>1</v>
      </c>
      <c r="AB52" s="187" t="b">
        <f t="shared" si="9"/>
        <v>1</v>
      </c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</row>
    <row r="53" spans="1:49" s="185" customFormat="1" ht="45.75" customHeight="1" x14ac:dyDescent="0.2">
      <c r="A53" s="277">
        <v>51</v>
      </c>
      <c r="B53" s="246" t="s">
        <v>358</v>
      </c>
      <c r="C53" s="246" t="s">
        <v>21</v>
      </c>
      <c r="D53" s="257" t="s">
        <v>359</v>
      </c>
      <c r="E53" s="247" t="s">
        <v>645</v>
      </c>
      <c r="F53" s="246" t="s">
        <v>360</v>
      </c>
      <c r="G53" s="258" t="s">
        <v>361</v>
      </c>
      <c r="H53" s="246" t="s">
        <v>16</v>
      </c>
      <c r="I53" s="249">
        <v>0.254</v>
      </c>
      <c r="J53" s="250" t="s">
        <v>216</v>
      </c>
      <c r="K53" s="259">
        <v>563177</v>
      </c>
      <c r="L53" s="259">
        <v>337906.2</v>
      </c>
      <c r="M53" s="255">
        <v>225270.8</v>
      </c>
      <c r="N53" s="253">
        <v>0.6</v>
      </c>
      <c r="O53" s="216"/>
      <c r="P53" s="216"/>
      <c r="Q53" s="254"/>
      <c r="R53" s="254"/>
      <c r="S53" s="254">
        <v>337906.2</v>
      </c>
      <c r="T53" s="216">
        <v>0</v>
      </c>
      <c r="U53" s="216">
        <v>0</v>
      </c>
      <c r="V53" s="216"/>
      <c r="W53" s="216"/>
      <c r="X53" s="217"/>
      <c r="Y53" s="187" t="b">
        <f t="shared" si="6"/>
        <v>1</v>
      </c>
      <c r="Z53" s="188">
        <f t="shared" si="7"/>
        <v>0.6</v>
      </c>
      <c r="AA53" s="187" t="b">
        <f t="shared" si="8"/>
        <v>1</v>
      </c>
      <c r="AB53" s="187" t="b">
        <f t="shared" si="9"/>
        <v>1</v>
      </c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</row>
    <row r="54" spans="1:49" s="185" customFormat="1" ht="27" customHeight="1" x14ac:dyDescent="0.2">
      <c r="A54" s="277">
        <v>52</v>
      </c>
      <c r="B54" s="246" t="s">
        <v>362</v>
      </c>
      <c r="C54" s="246" t="s">
        <v>21</v>
      </c>
      <c r="D54" s="257" t="s">
        <v>363</v>
      </c>
      <c r="E54" s="247" t="s">
        <v>679</v>
      </c>
      <c r="F54" s="246" t="s">
        <v>364</v>
      </c>
      <c r="G54" s="258" t="s">
        <v>365</v>
      </c>
      <c r="H54" s="246" t="s">
        <v>16</v>
      </c>
      <c r="I54" s="249">
        <v>1.573</v>
      </c>
      <c r="J54" s="250" t="s">
        <v>366</v>
      </c>
      <c r="K54" s="259">
        <v>1372646.31</v>
      </c>
      <c r="L54" s="259">
        <f>K54*N54</f>
        <v>960852.41700000002</v>
      </c>
      <c r="M54" s="255">
        <f>K54-L54</f>
        <v>411793.89300000004</v>
      </c>
      <c r="N54" s="253">
        <v>0.7</v>
      </c>
      <c r="O54" s="216"/>
      <c r="P54" s="216"/>
      <c r="Q54" s="254"/>
      <c r="R54" s="254"/>
      <c r="S54" s="254">
        <f>L54</f>
        <v>960852.41700000002</v>
      </c>
      <c r="T54" s="216">
        <v>0</v>
      </c>
      <c r="U54" s="216">
        <v>0</v>
      </c>
      <c r="V54" s="216"/>
      <c r="W54" s="216"/>
      <c r="X54" s="217"/>
      <c r="Y54" s="187" t="b">
        <f t="shared" si="6"/>
        <v>1</v>
      </c>
      <c r="Z54" s="188">
        <f t="shared" si="7"/>
        <v>0.7</v>
      </c>
      <c r="AA54" s="187" t="b">
        <f t="shared" si="8"/>
        <v>1</v>
      </c>
      <c r="AB54" s="187" t="b">
        <f t="shared" si="9"/>
        <v>1</v>
      </c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</row>
    <row r="55" spans="1:49" s="185" customFormat="1" ht="37.5" customHeight="1" x14ac:dyDescent="0.2">
      <c r="A55" s="277">
        <v>53</v>
      </c>
      <c r="B55" s="246" t="s">
        <v>367</v>
      </c>
      <c r="C55" s="246" t="s">
        <v>21</v>
      </c>
      <c r="D55" s="257" t="s">
        <v>138</v>
      </c>
      <c r="E55" s="247" t="s">
        <v>680</v>
      </c>
      <c r="F55" s="246" t="s">
        <v>41</v>
      </c>
      <c r="G55" s="258" t="s">
        <v>368</v>
      </c>
      <c r="H55" s="246" t="s">
        <v>16</v>
      </c>
      <c r="I55" s="249">
        <v>0.08</v>
      </c>
      <c r="J55" s="250" t="s">
        <v>271</v>
      </c>
      <c r="K55" s="259">
        <v>729722.12</v>
      </c>
      <c r="L55" s="259">
        <v>358342.2</v>
      </c>
      <c r="M55" s="255">
        <f>K55-L55</f>
        <v>371379.92</v>
      </c>
      <c r="N55" s="253">
        <v>0.6</v>
      </c>
      <c r="O55" s="216"/>
      <c r="P55" s="216"/>
      <c r="Q55" s="254"/>
      <c r="R55" s="254"/>
      <c r="S55" s="254">
        <v>358342.2</v>
      </c>
      <c r="T55" s="216">
        <v>0</v>
      </c>
      <c r="U55" s="216">
        <v>0</v>
      </c>
      <c r="V55" s="216"/>
      <c r="W55" s="216"/>
      <c r="X55" s="217"/>
      <c r="Y55" s="187" t="b">
        <f t="shared" si="6"/>
        <v>1</v>
      </c>
      <c r="Z55" s="188">
        <f t="shared" si="7"/>
        <v>0.49109999999999998</v>
      </c>
      <c r="AA55" s="187" t="b">
        <f t="shared" si="8"/>
        <v>0</v>
      </c>
      <c r="AB55" s="187" t="b">
        <f t="shared" si="9"/>
        <v>1</v>
      </c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</row>
    <row r="56" spans="1:49" s="185" customFormat="1" ht="26.25" customHeight="1" x14ac:dyDescent="0.2">
      <c r="A56" s="277">
        <v>54</v>
      </c>
      <c r="B56" s="246" t="s">
        <v>369</v>
      </c>
      <c r="C56" s="246" t="s">
        <v>21</v>
      </c>
      <c r="D56" s="257" t="s">
        <v>370</v>
      </c>
      <c r="E56" s="247" t="s">
        <v>681</v>
      </c>
      <c r="F56" s="246" t="s">
        <v>75</v>
      </c>
      <c r="G56" s="258" t="s">
        <v>371</v>
      </c>
      <c r="H56" s="246" t="s">
        <v>16</v>
      </c>
      <c r="I56" s="249">
        <v>0.626</v>
      </c>
      <c r="J56" s="250" t="s">
        <v>372</v>
      </c>
      <c r="K56" s="259">
        <v>2515219.13</v>
      </c>
      <c r="L56" s="259">
        <v>1196364</v>
      </c>
      <c r="M56" s="255">
        <f>K56-L56</f>
        <v>1318855.1299999999</v>
      </c>
      <c r="N56" s="253">
        <v>0.6</v>
      </c>
      <c r="O56" s="216"/>
      <c r="P56" s="216"/>
      <c r="Q56" s="254"/>
      <c r="R56" s="254"/>
      <c r="S56" s="254">
        <v>1196364</v>
      </c>
      <c r="T56" s="216">
        <v>0</v>
      </c>
      <c r="U56" s="216">
        <v>0</v>
      </c>
      <c r="V56" s="216"/>
      <c r="W56" s="216"/>
      <c r="X56" s="217"/>
      <c r="Y56" s="187" t="b">
        <f t="shared" si="6"/>
        <v>1</v>
      </c>
      <c r="Z56" s="188">
        <f t="shared" si="7"/>
        <v>0.47570000000000001</v>
      </c>
      <c r="AA56" s="187" t="b">
        <f t="shared" si="8"/>
        <v>0</v>
      </c>
      <c r="AB56" s="187" t="b">
        <f t="shared" si="9"/>
        <v>1</v>
      </c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</row>
    <row r="57" spans="1:49" s="185" customFormat="1" ht="27.75" customHeight="1" x14ac:dyDescent="0.2">
      <c r="A57" s="277">
        <v>55</v>
      </c>
      <c r="B57" s="246" t="s">
        <v>373</v>
      </c>
      <c r="C57" s="246" t="s">
        <v>21</v>
      </c>
      <c r="D57" s="257" t="s">
        <v>374</v>
      </c>
      <c r="E57" s="247" t="s">
        <v>682</v>
      </c>
      <c r="F57" s="246" t="s">
        <v>176</v>
      </c>
      <c r="G57" s="258" t="s">
        <v>375</v>
      </c>
      <c r="H57" s="246" t="s">
        <v>16</v>
      </c>
      <c r="I57" s="249">
        <v>0.126</v>
      </c>
      <c r="J57" s="250" t="s">
        <v>376</v>
      </c>
      <c r="K57" s="259">
        <v>254300</v>
      </c>
      <c r="L57" s="259">
        <v>152580</v>
      </c>
      <c r="M57" s="255">
        <v>101720</v>
      </c>
      <c r="N57" s="253">
        <v>0.6</v>
      </c>
      <c r="O57" s="216"/>
      <c r="P57" s="216"/>
      <c r="Q57" s="254"/>
      <c r="R57" s="254"/>
      <c r="S57" s="254">
        <v>152580</v>
      </c>
      <c r="T57" s="216">
        <v>0</v>
      </c>
      <c r="U57" s="216">
        <v>0</v>
      </c>
      <c r="V57" s="216"/>
      <c r="W57" s="216"/>
      <c r="X57" s="217"/>
      <c r="Y57" s="187" t="b">
        <f t="shared" si="6"/>
        <v>1</v>
      </c>
      <c r="Z57" s="188">
        <f t="shared" si="7"/>
        <v>0.6</v>
      </c>
      <c r="AA57" s="187" t="b">
        <f t="shared" si="8"/>
        <v>1</v>
      </c>
      <c r="AB57" s="187" t="b">
        <f t="shared" si="9"/>
        <v>1</v>
      </c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</row>
    <row r="58" spans="1:49" s="185" customFormat="1" ht="38.25" customHeight="1" x14ac:dyDescent="0.2">
      <c r="A58" s="277">
        <v>56</v>
      </c>
      <c r="B58" s="246" t="s">
        <v>377</v>
      </c>
      <c r="C58" s="246" t="s">
        <v>21</v>
      </c>
      <c r="D58" s="257" t="s">
        <v>356</v>
      </c>
      <c r="E58" s="247" t="s">
        <v>678</v>
      </c>
      <c r="F58" s="246" t="s">
        <v>42</v>
      </c>
      <c r="G58" s="258" t="s">
        <v>378</v>
      </c>
      <c r="H58" s="246" t="s">
        <v>18</v>
      </c>
      <c r="I58" s="249">
        <v>0.753</v>
      </c>
      <c r="J58" s="250" t="s">
        <v>289</v>
      </c>
      <c r="K58" s="259">
        <v>4938006</v>
      </c>
      <c r="L58" s="259">
        <v>3950404.8000000003</v>
      </c>
      <c r="M58" s="255">
        <v>987601.19999999972</v>
      </c>
      <c r="N58" s="253">
        <v>0.8</v>
      </c>
      <c r="O58" s="216"/>
      <c r="P58" s="216"/>
      <c r="Q58" s="254"/>
      <c r="R58" s="254"/>
      <c r="S58" s="254">
        <v>3950404.8000000003</v>
      </c>
      <c r="T58" s="216">
        <v>0</v>
      </c>
      <c r="U58" s="216">
        <v>0</v>
      </c>
      <c r="V58" s="216"/>
      <c r="W58" s="216"/>
      <c r="X58" s="217"/>
      <c r="Y58" s="187" t="b">
        <f t="shared" si="6"/>
        <v>1</v>
      </c>
      <c r="Z58" s="188">
        <f t="shared" si="7"/>
        <v>0.8</v>
      </c>
      <c r="AA58" s="187" t="b">
        <f t="shared" si="8"/>
        <v>1</v>
      </c>
      <c r="AB58" s="187" t="b">
        <f t="shared" si="9"/>
        <v>1</v>
      </c>
      <c r="AC58" s="152"/>
      <c r="AD58" s="152"/>
      <c r="AE58" s="152"/>
      <c r="AF58" s="152"/>
      <c r="AG58" s="152"/>
      <c r="AH58" s="152"/>
      <c r="AI58" s="152"/>
      <c r="AJ58" s="152"/>
      <c r="AK58" s="152"/>
      <c r="AL58" s="152"/>
      <c r="AM58" s="152"/>
      <c r="AN58" s="152"/>
      <c r="AO58" s="152"/>
      <c r="AP58" s="152"/>
      <c r="AQ58" s="152"/>
      <c r="AR58" s="152"/>
      <c r="AS58" s="152"/>
      <c r="AT58" s="152"/>
      <c r="AU58" s="152"/>
      <c r="AV58" s="152"/>
      <c r="AW58" s="152"/>
    </row>
    <row r="59" spans="1:49" s="185" customFormat="1" ht="31.5" customHeight="1" x14ac:dyDescent="0.2">
      <c r="A59" s="277">
        <v>57</v>
      </c>
      <c r="B59" s="246" t="s">
        <v>379</v>
      </c>
      <c r="C59" s="246" t="s">
        <v>21</v>
      </c>
      <c r="D59" s="257" t="s">
        <v>380</v>
      </c>
      <c r="E59" s="247" t="s">
        <v>683</v>
      </c>
      <c r="F59" s="246" t="s">
        <v>47</v>
      </c>
      <c r="G59" s="258" t="s">
        <v>381</v>
      </c>
      <c r="H59" s="246" t="s">
        <v>16</v>
      </c>
      <c r="I59" s="249">
        <v>1.87</v>
      </c>
      <c r="J59" s="250" t="s">
        <v>231</v>
      </c>
      <c r="K59" s="259">
        <v>1618000</v>
      </c>
      <c r="L59" s="259">
        <v>970800</v>
      </c>
      <c r="M59" s="255">
        <v>647200</v>
      </c>
      <c r="N59" s="253">
        <v>0.6</v>
      </c>
      <c r="O59" s="216"/>
      <c r="P59" s="216"/>
      <c r="Q59" s="254"/>
      <c r="R59" s="254"/>
      <c r="S59" s="254">
        <v>970800</v>
      </c>
      <c r="T59" s="216">
        <v>0</v>
      </c>
      <c r="U59" s="216">
        <v>0</v>
      </c>
      <c r="V59" s="216"/>
      <c r="W59" s="216"/>
      <c r="X59" s="217"/>
      <c r="Y59" s="187" t="b">
        <f t="shared" si="6"/>
        <v>1</v>
      </c>
      <c r="Z59" s="188">
        <f t="shared" si="7"/>
        <v>0.6</v>
      </c>
      <c r="AA59" s="187" t="b">
        <f t="shared" si="8"/>
        <v>1</v>
      </c>
      <c r="AB59" s="187" t="b">
        <f t="shared" si="9"/>
        <v>1</v>
      </c>
      <c r="AC59" s="152"/>
      <c r="AD59" s="152"/>
      <c r="AE59" s="152"/>
      <c r="AF59" s="152"/>
      <c r="AG59" s="152"/>
      <c r="AH59" s="152"/>
      <c r="AI59" s="152"/>
      <c r="AJ59" s="152"/>
      <c r="AK59" s="152"/>
      <c r="AL59" s="152"/>
      <c r="AM59" s="152"/>
      <c r="AN59" s="152"/>
      <c r="AO59" s="152"/>
      <c r="AP59" s="152"/>
      <c r="AQ59" s="152"/>
      <c r="AR59" s="152"/>
      <c r="AS59" s="152"/>
      <c r="AT59" s="152"/>
      <c r="AU59" s="152"/>
      <c r="AV59" s="152"/>
      <c r="AW59" s="152"/>
    </row>
    <row r="60" spans="1:49" s="164" customFormat="1" ht="53.25" customHeight="1" x14ac:dyDescent="0.2">
      <c r="A60" s="232">
        <v>58</v>
      </c>
      <c r="B60" s="218" t="s">
        <v>382</v>
      </c>
      <c r="C60" s="218" t="s">
        <v>19</v>
      </c>
      <c r="D60" s="220" t="s">
        <v>139</v>
      </c>
      <c r="E60" s="221" t="s">
        <v>675</v>
      </c>
      <c r="F60" s="218" t="s">
        <v>45</v>
      </c>
      <c r="G60" s="233" t="s">
        <v>383</v>
      </c>
      <c r="H60" s="218" t="s">
        <v>16</v>
      </c>
      <c r="I60" s="223">
        <v>0.79700000000000004</v>
      </c>
      <c r="J60" s="234" t="s">
        <v>336</v>
      </c>
      <c r="K60" s="224">
        <v>3980800</v>
      </c>
      <c r="L60" s="224">
        <v>3184640</v>
      </c>
      <c r="M60" s="225">
        <v>796160</v>
      </c>
      <c r="N60" s="226">
        <v>0.8</v>
      </c>
      <c r="O60" s="230"/>
      <c r="P60" s="230"/>
      <c r="Q60" s="227"/>
      <c r="R60" s="227"/>
      <c r="S60" s="227">
        <v>1600000</v>
      </c>
      <c r="T60" s="230">
        <v>1584640</v>
      </c>
      <c r="U60" s="230">
        <v>0</v>
      </c>
      <c r="V60" s="230"/>
      <c r="W60" s="230"/>
      <c r="X60" s="238"/>
      <c r="Y60" s="260" t="b">
        <f t="shared" si="6"/>
        <v>1</v>
      </c>
      <c r="Z60" s="261">
        <f t="shared" si="7"/>
        <v>0.8</v>
      </c>
      <c r="AA60" s="260" t="b">
        <f t="shared" si="8"/>
        <v>1</v>
      </c>
      <c r="AB60" s="260" t="b">
        <f t="shared" si="9"/>
        <v>1</v>
      </c>
      <c r="AC60" s="184"/>
      <c r="AD60" s="184"/>
      <c r="AE60" s="184"/>
      <c r="AF60" s="184"/>
      <c r="AG60" s="184"/>
      <c r="AH60" s="184"/>
      <c r="AI60" s="184"/>
      <c r="AJ60" s="184"/>
      <c r="AK60" s="184"/>
      <c r="AL60" s="184"/>
      <c r="AM60" s="184"/>
      <c r="AN60" s="184"/>
      <c r="AO60" s="184"/>
      <c r="AP60" s="184"/>
      <c r="AQ60" s="184"/>
      <c r="AR60" s="184"/>
      <c r="AS60" s="184"/>
      <c r="AT60" s="184"/>
      <c r="AU60" s="184"/>
      <c r="AV60" s="184"/>
      <c r="AW60" s="184"/>
    </row>
    <row r="61" spans="1:49" s="185" customFormat="1" ht="31.5" customHeight="1" x14ac:dyDescent="0.2">
      <c r="A61" s="277">
        <v>59</v>
      </c>
      <c r="B61" s="246" t="s">
        <v>384</v>
      </c>
      <c r="C61" s="246" t="s">
        <v>21</v>
      </c>
      <c r="D61" s="257" t="s">
        <v>172</v>
      </c>
      <c r="E61" s="247" t="s">
        <v>660</v>
      </c>
      <c r="F61" s="246" t="s">
        <v>51</v>
      </c>
      <c r="G61" s="258" t="s">
        <v>385</v>
      </c>
      <c r="H61" s="246" t="s">
        <v>28</v>
      </c>
      <c r="I61" s="249">
        <v>0.46400000000000002</v>
      </c>
      <c r="J61" s="250" t="s">
        <v>386</v>
      </c>
      <c r="K61" s="259">
        <v>1998324</v>
      </c>
      <c r="L61" s="259">
        <v>999162</v>
      </c>
      <c r="M61" s="255">
        <v>999162</v>
      </c>
      <c r="N61" s="253">
        <v>0.5</v>
      </c>
      <c r="O61" s="216"/>
      <c r="P61" s="216"/>
      <c r="Q61" s="254"/>
      <c r="R61" s="254"/>
      <c r="S61" s="254">
        <v>999162</v>
      </c>
      <c r="T61" s="216">
        <v>0</v>
      </c>
      <c r="U61" s="216">
        <v>0</v>
      </c>
      <c r="V61" s="216"/>
      <c r="W61" s="216"/>
      <c r="X61" s="217"/>
      <c r="Y61" s="187" t="b">
        <f t="shared" si="6"/>
        <v>1</v>
      </c>
      <c r="Z61" s="188">
        <f t="shared" si="7"/>
        <v>0.5</v>
      </c>
      <c r="AA61" s="187" t="b">
        <f t="shared" si="8"/>
        <v>1</v>
      </c>
      <c r="AB61" s="187" t="b">
        <f t="shared" si="9"/>
        <v>1</v>
      </c>
      <c r="AC61" s="152"/>
      <c r="AD61" s="152"/>
      <c r="AE61" s="152"/>
      <c r="AF61" s="152"/>
      <c r="AG61" s="152"/>
      <c r="AH61" s="152"/>
      <c r="AI61" s="152"/>
      <c r="AJ61" s="152"/>
      <c r="AK61" s="152"/>
      <c r="AL61" s="152"/>
      <c r="AM61" s="152"/>
      <c r="AN61" s="152"/>
      <c r="AO61" s="152"/>
      <c r="AP61" s="152"/>
      <c r="AQ61" s="152"/>
      <c r="AR61" s="152"/>
      <c r="AS61" s="152"/>
      <c r="AT61" s="152"/>
      <c r="AU61" s="152"/>
      <c r="AV61" s="152"/>
      <c r="AW61" s="152"/>
    </row>
    <row r="62" spans="1:49" s="185" customFormat="1" ht="31.5" customHeight="1" x14ac:dyDescent="0.2">
      <c r="A62" s="277">
        <v>60</v>
      </c>
      <c r="B62" s="246" t="s">
        <v>387</v>
      </c>
      <c r="C62" s="246" t="s">
        <v>21</v>
      </c>
      <c r="D62" s="257" t="s">
        <v>388</v>
      </c>
      <c r="E62" s="247" t="s">
        <v>684</v>
      </c>
      <c r="F62" s="246" t="s">
        <v>71</v>
      </c>
      <c r="G62" s="258" t="s">
        <v>389</v>
      </c>
      <c r="H62" s="246" t="s">
        <v>16</v>
      </c>
      <c r="I62" s="249">
        <v>0.25</v>
      </c>
      <c r="J62" s="250" t="s">
        <v>390</v>
      </c>
      <c r="K62" s="259">
        <v>391511.61</v>
      </c>
      <c r="L62" s="259">
        <v>298963.20000000001</v>
      </c>
      <c r="M62" s="255">
        <f>K62-L62</f>
        <v>92548.409999999974</v>
      </c>
      <c r="N62" s="253">
        <v>0.8</v>
      </c>
      <c r="O62" s="216"/>
      <c r="P62" s="216"/>
      <c r="Q62" s="254"/>
      <c r="R62" s="254"/>
      <c r="S62" s="254">
        <v>298963.20000000001</v>
      </c>
      <c r="T62" s="216">
        <v>0</v>
      </c>
      <c r="U62" s="216">
        <v>0</v>
      </c>
      <c r="V62" s="216"/>
      <c r="W62" s="216"/>
      <c r="X62" s="217"/>
      <c r="Y62" s="187" t="b">
        <f t="shared" si="6"/>
        <v>1</v>
      </c>
      <c r="Z62" s="188">
        <f t="shared" si="7"/>
        <v>0.76359999999999995</v>
      </c>
      <c r="AA62" s="187" t="b">
        <f t="shared" si="8"/>
        <v>0</v>
      </c>
      <c r="AB62" s="187" t="b">
        <f t="shared" si="9"/>
        <v>1</v>
      </c>
      <c r="AC62" s="152"/>
      <c r="AD62" s="152"/>
      <c r="AE62" s="152"/>
      <c r="AF62" s="152"/>
      <c r="AG62" s="152"/>
      <c r="AH62" s="152"/>
      <c r="AI62" s="152"/>
      <c r="AJ62" s="152"/>
      <c r="AK62" s="152"/>
      <c r="AL62" s="152"/>
      <c r="AM62" s="152"/>
      <c r="AN62" s="152"/>
      <c r="AO62" s="152"/>
      <c r="AP62" s="152"/>
      <c r="AQ62" s="152"/>
      <c r="AR62" s="152"/>
      <c r="AS62" s="152"/>
      <c r="AT62" s="152"/>
      <c r="AU62" s="152"/>
      <c r="AV62" s="152"/>
      <c r="AW62" s="152"/>
    </row>
    <row r="63" spans="1:49" s="164" customFormat="1" ht="42" customHeight="1" x14ac:dyDescent="0.2">
      <c r="A63" s="232">
        <v>61</v>
      </c>
      <c r="B63" s="218" t="s">
        <v>391</v>
      </c>
      <c r="C63" s="218" t="s">
        <v>19</v>
      </c>
      <c r="D63" s="220" t="s">
        <v>392</v>
      </c>
      <c r="E63" s="221" t="s">
        <v>685</v>
      </c>
      <c r="F63" s="218" t="s">
        <v>360</v>
      </c>
      <c r="G63" s="233" t="s">
        <v>393</v>
      </c>
      <c r="H63" s="218" t="s">
        <v>16</v>
      </c>
      <c r="I63" s="223">
        <v>0.49</v>
      </c>
      <c r="J63" s="234" t="s">
        <v>394</v>
      </c>
      <c r="K63" s="224">
        <v>3973000</v>
      </c>
      <c r="L63" s="224">
        <v>1986500</v>
      </c>
      <c r="M63" s="225">
        <v>1986500</v>
      </c>
      <c r="N63" s="226">
        <v>0.5</v>
      </c>
      <c r="O63" s="230"/>
      <c r="P63" s="230"/>
      <c r="Q63" s="227"/>
      <c r="R63" s="227"/>
      <c r="S63" s="227">
        <v>750000</v>
      </c>
      <c r="T63" s="230">
        <v>1236500</v>
      </c>
      <c r="U63" s="230">
        <v>0</v>
      </c>
      <c r="V63" s="230"/>
      <c r="W63" s="230"/>
      <c r="X63" s="238"/>
      <c r="Y63" s="260" t="b">
        <f t="shared" si="6"/>
        <v>1</v>
      </c>
      <c r="Z63" s="261">
        <f t="shared" si="7"/>
        <v>0.5</v>
      </c>
      <c r="AA63" s="260" t="b">
        <f t="shared" si="8"/>
        <v>1</v>
      </c>
      <c r="AB63" s="260" t="b">
        <f t="shared" si="9"/>
        <v>1</v>
      </c>
      <c r="AC63" s="184"/>
      <c r="AD63" s="184"/>
      <c r="AE63" s="184"/>
      <c r="AF63" s="184"/>
      <c r="AG63" s="184"/>
      <c r="AH63" s="184"/>
      <c r="AI63" s="184"/>
      <c r="AJ63" s="184"/>
      <c r="AK63" s="184"/>
      <c r="AL63" s="184"/>
      <c r="AM63" s="184"/>
      <c r="AN63" s="184"/>
      <c r="AO63" s="184"/>
      <c r="AP63" s="184"/>
      <c r="AQ63" s="184"/>
      <c r="AR63" s="184"/>
      <c r="AS63" s="184"/>
      <c r="AT63" s="184"/>
      <c r="AU63" s="184"/>
      <c r="AV63" s="184"/>
      <c r="AW63" s="184"/>
    </row>
    <row r="64" spans="1:49" s="164" customFormat="1" ht="31.5" customHeight="1" x14ac:dyDescent="0.2">
      <c r="A64" s="232">
        <v>62</v>
      </c>
      <c r="B64" s="218" t="s">
        <v>395</v>
      </c>
      <c r="C64" s="218" t="s">
        <v>19</v>
      </c>
      <c r="D64" s="220" t="s">
        <v>351</v>
      </c>
      <c r="E64" s="221" t="s">
        <v>352</v>
      </c>
      <c r="F64" s="218" t="s">
        <v>41</v>
      </c>
      <c r="G64" s="233" t="s">
        <v>396</v>
      </c>
      <c r="H64" s="218" t="s">
        <v>16</v>
      </c>
      <c r="I64" s="223">
        <v>0.441</v>
      </c>
      <c r="J64" s="234" t="s">
        <v>354</v>
      </c>
      <c r="K64" s="224">
        <v>4377843.29</v>
      </c>
      <c r="L64" s="224">
        <v>2188921.64</v>
      </c>
      <c r="M64" s="225">
        <f>K64-L64</f>
        <v>2188921.65</v>
      </c>
      <c r="N64" s="226">
        <v>0.5</v>
      </c>
      <c r="O64" s="230"/>
      <c r="P64" s="230"/>
      <c r="Q64" s="227"/>
      <c r="R64" s="227"/>
      <c r="S64" s="227">
        <v>500000</v>
      </c>
      <c r="T64" s="230">
        <v>1688921.64</v>
      </c>
      <c r="U64" s="230">
        <v>0</v>
      </c>
      <c r="V64" s="230"/>
      <c r="W64" s="230"/>
      <c r="X64" s="238"/>
      <c r="Y64" s="260" t="b">
        <f t="shared" si="6"/>
        <v>1</v>
      </c>
      <c r="Z64" s="261">
        <f t="shared" si="7"/>
        <v>0.5</v>
      </c>
      <c r="AA64" s="260" t="b">
        <f t="shared" si="8"/>
        <v>1</v>
      </c>
      <c r="AB64" s="260" t="b">
        <f t="shared" si="9"/>
        <v>1</v>
      </c>
      <c r="AC64" s="184"/>
      <c r="AD64" s="184"/>
      <c r="AE64" s="184"/>
      <c r="AF64" s="184"/>
      <c r="AG64" s="184"/>
      <c r="AH64" s="184"/>
      <c r="AI64" s="184"/>
      <c r="AJ64" s="184"/>
      <c r="AK64" s="184"/>
      <c r="AL64" s="184"/>
      <c r="AM64" s="184"/>
      <c r="AN64" s="184"/>
      <c r="AO64" s="184"/>
      <c r="AP64" s="184"/>
      <c r="AQ64" s="184"/>
      <c r="AR64" s="184"/>
      <c r="AS64" s="184"/>
      <c r="AT64" s="184"/>
      <c r="AU64" s="184"/>
      <c r="AV64" s="184"/>
      <c r="AW64" s="184"/>
    </row>
    <row r="65" spans="1:49" s="185" customFormat="1" ht="31.5" customHeight="1" x14ac:dyDescent="0.2">
      <c r="A65" s="277">
        <v>63</v>
      </c>
      <c r="B65" s="246" t="s">
        <v>397</v>
      </c>
      <c r="C65" s="246" t="s">
        <v>21</v>
      </c>
      <c r="D65" s="257" t="s">
        <v>398</v>
      </c>
      <c r="E65" s="247" t="s">
        <v>686</v>
      </c>
      <c r="F65" s="246" t="s">
        <v>42</v>
      </c>
      <c r="G65" s="258" t="s">
        <v>399</v>
      </c>
      <c r="H65" s="246" t="s">
        <v>16</v>
      </c>
      <c r="I65" s="249">
        <v>0.22800000000000001</v>
      </c>
      <c r="J65" s="250" t="s">
        <v>267</v>
      </c>
      <c r="K65" s="259">
        <v>955548</v>
      </c>
      <c r="L65" s="259">
        <v>477774</v>
      </c>
      <c r="M65" s="255">
        <v>477774</v>
      </c>
      <c r="N65" s="253">
        <v>0.5</v>
      </c>
      <c r="O65" s="216"/>
      <c r="P65" s="216"/>
      <c r="Q65" s="254"/>
      <c r="R65" s="254"/>
      <c r="S65" s="254">
        <v>477774</v>
      </c>
      <c r="T65" s="216">
        <v>0</v>
      </c>
      <c r="U65" s="216">
        <v>0</v>
      </c>
      <c r="V65" s="216"/>
      <c r="W65" s="216"/>
      <c r="X65" s="217"/>
      <c r="Y65" s="187" t="b">
        <f t="shared" si="6"/>
        <v>1</v>
      </c>
      <c r="Z65" s="188">
        <f t="shared" si="7"/>
        <v>0.5</v>
      </c>
      <c r="AA65" s="187" t="b">
        <f t="shared" si="8"/>
        <v>1</v>
      </c>
      <c r="AB65" s="187" t="b">
        <f t="shared" si="9"/>
        <v>1</v>
      </c>
      <c r="AC65" s="152"/>
      <c r="AD65" s="152"/>
      <c r="AE65" s="152"/>
      <c r="AF65" s="152"/>
      <c r="AG65" s="152"/>
      <c r="AH65" s="152"/>
      <c r="AI65" s="152"/>
      <c r="AJ65" s="152"/>
      <c r="AK65" s="152"/>
      <c r="AL65" s="152"/>
      <c r="AM65" s="152"/>
      <c r="AN65" s="152"/>
      <c r="AO65" s="152"/>
      <c r="AP65" s="152"/>
      <c r="AQ65" s="152"/>
      <c r="AR65" s="152"/>
      <c r="AS65" s="152"/>
      <c r="AT65" s="152"/>
      <c r="AU65" s="152"/>
      <c r="AV65" s="152"/>
      <c r="AW65" s="152"/>
    </row>
    <row r="66" spans="1:49" s="185" customFormat="1" ht="39.75" customHeight="1" x14ac:dyDescent="0.2">
      <c r="A66" s="277">
        <v>64</v>
      </c>
      <c r="B66" s="246" t="s">
        <v>400</v>
      </c>
      <c r="C66" s="246" t="s">
        <v>21</v>
      </c>
      <c r="D66" s="257" t="s">
        <v>401</v>
      </c>
      <c r="E66" s="247" t="s">
        <v>687</v>
      </c>
      <c r="F66" s="246" t="s">
        <v>45</v>
      </c>
      <c r="G66" s="258" t="s">
        <v>402</v>
      </c>
      <c r="H66" s="246" t="s">
        <v>16</v>
      </c>
      <c r="I66" s="249">
        <v>0.33500000000000002</v>
      </c>
      <c r="J66" s="250" t="s">
        <v>289</v>
      </c>
      <c r="K66" s="259">
        <v>1119706.2</v>
      </c>
      <c r="L66" s="259">
        <f>K66*N66</f>
        <v>895764.96</v>
      </c>
      <c r="M66" s="255">
        <f>K66-L66</f>
        <v>223941.24</v>
      </c>
      <c r="N66" s="253">
        <v>0.8</v>
      </c>
      <c r="O66" s="216"/>
      <c r="P66" s="216"/>
      <c r="Q66" s="254"/>
      <c r="R66" s="254"/>
      <c r="S66" s="254">
        <f>L66</f>
        <v>895764.96</v>
      </c>
      <c r="T66" s="216">
        <v>0</v>
      </c>
      <c r="U66" s="216">
        <v>0</v>
      </c>
      <c r="V66" s="216"/>
      <c r="W66" s="216"/>
      <c r="X66" s="217"/>
      <c r="Y66" s="187" t="b">
        <f t="shared" si="6"/>
        <v>1</v>
      </c>
      <c r="Z66" s="188">
        <f t="shared" si="7"/>
        <v>0.8</v>
      </c>
      <c r="AA66" s="187" t="b">
        <f t="shared" si="8"/>
        <v>1</v>
      </c>
      <c r="AB66" s="187" t="b">
        <f t="shared" si="9"/>
        <v>1</v>
      </c>
      <c r="AC66" s="152"/>
      <c r="AD66" s="152"/>
      <c r="AE66" s="152"/>
      <c r="AF66" s="152"/>
      <c r="AG66" s="152"/>
      <c r="AH66" s="152"/>
      <c r="AI66" s="152"/>
      <c r="AJ66" s="152"/>
      <c r="AK66" s="152"/>
      <c r="AL66" s="152"/>
      <c r="AM66" s="152"/>
      <c r="AN66" s="152"/>
      <c r="AO66" s="152"/>
      <c r="AP66" s="152"/>
      <c r="AQ66" s="152"/>
      <c r="AR66" s="152"/>
      <c r="AS66" s="152"/>
      <c r="AT66" s="152"/>
      <c r="AU66" s="152"/>
      <c r="AV66" s="152"/>
      <c r="AW66" s="152"/>
    </row>
    <row r="67" spans="1:49" s="185" customFormat="1" ht="31.5" customHeight="1" x14ac:dyDescent="0.2">
      <c r="A67" s="277">
        <v>65</v>
      </c>
      <c r="B67" s="246" t="s">
        <v>403</v>
      </c>
      <c r="C67" s="246" t="s">
        <v>21</v>
      </c>
      <c r="D67" s="257" t="s">
        <v>404</v>
      </c>
      <c r="E67" s="247" t="s">
        <v>688</v>
      </c>
      <c r="F67" s="246" t="s">
        <v>72</v>
      </c>
      <c r="G67" s="258" t="s">
        <v>405</v>
      </c>
      <c r="H67" s="246" t="s">
        <v>28</v>
      </c>
      <c r="I67" s="249">
        <v>0.106</v>
      </c>
      <c r="J67" s="250" t="s">
        <v>231</v>
      </c>
      <c r="K67" s="259">
        <v>1992221.16</v>
      </c>
      <c r="L67" s="259">
        <v>1564000</v>
      </c>
      <c r="M67" s="255">
        <f>K67-L67</f>
        <v>428221.15999999992</v>
      </c>
      <c r="N67" s="253">
        <v>0.8</v>
      </c>
      <c r="O67" s="216"/>
      <c r="P67" s="216"/>
      <c r="Q67" s="254"/>
      <c r="R67" s="254"/>
      <c r="S67" s="254">
        <v>1564000</v>
      </c>
      <c r="T67" s="216">
        <v>0</v>
      </c>
      <c r="U67" s="216">
        <v>0</v>
      </c>
      <c r="V67" s="216"/>
      <c r="W67" s="216"/>
      <c r="X67" s="217"/>
      <c r="Y67" s="187" t="b">
        <f t="shared" si="6"/>
        <v>1</v>
      </c>
      <c r="Z67" s="188">
        <f t="shared" si="7"/>
        <v>0.78510000000000002</v>
      </c>
      <c r="AA67" s="187" t="b">
        <f t="shared" si="8"/>
        <v>0</v>
      </c>
      <c r="AB67" s="187" t="b">
        <f t="shared" si="9"/>
        <v>1</v>
      </c>
      <c r="AC67" s="152"/>
      <c r="AD67" s="152"/>
      <c r="AE67" s="152"/>
      <c r="AF67" s="152"/>
      <c r="AG67" s="152"/>
      <c r="AH67" s="152"/>
      <c r="AI67" s="152"/>
      <c r="AJ67" s="152"/>
      <c r="AK67" s="152"/>
      <c r="AL67" s="152"/>
      <c r="AM67" s="152"/>
      <c r="AN67" s="152"/>
      <c r="AO67" s="152"/>
      <c r="AP67" s="152"/>
      <c r="AQ67" s="152"/>
      <c r="AR67" s="152"/>
      <c r="AS67" s="152"/>
      <c r="AT67" s="152"/>
      <c r="AU67" s="152"/>
      <c r="AV67" s="152"/>
      <c r="AW67" s="152"/>
    </row>
    <row r="68" spans="1:49" s="185" customFormat="1" ht="33" customHeight="1" x14ac:dyDescent="0.2">
      <c r="A68" s="283" t="s">
        <v>781</v>
      </c>
      <c r="B68" s="246" t="s">
        <v>406</v>
      </c>
      <c r="C68" s="246" t="s">
        <v>21</v>
      </c>
      <c r="D68" s="257" t="s">
        <v>407</v>
      </c>
      <c r="E68" s="247" t="s">
        <v>689</v>
      </c>
      <c r="F68" s="246" t="s">
        <v>47</v>
      </c>
      <c r="G68" s="258" t="s">
        <v>408</v>
      </c>
      <c r="H68" s="246" t="s">
        <v>16</v>
      </c>
      <c r="I68" s="249">
        <v>0</v>
      </c>
      <c r="J68" s="250" t="s">
        <v>409</v>
      </c>
      <c r="K68" s="259">
        <v>0</v>
      </c>
      <c r="L68" s="259">
        <v>0</v>
      </c>
      <c r="M68" s="255">
        <v>0</v>
      </c>
      <c r="N68" s="253">
        <v>0.5</v>
      </c>
      <c r="O68" s="216"/>
      <c r="P68" s="216"/>
      <c r="Q68" s="254"/>
      <c r="R68" s="254"/>
      <c r="S68" s="254">
        <v>0</v>
      </c>
      <c r="T68" s="216">
        <v>0</v>
      </c>
      <c r="U68" s="216">
        <v>0</v>
      </c>
      <c r="V68" s="216"/>
      <c r="W68" s="216"/>
      <c r="X68" s="217"/>
      <c r="Y68" s="187" t="b">
        <f t="shared" si="6"/>
        <v>1</v>
      </c>
      <c r="Z68" s="188" t="e">
        <f t="shared" si="7"/>
        <v>#DIV/0!</v>
      </c>
      <c r="AA68" s="187" t="e">
        <f t="shared" si="8"/>
        <v>#DIV/0!</v>
      </c>
      <c r="AB68" s="187" t="b">
        <f t="shared" si="9"/>
        <v>1</v>
      </c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  <c r="AM68" s="152"/>
      <c r="AN68" s="152"/>
      <c r="AO68" s="152"/>
      <c r="AP68" s="152"/>
      <c r="AQ68" s="152"/>
      <c r="AR68" s="152"/>
      <c r="AS68" s="152"/>
      <c r="AT68" s="152"/>
      <c r="AU68" s="152"/>
      <c r="AV68" s="152"/>
      <c r="AW68" s="152"/>
    </row>
    <row r="69" spans="1:49" s="164" customFormat="1" ht="31.5" customHeight="1" x14ac:dyDescent="0.2">
      <c r="A69" s="232">
        <v>67</v>
      </c>
      <c r="B69" s="218" t="s">
        <v>410</v>
      </c>
      <c r="C69" s="218" t="s">
        <v>19</v>
      </c>
      <c r="D69" s="220" t="s">
        <v>411</v>
      </c>
      <c r="E69" s="221" t="s">
        <v>690</v>
      </c>
      <c r="F69" s="218" t="s">
        <v>41</v>
      </c>
      <c r="G69" s="233" t="s">
        <v>412</v>
      </c>
      <c r="H69" s="218" t="s">
        <v>16</v>
      </c>
      <c r="I69" s="223">
        <v>1.0640000000000001</v>
      </c>
      <c r="J69" s="234" t="s">
        <v>413</v>
      </c>
      <c r="K69" s="224">
        <v>7515949.6699999999</v>
      </c>
      <c r="L69" s="224">
        <v>3757974.83</v>
      </c>
      <c r="M69" s="225">
        <f>K69-L69</f>
        <v>3757974.84</v>
      </c>
      <c r="N69" s="226">
        <v>0.5</v>
      </c>
      <c r="O69" s="230"/>
      <c r="P69" s="230"/>
      <c r="Q69" s="227"/>
      <c r="R69" s="227"/>
      <c r="S69" s="227">
        <v>1506633.93</v>
      </c>
      <c r="T69" s="230">
        <v>2251340.9</v>
      </c>
      <c r="U69" s="230">
        <v>0</v>
      </c>
      <c r="V69" s="230"/>
      <c r="W69" s="230"/>
      <c r="X69" s="238"/>
      <c r="Y69" s="260" t="b">
        <f t="shared" si="6"/>
        <v>1</v>
      </c>
      <c r="Z69" s="261">
        <f t="shared" si="7"/>
        <v>0.5</v>
      </c>
      <c r="AA69" s="260" t="b">
        <f t="shared" si="8"/>
        <v>1</v>
      </c>
      <c r="AB69" s="260" t="b">
        <f t="shared" si="9"/>
        <v>1</v>
      </c>
      <c r="AC69" s="184"/>
      <c r="AD69" s="184"/>
      <c r="AE69" s="184"/>
      <c r="AF69" s="184"/>
      <c r="AG69" s="184"/>
      <c r="AH69" s="184"/>
      <c r="AI69" s="184"/>
      <c r="AJ69" s="184"/>
      <c r="AK69" s="184"/>
      <c r="AL69" s="184"/>
      <c r="AM69" s="184"/>
      <c r="AN69" s="184"/>
      <c r="AO69" s="184"/>
      <c r="AP69" s="184"/>
      <c r="AQ69" s="184"/>
      <c r="AR69" s="184"/>
      <c r="AS69" s="184"/>
      <c r="AT69" s="184"/>
      <c r="AU69" s="184"/>
      <c r="AV69" s="184"/>
      <c r="AW69" s="184"/>
    </row>
    <row r="70" spans="1:49" s="185" customFormat="1" ht="39.75" customHeight="1" x14ac:dyDescent="0.2">
      <c r="A70" s="277">
        <v>68</v>
      </c>
      <c r="B70" s="246" t="s">
        <v>414</v>
      </c>
      <c r="C70" s="246" t="s">
        <v>21</v>
      </c>
      <c r="D70" s="257" t="s">
        <v>69</v>
      </c>
      <c r="E70" s="247" t="s">
        <v>415</v>
      </c>
      <c r="F70" s="246" t="s">
        <v>53</v>
      </c>
      <c r="G70" s="258" t="s">
        <v>416</v>
      </c>
      <c r="H70" s="246" t="s">
        <v>28</v>
      </c>
      <c r="I70" s="249">
        <v>0.35299999999999998</v>
      </c>
      <c r="J70" s="250" t="s">
        <v>409</v>
      </c>
      <c r="K70" s="259">
        <v>1849383.69</v>
      </c>
      <c r="L70" s="259">
        <v>904115.5</v>
      </c>
      <c r="M70" s="255">
        <f>K70-L70</f>
        <v>945268.19</v>
      </c>
      <c r="N70" s="253">
        <v>0.5</v>
      </c>
      <c r="O70" s="216"/>
      <c r="P70" s="216"/>
      <c r="Q70" s="254"/>
      <c r="R70" s="254"/>
      <c r="S70" s="254">
        <v>904115.5</v>
      </c>
      <c r="T70" s="216">
        <v>0</v>
      </c>
      <c r="U70" s="216">
        <v>0</v>
      </c>
      <c r="V70" s="216"/>
      <c r="W70" s="216"/>
      <c r="X70" s="217"/>
      <c r="Y70" s="187" t="b">
        <f t="shared" si="6"/>
        <v>1</v>
      </c>
      <c r="Z70" s="188">
        <f t="shared" si="7"/>
        <v>0.4889</v>
      </c>
      <c r="AA70" s="187" t="b">
        <f t="shared" si="8"/>
        <v>0</v>
      </c>
      <c r="AB70" s="187" t="b">
        <f t="shared" si="9"/>
        <v>1</v>
      </c>
      <c r="AC70" s="152"/>
      <c r="AD70" s="152"/>
      <c r="AE70" s="152"/>
      <c r="AF70" s="152"/>
      <c r="AG70" s="152"/>
      <c r="AH70" s="152"/>
      <c r="AI70" s="152"/>
      <c r="AJ70" s="152"/>
      <c r="AK70" s="152"/>
      <c r="AL70" s="152"/>
      <c r="AM70" s="152"/>
      <c r="AN70" s="152"/>
      <c r="AO70" s="152"/>
      <c r="AP70" s="152"/>
      <c r="AQ70" s="152"/>
      <c r="AR70" s="152"/>
      <c r="AS70" s="152"/>
      <c r="AT70" s="152"/>
      <c r="AU70" s="152"/>
      <c r="AV70" s="152"/>
      <c r="AW70" s="152"/>
    </row>
    <row r="71" spans="1:49" s="164" customFormat="1" ht="31.5" customHeight="1" x14ac:dyDescent="0.2">
      <c r="A71" s="232">
        <v>69</v>
      </c>
      <c r="B71" s="218" t="s">
        <v>417</v>
      </c>
      <c r="C71" s="218" t="s">
        <v>19</v>
      </c>
      <c r="D71" s="220" t="s">
        <v>418</v>
      </c>
      <c r="E71" s="221" t="s">
        <v>691</v>
      </c>
      <c r="F71" s="218" t="s">
        <v>45</v>
      </c>
      <c r="G71" s="233" t="s">
        <v>419</v>
      </c>
      <c r="H71" s="218" t="s">
        <v>16</v>
      </c>
      <c r="I71" s="223">
        <v>2.25</v>
      </c>
      <c r="J71" s="234" t="s">
        <v>420</v>
      </c>
      <c r="K71" s="224">
        <v>4000000</v>
      </c>
      <c r="L71" s="224">
        <v>2800000</v>
      </c>
      <c r="M71" s="225">
        <v>1200000</v>
      </c>
      <c r="N71" s="226">
        <v>0.7</v>
      </c>
      <c r="O71" s="230"/>
      <c r="P71" s="230"/>
      <c r="Q71" s="227"/>
      <c r="R71" s="227"/>
      <c r="S71" s="227">
        <v>1260000</v>
      </c>
      <c r="T71" s="230">
        <v>1540000</v>
      </c>
      <c r="U71" s="230">
        <v>0</v>
      </c>
      <c r="V71" s="230"/>
      <c r="W71" s="230"/>
      <c r="X71" s="238"/>
      <c r="Y71" s="260" t="b">
        <f t="shared" si="6"/>
        <v>1</v>
      </c>
      <c r="Z71" s="261">
        <f t="shared" si="7"/>
        <v>0.7</v>
      </c>
      <c r="AA71" s="260" t="b">
        <f t="shared" si="8"/>
        <v>1</v>
      </c>
      <c r="AB71" s="260" t="b">
        <f t="shared" si="9"/>
        <v>1</v>
      </c>
      <c r="AC71" s="184"/>
      <c r="AD71" s="184"/>
      <c r="AE71" s="184"/>
      <c r="AF71" s="184"/>
      <c r="AG71" s="184"/>
      <c r="AH71" s="184"/>
      <c r="AI71" s="184"/>
      <c r="AJ71" s="184"/>
      <c r="AK71" s="184"/>
      <c r="AL71" s="184"/>
      <c r="AM71" s="184"/>
      <c r="AN71" s="184"/>
      <c r="AO71" s="184"/>
      <c r="AP71" s="184"/>
      <c r="AQ71" s="184"/>
      <c r="AR71" s="184"/>
      <c r="AS71" s="184"/>
      <c r="AT71" s="184"/>
      <c r="AU71" s="184"/>
      <c r="AV71" s="184"/>
      <c r="AW71" s="184"/>
    </row>
    <row r="72" spans="1:49" s="185" customFormat="1" ht="31.5" customHeight="1" x14ac:dyDescent="0.2">
      <c r="A72" s="277">
        <v>70</v>
      </c>
      <c r="B72" s="246" t="s">
        <v>421</v>
      </c>
      <c r="C72" s="246" t="s">
        <v>21</v>
      </c>
      <c r="D72" s="257" t="s">
        <v>422</v>
      </c>
      <c r="E72" s="247" t="s">
        <v>692</v>
      </c>
      <c r="F72" s="246" t="s">
        <v>75</v>
      </c>
      <c r="G72" s="286" t="s">
        <v>769</v>
      </c>
      <c r="H72" s="246" t="s">
        <v>16</v>
      </c>
      <c r="I72" s="249">
        <v>0.92400000000000004</v>
      </c>
      <c r="J72" s="250" t="s">
        <v>211</v>
      </c>
      <c r="K72" s="259">
        <v>2789890.79</v>
      </c>
      <c r="L72" s="259">
        <v>1387750</v>
      </c>
      <c r="M72" s="255">
        <f>K72-L72</f>
        <v>1402140.79</v>
      </c>
      <c r="N72" s="253">
        <v>0.7</v>
      </c>
      <c r="O72" s="216"/>
      <c r="P72" s="216"/>
      <c r="Q72" s="254"/>
      <c r="R72" s="254"/>
      <c r="S72" s="254">
        <v>1387750</v>
      </c>
      <c r="T72" s="216">
        <v>0</v>
      </c>
      <c r="U72" s="216">
        <v>0</v>
      </c>
      <c r="V72" s="216"/>
      <c r="W72" s="216"/>
      <c r="X72" s="217"/>
      <c r="Y72" s="187" t="b">
        <f t="shared" si="6"/>
        <v>1</v>
      </c>
      <c r="Z72" s="188">
        <f t="shared" si="7"/>
        <v>0.49740000000000001</v>
      </c>
      <c r="AA72" s="187" t="b">
        <f t="shared" si="8"/>
        <v>0</v>
      </c>
      <c r="AB72" s="187" t="b">
        <f t="shared" si="9"/>
        <v>1</v>
      </c>
      <c r="AC72" s="152"/>
      <c r="AD72" s="152"/>
      <c r="AE72" s="152"/>
      <c r="AF72" s="152"/>
      <c r="AG72" s="152"/>
      <c r="AH72" s="152"/>
      <c r="AI72" s="152"/>
      <c r="AJ72" s="152"/>
      <c r="AK72" s="152"/>
      <c r="AL72" s="152"/>
      <c r="AM72" s="152"/>
      <c r="AN72" s="152"/>
      <c r="AO72" s="152"/>
      <c r="AP72" s="152"/>
      <c r="AQ72" s="152"/>
      <c r="AR72" s="152"/>
      <c r="AS72" s="152"/>
      <c r="AT72" s="152"/>
      <c r="AU72" s="152"/>
      <c r="AV72" s="152"/>
      <c r="AW72" s="152"/>
    </row>
    <row r="73" spans="1:49" s="185" customFormat="1" ht="39.75" customHeight="1" x14ac:dyDescent="0.2">
      <c r="A73" s="277">
        <v>71</v>
      </c>
      <c r="B73" s="246" t="s">
        <v>423</v>
      </c>
      <c r="C73" s="246" t="s">
        <v>21</v>
      </c>
      <c r="D73" s="257" t="s">
        <v>64</v>
      </c>
      <c r="E73" s="247" t="s">
        <v>646</v>
      </c>
      <c r="F73" s="246" t="s">
        <v>53</v>
      </c>
      <c r="G73" s="258" t="s">
        <v>424</v>
      </c>
      <c r="H73" s="246" t="s">
        <v>16</v>
      </c>
      <c r="I73" s="249">
        <v>0.92500000000000004</v>
      </c>
      <c r="J73" s="250" t="s">
        <v>425</v>
      </c>
      <c r="K73" s="259">
        <v>2909505</v>
      </c>
      <c r="L73" s="259">
        <v>1454752.5</v>
      </c>
      <c r="M73" s="255">
        <v>1454752.5</v>
      </c>
      <c r="N73" s="253">
        <v>0.5</v>
      </c>
      <c r="O73" s="216"/>
      <c r="P73" s="216"/>
      <c r="Q73" s="254"/>
      <c r="R73" s="254"/>
      <c r="S73" s="254">
        <v>1454752.5</v>
      </c>
      <c r="T73" s="216">
        <v>0</v>
      </c>
      <c r="U73" s="216">
        <v>0</v>
      </c>
      <c r="V73" s="216"/>
      <c r="W73" s="216"/>
      <c r="X73" s="217"/>
      <c r="Y73" s="187" t="b">
        <f t="shared" si="6"/>
        <v>1</v>
      </c>
      <c r="Z73" s="188">
        <f t="shared" si="7"/>
        <v>0.5</v>
      </c>
      <c r="AA73" s="187" t="b">
        <f t="shared" si="8"/>
        <v>1</v>
      </c>
      <c r="AB73" s="187" t="b">
        <f t="shared" si="9"/>
        <v>1</v>
      </c>
      <c r="AC73" s="152"/>
      <c r="AD73" s="152"/>
      <c r="AE73" s="152"/>
      <c r="AF73" s="152"/>
      <c r="AG73" s="152"/>
      <c r="AH73" s="152"/>
      <c r="AI73" s="152"/>
      <c r="AJ73" s="152"/>
      <c r="AK73" s="152"/>
      <c r="AL73" s="152"/>
      <c r="AM73" s="152"/>
      <c r="AN73" s="152"/>
      <c r="AO73" s="152"/>
      <c r="AP73" s="152"/>
      <c r="AQ73" s="152"/>
      <c r="AR73" s="152"/>
      <c r="AS73" s="152"/>
      <c r="AT73" s="152"/>
      <c r="AU73" s="152"/>
      <c r="AV73" s="152"/>
      <c r="AW73" s="152"/>
    </row>
    <row r="74" spans="1:49" s="164" customFormat="1" ht="31.5" customHeight="1" x14ac:dyDescent="0.2">
      <c r="A74" s="232">
        <v>72</v>
      </c>
      <c r="B74" s="218" t="s">
        <v>426</v>
      </c>
      <c r="C74" s="218" t="s">
        <v>19</v>
      </c>
      <c r="D74" s="220" t="s">
        <v>427</v>
      </c>
      <c r="E74" s="221" t="s">
        <v>732</v>
      </c>
      <c r="F74" s="218" t="s">
        <v>56</v>
      </c>
      <c r="G74" s="233" t="s">
        <v>428</v>
      </c>
      <c r="H74" s="218" t="s">
        <v>28</v>
      </c>
      <c r="I74" s="223">
        <v>1.6339999999999999</v>
      </c>
      <c r="J74" s="234" t="s">
        <v>429</v>
      </c>
      <c r="K74" s="224">
        <v>4435112</v>
      </c>
      <c r="L74" s="224">
        <v>3104578.4</v>
      </c>
      <c r="M74" s="225">
        <f>K74-L74</f>
        <v>1330533.6000000001</v>
      </c>
      <c r="N74" s="226">
        <v>0.7</v>
      </c>
      <c r="O74" s="230"/>
      <c r="P74" s="230"/>
      <c r="Q74" s="227"/>
      <c r="R74" s="227"/>
      <c r="S74" s="227">
        <v>1744373.4</v>
      </c>
      <c r="T74" s="230">
        <v>1360205</v>
      </c>
      <c r="U74" s="230">
        <v>0</v>
      </c>
      <c r="V74" s="230"/>
      <c r="W74" s="230"/>
      <c r="X74" s="238"/>
      <c r="Y74" s="260" t="b">
        <f t="shared" si="6"/>
        <v>1</v>
      </c>
      <c r="Z74" s="261">
        <f t="shared" si="7"/>
        <v>0.7</v>
      </c>
      <c r="AA74" s="260" t="b">
        <f t="shared" si="8"/>
        <v>1</v>
      </c>
      <c r="AB74" s="260" t="b">
        <f t="shared" si="9"/>
        <v>1</v>
      </c>
      <c r="AC74" s="184"/>
      <c r="AD74" s="184"/>
      <c r="AE74" s="184"/>
      <c r="AF74" s="184"/>
      <c r="AG74" s="184"/>
      <c r="AH74" s="184"/>
      <c r="AI74" s="184"/>
      <c r="AJ74" s="184"/>
      <c r="AK74" s="184"/>
      <c r="AL74" s="184"/>
      <c r="AM74" s="184"/>
      <c r="AN74" s="184"/>
      <c r="AO74" s="184"/>
      <c r="AP74" s="184"/>
      <c r="AQ74" s="184"/>
      <c r="AR74" s="184"/>
      <c r="AS74" s="184"/>
      <c r="AT74" s="184"/>
      <c r="AU74" s="184"/>
      <c r="AV74" s="184"/>
      <c r="AW74" s="184"/>
    </row>
    <row r="75" spans="1:49" s="164" customFormat="1" ht="39.75" customHeight="1" x14ac:dyDescent="0.2">
      <c r="A75" s="218" t="s">
        <v>790</v>
      </c>
      <c r="B75" s="218" t="s">
        <v>430</v>
      </c>
      <c r="C75" s="218" t="s">
        <v>19</v>
      </c>
      <c r="D75" s="220" t="s">
        <v>73</v>
      </c>
      <c r="E75" s="221" t="s">
        <v>653</v>
      </c>
      <c r="F75" s="218" t="s">
        <v>56</v>
      </c>
      <c r="G75" s="233" t="s">
        <v>431</v>
      </c>
      <c r="H75" s="218" t="s">
        <v>16</v>
      </c>
      <c r="I75" s="223">
        <v>0</v>
      </c>
      <c r="J75" s="234" t="s">
        <v>219</v>
      </c>
      <c r="K75" s="224">
        <v>0</v>
      </c>
      <c r="L75" s="224">
        <v>0</v>
      </c>
      <c r="M75" s="225">
        <v>0</v>
      </c>
      <c r="N75" s="226">
        <v>0.7</v>
      </c>
      <c r="O75" s="230"/>
      <c r="P75" s="230"/>
      <c r="Q75" s="227"/>
      <c r="R75" s="227"/>
      <c r="S75" s="227">
        <v>0</v>
      </c>
      <c r="T75" s="230">
        <v>0</v>
      </c>
      <c r="U75" s="230">
        <v>0</v>
      </c>
      <c r="V75" s="230"/>
      <c r="W75" s="230"/>
      <c r="X75" s="238"/>
      <c r="Y75" s="260" t="b">
        <f t="shared" si="6"/>
        <v>1</v>
      </c>
      <c r="Z75" s="261" t="e">
        <f t="shared" si="7"/>
        <v>#DIV/0!</v>
      </c>
      <c r="AA75" s="260" t="e">
        <f t="shared" si="8"/>
        <v>#DIV/0!</v>
      </c>
      <c r="AB75" s="260" t="b">
        <f t="shared" si="9"/>
        <v>1</v>
      </c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4"/>
      <c r="AQ75" s="184"/>
      <c r="AR75" s="184"/>
      <c r="AS75" s="184"/>
      <c r="AT75" s="184"/>
      <c r="AU75" s="184"/>
      <c r="AV75" s="184"/>
      <c r="AW75" s="184"/>
    </row>
    <row r="76" spans="1:49" s="164" customFormat="1" ht="39" customHeight="1" x14ac:dyDescent="0.2">
      <c r="A76" s="277">
        <v>74</v>
      </c>
      <c r="B76" s="246" t="s">
        <v>548</v>
      </c>
      <c r="C76" s="246" t="s">
        <v>21</v>
      </c>
      <c r="D76" s="257" t="s">
        <v>174</v>
      </c>
      <c r="E76" s="247" t="s">
        <v>706</v>
      </c>
      <c r="F76" s="246" t="s">
        <v>190</v>
      </c>
      <c r="G76" s="258" t="s">
        <v>549</v>
      </c>
      <c r="H76" s="246" t="s">
        <v>16</v>
      </c>
      <c r="I76" s="249">
        <v>0.72199999999999998</v>
      </c>
      <c r="J76" s="250" t="s">
        <v>372</v>
      </c>
      <c r="K76" s="259">
        <v>1318231.3799999999</v>
      </c>
      <c r="L76" s="259">
        <v>790938.83</v>
      </c>
      <c r="M76" s="255">
        <f>K76-L76</f>
        <v>527292.54999999993</v>
      </c>
      <c r="N76" s="253">
        <v>0.6</v>
      </c>
      <c r="O76" s="216"/>
      <c r="P76" s="216"/>
      <c r="Q76" s="254"/>
      <c r="R76" s="254"/>
      <c r="S76" s="254">
        <f>L76</f>
        <v>790938.83</v>
      </c>
      <c r="T76" s="216">
        <v>0</v>
      </c>
      <c r="U76" s="216">
        <v>0</v>
      </c>
      <c r="V76" s="216"/>
      <c r="W76" s="230"/>
      <c r="X76" s="238"/>
      <c r="Y76" s="187" t="b">
        <f t="shared" si="6"/>
        <v>1</v>
      </c>
      <c r="Z76" s="188">
        <f t="shared" si="7"/>
        <v>0.6</v>
      </c>
      <c r="AA76" s="187" t="b">
        <f t="shared" si="8"/>
        <v>1</v>
      </c>
      <c r="AB76" s="187" t="b">
        <f t="shared" si="9"/>
        <v>1</v>
      </c>
      <c r="AC76" s="184"/>
      <c r="AD76" s="184"/>
      <c r="AE76" s="184"/>
      <c r="AF76" s="184"/>
      <c r="AG76" s="184"/>
      <c r="AH76" s="184"/>
      <c r="AI76" s="184"/>
      <c r="AJ76" s="184"/>
      <c r="AK76" s="184"/>
      <c r="AL76" s="184"/>
      <c r="AM76" s="184"/>
      <c r="AN76" s="184"/>
      <c r="AO76" s="184"/>
      <c r="AP76" s="184"/>
      <c r="AQ76" s="184"/>
      <c r="AR76" s="184"/>
      <c r="AS76" s="184"/>
      <c r="AT76" s="184"/>
      <c r="AU76" s="184"/>
      <c r="AV76" s="184"/>
      <c r="AW76" s="184"/>
    </row>
    <row r="77" spans="1:49" s="164" customFormat="1" ht="39" customHeight="1" x14ac:dyDescent="0.2">
      <c r="A77" s="232">
        <v>75</v>
      </c>
      <c r="B77" s="218" t="s">
        <v>767</v>
      </c>
      <c r="C77" s="218" t="s">
        <v>19</v>
      </c>
      <c r="D77" s="220" t="s">
        <v>411</v>
      </c>
      <c r="E77" s="221" t="s">
        <v>690</v>
      </c>
      <c r="F77" s="221" t="s">
        <v>41</v>
      </c>
      <c r="G77" s="233" t="s">
        <v>749</v>
      </c>
      <c r="H77" s="218" t="s">
        <v>16</v>
      </c>
      <c r="I77" s="223">
        <v>0.72599999999999998</v>
      </c>
      <c r="J77" s="234" t="s">
        <v>619</v>
      </c>
      <c r="K77" s="224">
        <v>7049862.4900000002</v>
      </c>
      <c r="L77" s="224">
        <v>4229917.49</v>
      </c>
      <c r="M77" s="224">
        <f>K77-L77</f>
        <v>2819945</v>
      </c>
      <c r="N77" s="226">
        <v>0.6</v>
      </c>
      <c r="O77" s="216"/>
      <c r="P77" s="216"/>
      <c r="Q77" s="254"/>
      <c r="R77" s="254"/>
      <c r="S77" s="227">
        <f>L77</f>
        <v>4229917.49</v>
      </c>
      <c r="T77" s="216">
        <v>0</v>
      </c>
      <c r="U77" s="216">
        <v>0</v>
      </c>
      <c r="V77" s="216"/>
      <c r="W77" s="230"/>
      <c r="X77" s="238"/>
      <c r="Y77" s="260" t="b">
        <f t="shared" ref="Y77:Y82" si="10">L77=SUM(O77:X77)</f>
        <v>1</v>
      </c>
      <c r="Z77" s="261">
        <f t="shared" ref="Z77:Z97" si="11">ROUND(L77/K77,4)</f>
        <v>0.6</v>
      </c>
      <c r="AA77" s="260" t="b">
        <f t="shared" ref="AA77:AA97" si="12">Z77=N77</f>
        <v>1</v>
      </c>
      <c r="AB77" s="260" t="b">
        <f t="shared" ref="AB77:AB82" si="13">K77=L77+M77</f>
        <v>1</v>
      </c>
      <c r="AC77" s="184"/>
      <c r="AD77" s="184"/>
      <c r="AE77" s="184"/>
      <c r="AF77" s="184"/>
      <c r="AG77" s="184"/>
      <c r="AH77" s="184"/>
      <c r="AI77" s="184"/>
      <c r="AJ77" s="184"/>
      <c r="AK77" s="184"/>
      <c r="AL77" s="184"/>
      <c r="AM77" s="184"/>
      <c r="AN77" s="184"/>
      <c r="AO77" s="184"/>
      <c r="AP77" s="184"/>
      <c r="AQ77" s="184"/>
      <c r="AR77" s="184"/>
      <c r="AS77" s="184"/>
      <c r="AT77" s="184"/>
      <c r="AU77" s="184"/>
      <c r="AV77" s="184"/>
      <c r="AW77" s="184"/>
    </row>
    <row r="78" spans="1:49" s="185" customFormat="1" ht="24" x14ac:dyDescent="0.2">
      <c r="A78" s="277">
        <v>76</v>
      </c>
      <c r="B78" s="246" t="s">
        <v>550</v>
      </c>
      <c r="C78" s="246" t="s">
        <v>21</v>
      </c>
      <c r="D78" s="257" t="s">
        <v>551</v>
      </c>
      <c r="E78" s="247" t="s">
        <v>707</v>
      </c>
      <c r="F78" s="246" t="s">
        <v>360</v>
      </c>
      <c r="G78" s="258" t="s">
        <v>552</v>
      </c>
      <c r="H78" s="246" t="s">
        <v>16</v>
      </c>
      <c r="I78" s="249">
        <v>2.1</v>
      </c>
      <c r="J78" s="250" t="s">
        <v>506</v>
      </c>
      <c r="K78" s="259">
        <v>6000000</v>
      </c>
      <c r="L78" s="259">
        <v>3000000</v>
      </c>
      <c r="M78" s="255">
        <v>3000000</v>
      </c>
      <c r="N78" s="253">
        <v>0.5</v>
      </c>
      <c r="O78" s="216"/>
      <c r="P78" s="216"/>
      <c r="Q78" s="254"/>
      <c r="R78" s="254"/>
      <c r="S78" s="254">
        <v>3000000</v>
      </c>
      <c r="T78" s="254">
        <v>0</v>
      </c>
      <c r="U78" s="254">
        <v>0</v>
      </c>
      <c r="V78" s="254"/>
      <c r="W78" s="254"/>
      <c r="X78" s="278"/>
      <c r="Y78" s="187" t="b">
        <f t="shared" si="10"/>
        <v>1</v>
      </c>
      <c r="Z78" s="188">
        <f t="shared" si="11"/>
        <v>0.5</v>
      </c>
      <c r="AA78" s="187" t="b">
        <f t="shared" si="12"/>
        <v>1</v>
      </c>
      <c r="AB78" s="187" t="b">
        <f t="shared" si="13"/>
        <v>1</v>
      </c>
    </row>
    <row r="79" spans="1:49" s="185" customFormat="1" ht="48" x14ac:dyDescent="0.2">
      <c r="A79" s="277">
        <v>77</v>
      </c>
      <c r="B79" s="246" t="s">
        <v>607</v>
      </c>
      <c r="C79" s="246" t="s">
        <v>21</v>
      </c>
      <c r="D79" s="257" t="s">
        <v>608</v>
      </c>
      <c r="E79" s="247" t="s">
        <v>714</v>
      </c>
      <c r="F79" s="246" t="s">
        <v>190</v>
      </c>
      <c r="G79" s="258" t="s">
        <v>609</v>
      </c>
      <c r="H79" s="246" t="s">
        <v>16</v>
      </c>
      <c r="I79" s="249">
        <v>9.2999999999999999E-2</v>
      </c>
      <c r="J79" s="250" t="s">
        <v>211</v>
      </c>
      <c r="K79" s="259">
        <v>1926549</v>
      </c>
      <c r="L79" s="259">
        <v>1348584.3</v>
      </c>
      <c r="M79" s="255">
        <f>K79-L79</f>
        <v>577964.69999999995</v>
      </c>
      <c r="N79" s="287">
        <v>0.7</v>
      </c>
      <c r="O79" s="216"/>
      <c r="P79" s="216"/>
      <c r="Q79" s="254"/>
      <c r="R79" s="254"/>
      <c r="S79" s="254">
        <f>L79</f>
        <v>1348584.3</v>
      </c>
      <c r="T79" s="254">
        <v>0</v>
      </c>
      <c r="U79" s="254">
        <v>0</v>
      </c>
      <c r="V79" s="254"/>
      <c r="W79" s="254"/>
      <c r="X79" s="278"/>
      <c r="Y79" s="187" t="b">
        <f t="shared" si="10"/>
        <v>1</v>
      </c>
      <c r="Z79" s="188">
        <f t="shared" si="11"/>
        <v>0.7</v>
      </c>
      <c r="AA79" s="187" t="b">
        <f t="shared" si="12"/>
        <v>1</v>
      </c>
      <c r="AB79" s="187" t="b">
        <f t="shared" si="13"/>
        <v>1</v>
      </c>
    </row>
    <row r="80" spans="1:49" s="185" customFormat="1" ht="24" x14ac:dyDescent="0.2">
      <c r="A80" s="277">
        <v>78</v>
      </c>
      <c r="B80" s="246" t="s">
        <v>578</v>
      </c>
      <c r="C80" s="246" t="s">
        <v>21</v>
      </c>
      <c r="D80" s="257" t="s">
        <v>579</v>
      </c>
      <c r="E80" s="247" t="s">
        <v>711</v>
      </c>
      <c r="F80" s="246" t="s">
        <v>52</v>
      </c>
      <c r="G80" s="258" t="s">
        <v>580</v>
      </c>
      <c r="H80" s="246" t="s">
        <v>28</v>
      </c>
      <c r="I80" s="249">
        <v>0.38500000000000001</v>
      </c>
      <c r="J80" s="250" t="s">
        <v>390</v>
      </c>
      <c r="K80" s="259">
        <v>1791583.38</v>
      </c>
      <c r="L80" s="259">
        <v>737995.55</v>
      </c>
      <c r="M80" s="255">
        <f>K80-L80</f>
        <v>1053587.8299999998</v>
      </c>
      <c r="N80" s="253">
        <v>0.6</v>
      </c>
      <c r="O80" s="216"/>
      <c r="P80" s="216"/>
      <c r="Q80" s="254"/>
      <c r="R80" s="254"/>
      <c r="S80" s="254">
        <v>737995.55</v>
      </c>
      <c r="T80" s="254">
        <v>0</v>
      </c>
      <c r="U80" s="254">
        <v>0</v>
      </c>
      <c r="V80" s="254"/>
      <c r="W80" s="254"/>
      <c r="X80" s="278"/>
      <c r="Y80" s="187" t="b">
        <f t="shared" si="10"/>
        <v>1</v>
      </c>
      <c r="Z80" s="188">
        <f t="shared" si="11"/>
        <v>0.41189999999999999</v>
      </c>
      <c r="AA80" s="187" t="b">
        <f t="shared" si="12"/>
        <v>0</v>
      </c>
      <c r="AB80" s="187" t="b">
        <f t="shared" si="13"/>
        <v>1</v>
      </c>
    </row>
    <row r="81" spans="1:29" s="185" customFormat="1" ht="24" x14ac:dyDescent="0.2">
      <c r="A81" s="277">
        <v>79</v>
      </c>
      <c r="B81" s="246" t="s">
        <v>573</v>
      </c>
      <c r="C81" s="246" t="s">
        <v>21</v>
      </c>
      <c r="D81" s="257" t="s">
        <v>574</v>
      </c>
      <c r="E81" s="247" t="s">
        <v>710</v>
      </c>
      <c r="F81" s="246" t="s">
        <v>43</v>
      </c>
      <c r="G81" s="258" t="s">
        <v>575</v>
      </c>
      <c r="H81" s="246" t="s">
        <v>16</v>
      </c>
      <c r="I81" s="249">
        <v>0.28299999999999997</v>
      </c>
      <c r="J81" s="250" t="s">
        <v>252</v>
      </c>
      <c r="K81" s="259">
        <v>766619.64</v>
      </c>
      <c r="L81" s="259">
        <f>K81*N81</f>
        <v>459971.78399999999</v>
      </c>
      <c r="M81" s="255">
        <f>K81-L81</f>
        <v>306647.85600000003</v>
      </c>
      <c r="N81" s="253">
        <v>0.6</v>
      </c>
      <c r="O81" s="216"/>
      <c r="P81" s="216"/>
      <c r="Q81" s="254"/>
      <c r="R81" s="254"/>
      <c r="S81" s="254">
        <f>L81</f>
        <v>459971.78399999999</v>
      </c>
      <c r="T81" s="254">
        <v>0</v>
      </c>
      <c r="U81" s="254">
        <v>0</v>
      </c>
      <c r="V81" s="254"/>
      <c r="W81" s="254"/>
      <c r="X81" s="278"/>
      <c r="Y81" s="187" t="b">
        <f t="shared" si="10"/>
        <v>1</v>
      </c>
      <c r="Z81" s="188">
        <f t="shared" si="11"/>
        <v>0.6</v>
      </c>
      <c r="AA81" s="187" t="b">
        <f t="shared" si="12"/>
        <v>1</v>
      </c>
      <c r="AB81" s="187" t="b">
        <f t="shared" si="13"/>
        <v>1</v>
      </c>
    </row>
    <row r="82" spans="1:29" s="185" customFormat="1" ht="36" x14ac:dyDescent="0.2">
      <c r="A82" s="277">
        <v>80</v>
      </c>
      <c r="B82" s="246" t="s">
        <v>629</v>
      </c>
      <c r="C82" s="246" t="s">
        <v>21</v>
      </c>
      <c r="D82" s="257" t="s">
        <v>427</v>
      </c>
      <c r="E82" s="247" t="s">
        <v>732</v>
      </c>
      <c r="F82" s="246" t="s">
        <v>56</v>
      </c>
      <c r="G82" s="258" t="s">
        <v>630</v>
      </c>
      <c r="H82" s="246" t="s">
        <v>28</v>
      </c>
      <c r="I82" s="249">
        <v>0.22</v>
      </c>
      <c r="J82" s="250" t="s">
        <v>231</v>
      </c>
      <c r="K82" s="259">
        <v>1123478.1000000001</v>
      </c>
      <c r="L82" s="259">
        <v>526925</v>
      </c>
      <c r="M82" s="255">
        <f>K82-L82</f>
        <v>596553.10000000009</v>
      </c>
      <c r="N82" s="253">
        <v>0.5</v>
      </c>
      <c r="O82" s="216"/>
      <c r="P82" s="216"/>
      <c r="Q82" s="254"/>
      <c r="R82" s="254"/>
      <c r="S82" s="254">
        <v>526925</v>
      </c>
      <c r="T82" s="254">
        <v>0</v>
      </c>
      <c r="U82" s="254">
        <v>0</v>
      </c>
      <c r="V82" s="254"/>
      <c r="W82" s="254"/>
      <c r="X82" s="278"/>
      <c r="Y82" s="187" t="b">
        <f t="shared" si="10"/>
        <v>1</v>
      </c>
      <c r="Z82" s="188">
        <f t="shared" si="11"/>
        <v>0.46899999999999997</v>
      </c>
      <c r="AA82" s="187" t="b">
        <f t="shared" si="12"/>
        <v>0</v>
      </c>
      <c r="AB82" s="187" t="b">
        <f t="shared" si="13"/>
        <v>1</v>
      </c>
    </row>
    <row r="83" spans="1:29" s="185" customFormat="1" ht="36" x14ac:dyDescent="0.2">
      <c r="A83" s="277">
        <v>81</v>
      </c>
      <c r="B83" s="246" t="s">
        <v>764</v>
      </c>
      <c r="C83" s="246" t="s">
        <v>21</v>
      </c>
      <c r="D83" s="257" t="s">
        <v>750</v>
      </c>
      <c r="E83" s="247" t="s">
        <v>710</v>
      </c>
      <c r="F83" s="246" t="s">
        <v>43</v>
      </c>
      <c r="G83" s="258" t="s">
        <v>751</v>
      </c>
      <c r="H83" s="247" t="s">
        <v>18</v>
      </c>
      <c r="I83" s="246">
        <v>0.50700000000000001</v>
      </c>
      <c r="J83" s="279">
        <v>2023</v>
      </c>
      <c r="K83" s="259">
        <v>778102.57</v>
      </c>
      <c r="L83" s="259">
        <v>389051.28</v>
      </c>
      <c r="M83" s="259">
        <f>K83-L83</f>
        <v>389051.28999999992</v>
      </c>
      <c r="N83" s="253">
        <v>0.5</v>
      </c>
      <c r="O83" s="253"/>
      <c r="P83" s="216"/>
      <c r="Q83" s="216"/>
      <c r="R83" s="254"/>
      <c r="S83" s="254">
        <v>389051.28</v>
      </c>
      <c r="T83" s="254">
        <v>0</v>
      </c>
      <c r="U83" s="254">
        <v>0</v>
      </c>
      <c r="V83" s="254"/>
      <c r="W83" s="254"/>
      <c r="X83" s="254"/>
      <c r="Y83" s="187" t="b">
        <f t="shared" ref="Y83:Y97" si="14">L83=SUM(O83:X83)</f>
        <v>1</v>
      </c>
      <c r="Z83" s="188">
        <f t="shared" si="11"/>
        <v>0.5</v>
      </c>
      <c r="AA83" s="187" t="b">
        <f t="shared" si="12"/>
        <v>1</v>
      </c>
      <c r="AB83" s="187" t="b">
        <f t="shared" ref="AB83:AB97" si="15">K83=L83+M83</f>
        <v>1</v>
      </c>
      <c r="AC83" s="187"/>
    </row>
    <row r="84" spans="1:29" s="185" customFormat="1" ht="36" x14ac:dyDescent="0.2">
      <c r="A84" s="283" t="s">
        <v>775</v>
      </c>
      <c r="B84" s="246" t="s">
        <v>776</v>
      </c>
      <c r="C84" s="246" t="s">
        <v>21</v>
      </c>
      <c r="D84" s="257" t="s">
        <v>752</v>
      </c>
      <c r="E84" s="247" t="s">
        <v>732</v>
      </c>
      <c r="F84" s="246" t="s">
        <v>56</v>
      </c>
      <c r="G84" s="258" t="s">
        <v>753</v>
      </c>
      <c r="H84" s="247" t="s">
        <v>18</v>
      </c>
      <c r="I84" s="246">
        <v>0</v>
      </c>
      <c r="J84" s="279">
        <v>2023</v>
      </c>
      <c r="K84" s="259">
        <v>0</v>
      </c>
      <c r="L84" s="259">
        <v>0</v>
      </c>
      <c r="M84" s="259">
        <v>0</v>
      </c>
      <c r="N84" s="253">
        <v>0.5</v>
      </c>
      <c r="O84" s="253"/>
      <c r="P84" s="216"/>
      <c r="Q84" s="216"/>
      <c r="R84" s="254"/>
      <c r="S84" s="254">
        <v>0</v>
      </c>
      <c r="T84" s="254">
        <v>0</v>
      </c>
      <c r="U84" s="254">
        <v>0</v>
      </c>
      <c r="V84" s="254"/>
      <c r="W84" s="254"/>
      <c r="X84" s="254"/>
      <c r="Y84" s="187" t="b">
        <f t="shared" si="14"/>
        <v>1</v>
      </c>
      <c r="Z84" s="188" t="e">
        <f t="shared" si="11"/>
        <v>#DIV/0!</v>
      </c>
      <c r="AA84" s="187" t="e">
        <f t="shared" si="12"/>
        <v>#DIV/0!</v>
      </c>
      <c r="AB84" s="187" t="b">
        <f t="shared" si="15"/>
        <v>1</v>
      </c>
      <c r="AC84" s="187"/>
    </row>
    <row r="85" spans="1:29" s="185" customFormat="1" ht="36" x14ac:dyDescent="0.2">
      <c r="A85" s="256">
        <v>83</v>
      </c>
      <c r="B85" s="218" t="s">
        <v>484</v>
      </c>
      <c r="C85" s="218" t="s">
        <v>19</v>
      </c>
      <c r="D85" s="220" t="s">
        <v>347</v>
      </c>
      <c r="E85" s="221" t="s">
        <v>731</v>
      </c>
      <c r="F85" s="218" t="s">
        <v>51</v>
      </c>
      <c r="G85" s="233" t="s">
        <v>485</v>
      </c>
      <c r="H85" s="218" t="s">
        <v>16</v>
      </c>
      <c r="I85" s="223">
        <v>1.1000000000000001</v>
      </c>
      <c r="J85" s="234" t="s">
        <v>486</v>
      </c>
      <c r="K85" s="224">
        <v>5073090</v>
      </c>
      <c r="L85" s="224">
        <v>2536545</v>
      </c>
      <c r="M85" s="225">
        <f>K85-L85</f>
        <v>2536545</v>
      </c>
      <c r="N85" s="226">
        <v>0.5</v>
      </c>
      <c r="O85" s="230"/>
      <c r="P85" s="230"/>
      <c r="Q85" s="227"/>
      <c r="R85" s="227"/>
      <c r="S85" s="227">
        <v>100000</v>
      </c>
      <c r="T85" s="230">
        <v>750000</v>
      </c>
      <c r="U85" s="230">
        <v>1686545</v>
      </c>
      <c r="V85" s="254"/>
      <c r="W85" s="254"/>
      <c r="X85" s="254"/>
      <c r="Y85" s="260" t="b">
        <f t="shared" si="14"/>
        <v>1</v>
      </c>
      <c r="Z85" s="261">
        <f t="shared" si="11"/>
        <v>0.5</v>
      </c>
      <c r="AA85" s="260" t="b">
        <f t="shared" si="12"/>
        <v>1</v>
      </c>
      <c r="AB85" s="260" t="b">
        <f t="shared" si="15"/>
        <v>1</v>
      </c>
      <c r="AC85" s="187"/>
    </row>
    <row r="86" spans="1:29" s="185" customFormat="1" ht="24" x14ac:dyDescent="0.2">
      <c r="A86" s="256">
        <v>84</v>
      </c>
      <c r="B86" s="246" t="s">
        <v>491</v>
      </c>
      <c r="C86" s="246" t="s">
        <v>21</v>
      </c>
      <c r="D86" s="257" t="s">
        <v>492</v>
      </c>
      <c r="E86" s="247" t="s">
        <v>733</v>
      </c>
      <c r="F86" s="246" t="s">
        <v>41</v>
      </c>
      <c r="G86" s="258" t="s">
        <v>493</v>
      </c>
      <c r="H86" s="246" t="s">
        <v>18</v>
      </c>
      <c r="I86" s="249">
        <v>0.2</v>
      </c>
      <c r="J86" s="250" t="s">
        <v>267</v>
      </c>
      <c r="K86" s="259">
        <v>417928</v>
      </c>
      <c r="L86" s="259">
        <f>K86*N86</f>
        <v>250756.8</v>
      </c>
      <c r="M86" s="255">
        <f>K86-L86</f>
        <v>167171.20000000001</v>
      </c>
      <c r="N86" s="253">
        <v>0.6</v>
      </c>
      <c r="O86" s="216"/>
      <c r="P86" s="216"/>
      <c r="Q86" s="254"/>
      <c r="R86" s="254"/>
      <c r="S86" s="254">
        <f>L86</f>
        <v>250756.8</v>
      </c>
      <c r="T86" s="216">
        <v>0</v>
      </c>
      <c r="U86" s="216">
        <v>0</v>
      </c>
      <c r="V86" s="254"/>
      <c r="W86" s="254"/>
      <c r="X86" s="254"/>
      <c r="Y86" s="187" t="b">
        <f t="shared" si="14"/>
        <v>1</v>
      </c>
      <c r="Z86" s="188">
        <f t="shared" si="11"/>
        <v>0.6</v>
      </c>
      <c r="AA86" s="187" t="b">
        <f t="shared" si="12"/>
        <v>1</v>
      </c>
      <c r="AB86" s="187" t="b">
        <f t="shared" si="15"/>
        <v>1</v>
      </c>
      <c r="AC86" s="187"/>
    </row>
    <row r="87" spans="1:29" s="185" customFormat="1" ht="36" x14ac:dyDescent="0.2">
      <c r="A87" s="246" t="s">
        <v>777</v>
      </c>
      <c r="B87" s="246" t="s">
        <v>494</v>
      </c>
      <c r="C87" s="246" t="s">
        <v>21</v>
      </c>
      <c r="D87" s="257" t="s">
        <v>495</v>
      </c>
      <c r="E87" s="247" t="s">
        <v>694</v>
      </c>
      <c r="F87" s="246" t="s">
        <v>496</v>
      </c>
      <c r="G87" s="258" t="s">
        <v>497</v>
      </c>
      <c r="H87" s="246" t="s">
        <v>16</v>
      </c>
      <c r="I87" s="249">
        <v>0</v>
      </c>
      <c r="J87" s="250" t="s">
        <v>271</v>
      </c>
      <c r="K87" s="259">
        <v>0</v>
      </c>
      <c r="L87" s="259">
        <v>0</v>
      </c>
      <c r="M87" s="255">
        <v>0</v>
      </c>
      <c r="N87" s="253">
        <v>0.6</v>
      </c>
      <c r="O87" s="216"/>
      <c r="P87" s="216"/>
      <c r="Q87" s="254"/>
      <c r="R87" s="254"/>
      <c r="S87" s="254">
        <v>0</v>
      </c>
      <c r="T87" s="254">
        <v>0</v>
      </c>
      <c r="U87" s="254">
        <v>0</v>
      </c>
      <c r="V87" s="254"/>
      <c r="W87" s="254"/>
      <c r="X87" s="254"/>
      <c r="Y87" s="187" t="b">
        <f t="shared" si="14"/>
        <v>1</v>
      </c>
      <c r="Z87" s="188" t="e">
        <f t="shared" si="11"/>
        <v>#DIV/0!</v>
      </c>
      <c r="AA87" s="187" t="e">
        <f t="shared" si="12"/>
        <v>#DIV/0!</v>
      </c>
      <c r="AB87" s="187" t="b">
        <f t="shared" si="15"/>
        <v>1</v>
      </c>
      <c r="AC87" s="187"/>
    </row>
    <row r="88" spans="1:29" s="185" customFormat="1" ht="24" x14ac:dyDescent="0.2">
      <c r="A88" s="256">
        <v>86</v>
      </c>
      <c r="B88" s="246" t="s">
        <v>631</v>
      </c>
      <c r="C88" s="246" t="s">
        <v>21</v>
      </c>
      <c r="D88" s="257" t="s">
        <v>632</v>
      </c>
      <c r="E88" s="247" t="s">
        <v>720</v>
      </c>
      <c r="F88" s="246" t="s">
        <v>276</v>
      </c>
      <c r="G88" s="258" t="s">
        <v>633</v>
      </c>
      <c r="H88" s="246" t="s">
        <v>18</v>
      </c>
      <c r="I88" s="249">
        <v>2.8460000000000001</v>
      </c>
      <c r="J88" s="250" t="s">
        <v>289</v>
      </c>
      <c r="K88" s="259">
        <v>2502605.44</v>
      </c>
      <c r="L88" s="259">
        <v>1751823.8</v>
      </c>
      <c r="M88" s="255">
        <f>K88-L88</f>
        <v>750781.6399999999</v>
      </c>
      <c r="N88" s="253">
        <f>L88/K88</f>
        <v>0.69999999680333147</v>
      </c>
      <c r="O88" s="216"/>
      <c r="P88" s="216"/>
      <c r="Q88" s="254"/>
      <c r="R88" s="254"/>
      <c r="S88" s="254">
        <f>L88</f>
        <v>1751823.8</v>
      </c>
      <c r="T88" s="254">
        <v>0</v>
      </c>
      <c r="U88" s="254">
        <v>0</v>
      </c>
      <c r="V88" s="254"/>
      <c r="W88" s="254"/>
      <c r="X88" s="254"/>
      <c r="Y88" s="187" t="b">
        <f t="shared" si="14"/>
        <v>1</v>
      </c>
      <c r="Z88" s="188">
        <f t="shared" si="11"/>
        <v>0.7</v>
      </c>
      <c r="AA88" s="187" t="b">
        <f t="shared" si="12"/>
        <v>0</v>
      </c>
      <c r="AB88" s="187" t="b">
        <f t="shared" si="15"/>
        <v>1</v>
      </c>
      <c r="AC88" s="187"/>
    </row>
    <row r="89" spans="1:29" s="185" customFormat="1" ht="36" x14ac:dyDescent="0.2">
      <c r="A89" s="232">
        <v>87</v>
      </c>
      <c r="B89" s="218" t="s">
        <v>432</v>
      </c>
      <c r="C89" s="218" t="s">
        <v>19</v>
      </c>
      <c r="D89" s="220" t="s">
        <v>433</v>
      </c>
      <c r="E89" s="221" t="s">
        <v>734</v>
      </c>
      <c r="F89" s="218" t="s">
        <v>55</v>
      </c>
      <c r="G89" s="233" t="s">
        <v>746</v>
      </c>
      <c r="H89" s="218" t="s">
        <v>16</v>
      </c>
      <c r="I89" s="223">
        <v>0.90500000000000003</v>
      </c>
      <c r="J89" s="234" t="s">
        <v>434</v>
      </c>
      <c r="K89" s="224">
        <v>6345572.9900000002</v>
      </c>
      <c r="L89" s="224">
        <v>2998533</v>
      </c>
      <c r="M89" s="225">
        <f>K89-L89</f>
        <v>3347039.99</v>
      </c>
      <c r="N89" s="226">
        <v>0.5</v>
      </c>
      <c r="O89" s="230"/>
      <c r="P89" s="230"/>
      <c r="Q89" s="227"/>
      <c r="R89" s="227"/>
      <c r="S89" s="227">
        <v>1799120</v>
      </c>
      <c r="T89" s="227">
        <v>1199413</v>
      </c>
      <c r="U89" s="227">
        <v>0</v>
      </c>
      <c r="V89" s="254"/>
      <c r="W89" s="254"/>
      <c r="X89" s="254"/>
      <c r="Y89" s="187" t="b">
        <f t="shared" si="14"/>
        <v>1</v>
      </c>
      <c r="Z89" s="188">
        <f t="shared" si="11"/>
        <v>0.47249999999999998</v>
      </c>
      <c r="AA89" s="187" t="b">
        <f t="shared" si="12"/>
        <v>0</v>
      </c>
      <c r="AB89" s="187" t="b">
        <f t="shared" si="15"/>
        <v>1</v>
      </c>
      <c r="AC89" s="187"/>
    </row>
    <row r="90" spans="1:29" s="185" customFormat="1" ht="24" x14ac:dyDescent="0.2">
      <c r="A90" s="232">
        <v>88</v>
      </c>
      <c r="B90" s="218" t="s">
        <v>487</v>
      </c>
      <c r="C90" s="218" t="s">
        <v>19</v>
      </c>
      <c r="D90" s="220" t="s">
        <v>488</v>
      </c>
      <c r="E90" s="221" t="s">
        <v>693</v>
      </c>
      <c r="F90" s="218" t="s">
        <v>175</v>
      </c>
      <c r="G90" s="233" t="s">
        <v>489</v>
      </c>
      <c r="H90" s="218" t="s">
        <v>16</v>
      </c>
      <c r="I90" s="223">
        <v>0.755</v>
      </c>
      <c r="J90" s="234" t="s">
        <v>490</v>
      </c>
      <c r="K90" s="224">
        <v>3999543</v>
      </c>
      <c r="L90" s="224">
        <v>2399725.7999999998</v>
      </c>
      <c r="M90" s="225">
        <v>1599817.2000000002</v>
      </c>
      <c r="N90" s="226">
        <v>0.6</v>
      </c>
      <c r="O90" s="230"/>
      <c r="P90" s="230"/>
      <c r="Q90" s="227"/>
      <c r="R90" s="227"/>
      <c r="S90" s="227">
        <v>1198335.6000000001</v>
      </c>
      <c r="T90" s="227">
        <v>1201390.2</v>
      </c>
      <c r="U90" s="227">
        <v>0</v>
      </c>
      <c r="V90" s="254"/>
      <c r="W90" s="254"/>
      <c r="X90" s="254"/>
      <c r="Y90" s="187" t="b">
        <f t="shared" si="14"/>
        <v>1</v>
      </c>
      <c r="Z90" s="188">
        <f t="shared" si="11"/>
        <v>0.6</v>
      </c>
      <c r="AA90" s="187" t="b">
        <f t="shared" si="12"/>
        <v>1</v>
      </c>
      <c r="AB90" s="187" t="b">
        <f t="shared" si="15"/>
        <v>1</v>
      </c>
      <c r="AC90" s="187"/>
    </row>
    <row r="91" spans="1:29" s="185" customFormat="1" ht="26.25" customHeight="1" x14ac:dyDescent="0.2">
      <c r="A91" s="256">
        <v>89</v>
      </c>
      <c r="B91" s="246" t="s">
        <v>509</v>
      </c>
      <c r="C91" s="246" t="s">
        <v>21</v>
      </c>
      <c r="D91" s="257" t="s">
        <v>510</v>
      </c>
      <c r="E91" s="247" t="s">
        <v>698</v>
      </c>
      <c r="F91" s="246" t="s">
        <v>44</v>
      </c>
      <c r="G91" s="258" t="s">
        <v>511</v>
      </c>
      <c r="H91" s="246" t="s">
        <v>16</v>
      </c>
      <c r="I91" s="249">
        <v>1.0489999999999999</v>
      </c>
      <c r="J91" s="250" t="s">
        <v>506</v>
      </c>
      <c r="K91" s="259">
        <v>2417987.23</v>
      </c>
      <c r="L91" s="259">
        <v>1190036.3999999999</v>
      </c>
      <c r="M91" s="255">
        <f>K91-L91</f>
        <v>1227950.83</v>
      </c>
      <c r="N91" s="253">
        <v>0.6</v>
      </c>
      <c r="O91" s="216"/>
      <c r="P91" s="216"/>
      <c r="Q91" s="254"/>
      <c r="R91" s="254"/>
      <c r="S91" s="254">
        <v>1190036.3999999999</v>
      </c>
      <c r="T91" s="254">
        <v>0</v>
      </c>
      <c r="U91" s="254">
        <v>0</v>
      </c>
      <c r="V91" s="254"/>
      <c r="W91" s="254"/>
      <c r="X91" s="254"/>
      <c r="Y91" s="187" t="b">
        <f t="shared" si="14"/>
        <v>1</v>
      </c>
      <c r="Z91" s="188">
        <f t="shared" si="11"/>
        <v>0.49220000000000003</v>
      </c>
      <c r="AA91" s="187" t="b">
        <f t="shared" si="12"/>
        <v>0</v>
      </c>
      <c r="AB91" s="187" t="b">
        <f t="shared" si="15"/>
        <v>1</v>
      </c>
      <c r="AC91" s="187"/>
    </row>
    <row r="92" spans="1:29" s="185" customFormat="1" ht="26.25" customHeight="1" x14ac:dyDescent="0.2">
      <c r="A92" s="256">
        <v>90</v>
      </c>
      <c r="B92" s="246" t="s">
        <v>778</v>
      </c>
      <c r="C92" s="246" t="s">
        <v>21</v>
      </c>
      <c r="D92" s="257" t="s">
        <v>565</v>
      </c>
      <c r="E92" s="247" t="s">
        <v>733</v>
      </c>
      <c r="F92" s="246" t="s">
        <v>759</v>
      </c>
      <c r="G92" s="258" t="s">
        <v>766</v>
      </c>
      <c r="H92" s="246" t="s">
        <v>16</v>
      </c>
      <c r="I92" s="249">
        <v>0.81</v>
      </c>
      <c r="J92" s="250" t="s">
        <v>786</v>
      </c>
      <c r="K92" s="259">
        <v>2900000</v>
      </c>
      <c r="L92" s="259">
        <v>2029999.9999999998</v>
      </c>
      <c r="M92" s="255">
        <v>870000.00000000023</v>
      </c>
      <c r="N92" s="253">
        <v>0.7</v>
      </c>
      <c r="O92" s="216"/>
      <c r="P92" s="216"/>
      <c r="Q92" s="254"/>
      <c r="R92" s="254"/>
      <c r="S92" s="254">
        <v>2029999.9999999998</v>
      </c>
      <c r="T92" s="254">
        <v>0</v>
      </c>
      <c r="U92" s="254">
        <v>0</v>
      </c>
      <c r="V92" s="254"/>
      <c r="W92" s="254"/>
      <c r="X92" s="254"/>
      <c r="Y92" s="187" t="b">
        <f t="shared" si="14"/>
        <v>1</v>
      </c>
      <c r="Z92" s="188">
        <f t="shared" si="11"/>
        <v>0.7</v>
      </c>
      <c r="AA92" s="187" t="b">
        <f t="shared" si="12"/>
        <v>1</v>
      </c>
      <c r="AB92" s="187" t="b">
        <f t="shared" si="15"/>
        <v>1</v>
      </c>
      <c r="AC92" s="187"/>
    </row>
    <row r="93" spans="1:29" s="185" customFormat="1" ht="26.25" customHeight="1" x14ac:dyDescent="0.2">
      <c r="A93" s="256">
        <v>91</v>
      </c>
      <c r="B93" s="246" t="s">
        <v>498</v>
      </c>
      <c r="C93" s="246" t="s">
        <v>21</v>
      </c>
      <c r="D93" s="257" t="s">
        <v>291</v>
      </c>
      <c r="E93" s="247" t="s">
        <v>669</v>
      </c>
      <c r="F93" s="246" t="s">
        <v>47</v>
      </c>
      <c r="G93" s="258" t="s">
        <v>499</v>
      </c>
      <c r="H93" s="246" t="s">
        <v>16</v>
      </c>
      <c r="I93" s="249">
        <v>0.38</v>
      </c>
      <c r="J93" s="250" t="s">
        <v>216</v>
      </c>
      <c r="K93" s="259">
        <v>602757</v>
      </c>
      <c r="L93" s="259">
        <v>361654.2</v>
      </c>
      <c r="M93" s="255">
        <v>241102.8</v>
      </c>
      <c r="N93" s="253">
        <v>0.6</v>
      </c>
      <c r="O93" s="216"/>
      <c r="P93" s="216"/>
      <c r="Q93" s="254"/>
      <c r="R93" s="254"/>
      <c r="S93" s="254">
        <v>361654.2</v>
      </c>
      <c r="T93" s="254">
        <v>0</v>
      </c>
      <c r="U93" s="254">
        <v>0</v>
      </c>
      <c r="V93" s="254"/>
      <c r="W93" s="254"/>
      <c r="X93" s="254"/>
      <c r="Y93" s="187" t="b">
        <f t="shared" si="14"/>
        <v>1</v>
      </c>
      <c r="Z93" s="188">
        <f t="shared" si="11"/>
        <v>0.6</v>
      </c>
      <c r="AA93" s="187" t="b">
        <f t="shared" si="12"/>
        <v>1</v>
      </c>
      <c r="AB93" s="187" t="b">
        <f t="shared" si="15"/>
        <v>1</v>
      </c>
      <c r="AC93" s="187"/>
    </row>
    <row r="94" spans="1:29" s="185" customFormat="1" ht="38.25" customHeight="1" x14ac:dyDescent="0.2">
      <c r="A94" s="256">
        <v>92</v>
      </c>
      <c r="B94" s="246" t="s">
        <v>500</v>
      </c>
      <c r="C94" s="246" t="s">
        <v>21</v>
      </c>
      <c r="D94" s="257" t="s">
        <v>501</v>
      </c>
      <c r="E94" s="247" t="s">
        <v>695</v>
      </c>
      <c r="F94" s="246" t="s">
        <v>327</v>
      </c>
      <c r="G94" s="258" t="s">
        <v>502</v>
      </c>
      <c r="H94" s="246" t="s">
        <v>18</v>
      </c>
      <c r="I94" s="249">
        <v>0.19</v>
      </c>
      <c r="J94" s="250" t="s">
        <v>231</v>
      </c>
      <c r="K94" s="259">
        <v>620000</v>
      </c>
      <c r="L94" s="259">
        <v>434000</v>
      </c>
      <c r="M94" s="255">
        <v>186000</v>
      </c>
      <c r="N94" s="253">
        <v>0.7</v>
      </c>
      <c r="O94" s="216"/>
      <c r="P94" s="216"/>
      <c r="Q94" s="254"/>
      <c r="R94" s="254"/>
      <c r="S94" s="254">
        <v>434000</v>
      </c>
      <c r="T94" s="254">
        <v>0</v>
      </c>
      <c r="U94" s="254">
        <v>0</v>
      </c>
      <c r="V94" s="254"/>
      <c r="W94" s="254"/>
      <c r="X94" s="254"/>
      <c r="Y94" s="187" t="b">
        <f t="shared" si="14"/>
        <v>1</v>
      </c>
      <c r="Z94" s="188">
        <f t="shared" si="11"/>
        <v>0.7</v>
      </c>
      <c r="AA94" s="187" t="b">
        <f t="shared" si="12"/>
        <v>1</v>
      </c>
      <c r="AB94" s="187" t="b">
        <f t="shared" si="15"/>
        <v>1</v>
      </c>
      <c r="AC94" s="187"/>
    </row>
    <row r="95" spans="1:29" s="185" customFormat="1" ht="36.75" customHeight="1" x14ac:dyDescent="0.2">
      <c r="A95" s="246" t="s">
        <v>785</v>
      </c>
      <c r="B95" s="246" t="s">
        <v>503</v>
      </c>
      <c r="C95" s="246" t="s">
        <v>21</v>
      </c>
      <c r="D95" s="257" t="s">
        <v>504</v>
      </c>
      <c r="E95" s="247" t="s">
        <v>696</v>
      </c>
      <c r="F95" s="246" t="s">
        <v>46</v>
      </c>
      <c r="G95" s="258" t="s">
        <v>505</v>
      </c>
      <c r="H95" s="246" t="s">
        <v>28</v>
      </c>
      <c r="I95" s="249">
        <v>0</v>
      </c>
      <c r="J95" s="250" t="s">
        <v>506</v>
      </c>
      <c r="K95" s="259">
        <v>0</v>
      </c>
      <c r="L95" s="259">
        <v>0</v>
      </c>
      <c r="M95" s="255">
        <v>0</v>
      </c>
      <c r="N95" s="253">
        <v>0.5</v>
      </c>
      <c r="O95" s="216"/>
      <c r="P95" s="216"/>
      <c r="Q95" s="254"/>
      <c r="R95" s="254"/>
      <c r="S95" s="254">
        <v>0</v>
      </c>
      <c r="T95" s="254">
        <v>0</v>
      </c>
      <c r="U95" s="254">
        <v>0</v>
      </c>
      <c r="V95" s="254"/>
      <c r="W95" s="254"/>
      <c r="X95" s="254"/>
      <c r="Y95" s="187" t="b">
        <f t="shared" si="14"/>
        <v>1</v>
      </c>
      <c r="Z95" s="188" t="e">
        <f t="shared" si="11"/>
        <v>#DIV/0!</v>
      </c>
      <c r="AA95" s="187" t="e">
        <f t="shared" si="12"/>
        <v>#DIV/0!</v>
      </c>
      <c r="AB95" s="187" t="b">
        <f t="shared" si="15"/>
        <v>1</v>
      </c>
      <c r="AC95" s="187"/>
    </row>
    <row r="96" spans="1:29" s="185" customFormat="1" ht="36.75" customHeight="1" x14ac:dyDescent="0.2">
      <c r="A96" s="246">
        <v>94</v>
      </c>
      <c r="B96" s="246" t="s">
        <v>765</v>
      </c>
      <c r="C96" s="246" t="s">
        <v>21</v>
      </c>
      <c r="D96" s="257" t="s">
        <v>754</v>
      </c>
      <c r="E96" s="247" t="s">
        <v>669</v>
      </c>
      <c r="F96" s="246" t="s">
        <v>47</v>
      </c>
      <c r="G96" s="258" t="s">
        <v>755</v>
      </c>
      <c r="H96" s="246" t="s">
        <v>16</v>
      </c>
      <c r="I96" s="249">
        <v>0.35599999999999998</v>
      </c>
      <c r="J96" s="250" t="s">
        <v>756</v>
      </c>
      <c r="K96" s="259">
        <v>2106447</v>
      </c>
      <c r="L96" s="259">
        <f>K96*N96</f>
        <v>1474512.9</v>
      </c>
      <c r="M96" s="255">
        <f>K96-L96</f>
        <v>631934.10000000009</v>
      </c>
      <c r="N96" s="253">
        <v>0.7</v>
      </c>
      <c r="O96" s="216"/>
      <c r="P96" s="216"/>
      <c r="Q96" s="254"/>
      <c r="R96" s="254"/>
      <c r="S96" s="254">
        <f>L96</f>
        <v>1474512.9</v>
      </c>
      <c r="T96" s="254">
        <v>0</v>
      </c>
      <c r="U96" s="254">
        <v>0</v>
      </c>
      <c r="V96" s="254"/>
      <c r="W96" s="254"/>
      <c r="X96" s="254"/>
      <c r="Y96" s="187" t="b">
        <f t="shared" si="14"/>
        <v>1</v>
      </c>
      <c r="Z96" s="188">
        <f t="shared" si="11"/>
        <v>0.7</v>
      </c>
      <c r="AA96" s="187" t="b">
        <f t="shared" si="12"/>
        <v>1</v>
      </c>
      <c r="AB96" s="187" t="b">
        <f t="shared" si="15"/>
        <v>1</v>
      </c>
      <c r="AC96" s="187"/>
    </row>
    <row r="97" spans="1:29" s="185" customFormat="1" ht="36.75" customHeight="1" x14ac:dyDescent="0.2">
      <c r="A97" s="291" t="s">
        <v>791</v>
      </c>
      <c r="B97" s="246" t="s">
        <v>507</v>
      </c>
      <c r="C97" s="246" t="s">
        <v>21</v>
      </c>
      <c r="D97" s="257" t="s">
        <v>74</v>
      </c>
      <c r="E97" s="247" t="s">
        <v>697</v>
      </c>
      <c r="F97" s="246" t="s">
        <v>52</v>
      </c>
      <c r="G97" s="258" t="s">
        <v>508</v>
      </c>
      <c r="H97" s="246" t="s">
        <v>18</v>
      </c>
      <c r="I97" s="249">
        <v>2.3519999999999999</v>
      </c>
      <c r="J97" s="250" t="s">
        <v>252</v>
      </c>
      <c r="K97" s="259">
        <v>1782922</v>
      </c>
      <c r="L97" s="259">
        <v>337489.85</v>
      </c>
      <c r="M97" s="255">
        <f>K97-L97</f>
        <v>1445432.15</v>
      </c>
      <c r="N97" s="253">
        <v>0.5</v>
      </c>
      <c r="O97" s="216"/>
      <c r="P97" s="216"/>
      <c r="Q97" s="254"/>
      <c r="R97" s="254"/>
      <c r="S97" s="254">
        <v>337489.85</v>
      </c>
      <c r="T97" s="254"/>
      <c r="U97" s="254"/>
      <c r="V97" s="254"/>
      <c r="W97" s="254"/>
      <c r="X97" s="254"/>
      <c r="Y97" s="187" t="b">
        <f t="shared" si="14"/>
        <v>1</v>
      </c>
      <c r="Z97" s="188">
        <f t="shared" si="11"/>
        <v>0.1893</v>
      </c>
      <c r="AA97" s="187" t="b">
        <f t="shared" si="12"/>
        <v>0</v>
      </c>
      <c r="AB97" s="187" t="b">
        <f t="shared" si="15"/>
        <v>1</v>
      </c>
      <c r="AC97" s="187"/>
    </row>
    <row r="98" spans="1:29" ht="22.5" customHeight="1" x14ac:dyDescent="0.2">
      <c r="A98" s="319" t="s">
        <v>31</v>
      </c>
      <c r="B98" s="319"/>
      <c r="C98" s="319"/>
      <c r="D98" s="319"/>
      <c r="E98" s="319"/>
      <c r="F98" s="319"/>
      <c r="G98" s="319"/>
      <c r="H98" s="319"/>
      <c r="I98" s="158">
        <f>SUM(I3:I97)</f>
        <v>69.272999999999996</v>
      </c>
      <c r="J98" s="288" t="s">
        <v>32</v>
      </c>
      <c r="K98" s="157">
        <f>SUM(K3:K97)</f>
        <v>245844772.05999991</v>
      </c>
      <c r="L98" s="157">
        <f>SUM(L3:L97)</f>
        <v>142018214.095</v>
      </c>
      <c r="M98" s="157">
        <f>SUM(M3:M97)</f>
        <v>103826557.965</v>
      </c>
      <c r="N98" s="160" t="s">
        <v>32</v>
      </c>
      <c r="O98" s="169">
        <f t="shared" ref="O98:X98" si="16">SUM(O3:O97)</f>
        <v>0</v>
      </c>
      <c r="P98" s="169">
        <f t="shared" si="16"/>
        <v>0</v>
      </c>
      <c r="Q98" s="169">
        <f t="shared" si="16"/>
        <v>241496.05</v>
      </c>
      <c r="R98" s="169">
        <f t="shared" si="16"/>
        <v>18776649.260000002</v>
      </c>
      <c r="S98" s="169">
        <f t="shared" si="16"/>
        <v>97475607.584999993</v>
      </c>
      <c r="T98" s="169">
        <f t="shared" si="16"/>
        <v>23837916.199999999</v>
      </c>
      <c r="U98" s="169">
        <f t="shared" si="16"/>
        <v>1686545</v>
      </c>
      <c r="V98" s="169">
        <f t="shared" si="16"/>
        <v>0</v>
      </c>
      <c r="W98" s="169">
        <f t="shared" si="16"/>
        <v>0</v>
      </c>
      <c r="X98" s="169">
        <f t="shared" si="16"/>
        <v>0</v>
      </c>
      <c r="Y98" s="189"/>
      <c r="AA98" s="189"/>
      <c r="AB98" s="189"/>
    </row>
    <row r="99" spans="1:29" ht="13.9" customHeight="1" x14ac:dyDescent="0.2">
      <c r="A99" s="320" t="s">
        <v>33</v>
      </c>
      <c r="B99" s="320"/>
      <c r="C99" s="320"/>
      <c r="D99" s="320"/>
      <c r="E99" s="320"/>
      <c r="F99" s="320"/>
      <c r="G99" s="320"/>
      <c r="H99" s="320"/>
      <c r="I99" s="161">
        <f>SUMIF($C$3:$C$97,"K",I3:I97)</f>
        <v>24.003999999999998</v>
      </c>
      <c r="J99" s="289" t="s">
        <v>32</v>
      </c>
      <c r="K99" s="155">
        <f>SUMIF($C$3:$C$97,"K",K3:K97)</f>
        <v>95865704.5</v>
      </c>
      <c r="L99" s="155">
        <f>SUMIF($C$3:$C$97,"K",L3:L97)</f>
        <v>51121137.819999993</v>
      </c>
      <c r="M99" s="155">
        <f>SUMIF($C$3:$C$97,"K",M3:M97)</f>
        <v>44744566.68</v>
      </c>
      <c r="N99" s="163" t="s">
        <v>32</v>
      </c>
      <c r="O99" s="155">
        <f t="shared" ref="O99:X99" si="17">SUMIF($C$3:$C$97,"K",O3:O97)</f>
        <v>0</v>
      </c>
      <c r="P99" s="155">
        <f t="shared" si="17"/>
        <v>0</v>
      </c>
      <c r="Q99" s="156">
        <f t="shared" si="17"/>
        <v>241496.05</v>
      </c>
      <c r="R99" s="156">
        <f t="shared" si="17"/>
        <v>18776649.260000002</v>
      </c>
      <c r="S99" s="156">
        <f t="shared" si="17"/>
        <v>30602992.509999998</v>
      </c>
      <c r="T99" s="156">
        <f t="shared" si="17"/>
        <v>1500000</v>
      </c>
      <c r="U99" s="156">
        <f t="shared" si="17"/>
        <v>0</v>
      </c>
      <c r="V99" s="156">
        <f t="shared" si="17"/>
        <v>0</v>
      </c>
      <c r="W99" s="156">
        <f t="shared" si="17"/>
        <v>0</v>
      </c>
      <c r="X99" s="156">
        <f t="shared" si="17"/>
        <v>0</v>
      </c>
    </row>
    <row r="100" spans="1:29" ht="22.5" customHeight="1" x14ac:dyDescent="0.2">
      <c r="A100" s="319" t="s">
        <v>34</v>
      </c>
      <c r="B100" s="319"/>
      <c r="C100" s="319"/>
      <c r="D100" s="319"/>
      <c r="E100" s="319"/>
      <c r="F100" s="319"/>
      <c r="G100" s="319"/>
      <c r="H100" s="319"/>
      <c r="I100" s="158">
        <f>SUMIF($C$3:$C$97,"N",I3:I97)</f>
        <v>30.685000000000006</v>
      </c>
      <c r="J100" s="288" t="s">
        <v>32</v>
      </c>
      <c r="K100" s="157">
        <f>SUMIF($C$3:$C$97,"N",K3:K97)</f>
        <v>77268576.319999993</v>
      </c>
      <c r="L100" s="157">
        <f>SUMIF($C$3:$C$97,"N",L3:L97)</f>
        <v>47538796.154999986</v>
      </c>
      <c r="M100" s="157">
        <f>SUMIF($C$3:$C$97,"N",M3:M97)</f>
        <v>29729780.164999995</v>
      </c>
      <c r="N100" s="160" t="s">
        <v>32</v>
      </c>
      <c r="O100" s="157">
        <f t="shared" ref="O100:X100" si="18">SUMIF($C$3:$C$97,"N",O3:O97)</f>
        <v>0</v>
      </c>
      <c r="P100" s="157">
        <f t="shared" si="18"/>
        <v>0</v>
      </c>
      <c r="Q100" s="169">
        <f t="shared" si="18"/>
        <v>0</v>
      </c>
      <c r="R100" s="169">
        <f t="shared" si="18"/>
        <v>0</v>
      </c>
      <c r="S100" s="169">
        <f t="shared" si="18"/>
        <v>47538796.154999986</v>
      </c>
      <c r="T100" s="169">
        <f t="shared" si="18"/>
        <v>0</v>
      </c>
      <c r="U100" s="169">
        <f t="shared" si="18"/>
        <v>0</v>
      </c>
      <c r="V100" s="169">
        <f t="shared" si="18"/>
        <v>0</v>
      </c>
      <c r="W100" s="169">
        <f t="shared" si="18"/>
        <v>0</v>
      </c>
      <c r="X100" s="169">
        <f t="shared" si="18"/>
        <v>0</v>
      </c>
    </row>
    <row r="101" spans="1:29" ht="13.9" customHeight="1" x14ac:dyDescent="0.2">
      <c r="A101" s="320" t="s">
        <v>35</v>
      </c>
      <c r="B101" s="320"/>
      <c r="C101" s="320"/>
      <c r="D101" s="320"/>
      <c r="E101" s="320"/>
      <c r="F101" s="320"/>
      <c r="G101" s="320"/>
      <c r="H101" s="320"/>
      <c r="I101" s="161">
        <f>SUMIF($C$3:$C$97,"W",I3:I97)</f>
        <v>14.583999999999998</v>
      </c>
      <c r="J101" s="289" t="s">
        <v>32</v>
      </c>
      <c r="K101" s="155">
        <f>SUMIF($C$3:$C$97,"W",K3:K97)</f>
        <v>72710491.239999995</v>
      </c>
      <c r="L101" s="155">
        <f>SUMIF($C$3:$C$97,"W",L3:L97)</f>
        <v>43358280.119999997</v>
      </c>
      <c r="M101" s="155">
        <f>SUMIF($C$3:$C$97,"W",M3:M97)</f>
        <v>29352211.120000001</v>
      </c>
      <c r="N101" s="163" t="s">
        <v>32</v>
      </c>
      <c r="O101" s="155">
        <f t="shared" ref="O101:X101" si="19">SUMIF($C$3:$C$97,"W",O3:O97)</f>
        <v>0</v>
      </c>
      <c r="P101" s="155">
        <f t="shared" si="19"/>
        <v>0</v>
      </c>
      <c r="Q101" s="156">
        <f t="shared" si="19"/>
        <v>0</v>
      </c>
      <c r="R101" s="156">
        <f t="shared" si="19"/>
        <v>0</v>
      </c>
      <c r="S101" s="156">
        <f t="shared" si="19"/>
        <v>19333818.920000002</v>
      </c>
      <c r="T101" s="156">
        <f t="shared" si="19"/>
        <v>22337916.199999999</v>
      </c>
      <c r="U101" s="156">
        <f t="shared" si="19"/>
        <v>1686545</v>
      </c>
      <c r="V101" s="156">
        <f t="shared" si="19"/>
        <v>0</v>
      </c>
      <c r="W101" s="156">
        <f t="shared" si="19"/>
        <v>0</v>
      </c>
      <c r="X101" s="156">
        <f t="shared" si="19"/>
        <v>0</v>
      </c>
    </row>
    <row r="103" spans="1:29" x14ac:dyDescent="0.2">
      <c r="A103" s="150" t="s">
        <v>36</v>
      </c>
      <c r="K103" s="170"/>
      <c r="L103" s="170"/>
      <c r="Q103" s="290" t="s">
        <v>787</v>
      </c>
      <c r="R103" s="170">
        <v>97475607.586000025</v>
      </c>
      <c r="S103" s="170">
        <f>R103-S98</f>
        <v>1.0000318288803101E-3</v>
      </c>
    </row>
    <row r="104" spans="1:29" x14ac:dyDescent="0.2">
      <c r="A104" s="164" t="s">
        <v>37</v>
      </c>
      <c r="K104" s="170"/>
      <c r="L104" s="170"/>
      <c r="M104" s="170"/>
      <c r="N104" s="170"/>
      <c r="R104" s="170"/>
      <c r="T104" s="170"/>
    </row>
    <row r="105" spans="1:29" x14ac:dyDescent="0.2">
      <c r="A105" s="150" t="s">
        <v>38</v>
      </c>
      <c r="L105" s="170"/>
      <c r="M105" s="170"/>
      <c r="N105" s="170"/>
      <c r="Q105" s="170"/>
      <c r="R105" s="170"/>
      <c r="S105" s="170"/>
    </row>
    <row r="106" spans="1:29" x14ac:dyDescent="0.2">
      <c r="M106" s="170"/>
      <c r="R106" s="170"/>
    </row>
    <row r="107" spans="1:29" x14ac:dyDescent="0.2">
      <c r="A107" s="165" t="s">
        <v>39</v>
      </c>
    </row>
    <row r="109" spans="1:29" x14ac:dyDescent="0.2">
      <c r="L109" s="271"/>
    </row>
    <row r="110" spans="1:29" x14ac:dyDescent="0.2">
      <c r="N110" s="170"/>
      <c r="O110" s="170"/>
    </row>
    <row r="111" spans="1:29" x14ac:dyDescent="0.2">
      <c r="J111" s="176"/>
      <c r="K111" s="177"/>
      <c r="L111" s="177"/>
      <c r="M111" s="177"/>
      <c r="N111" s="170"/>
      <c r="O111" s="170"/>
      <c r="P111" s="178"/>
      <c r="Q111" s="179"/>
      <c r="R111" s="179"/>
      <c r="S111" s="176"/>
      <c r="T111" s="176"/>
    </row>
    <row r="112" spans="1:29" x14ac:dyDescent="0.2">
      <c r="J112" s="176"/>
      <c r="K112" s="176"/>
      <c r="L112" s="176"/>
      <c r="M112" s="176"/>
      <c r="N112" s="176"/>
      <c r="O112" s="176"/>
      <c r="P112" s="176"/>
      <c r="Q112" s="176"/>
      <c r="R112" s="176"/>
      <c r="S112" s="176"/>
      <c r="T112" s="176"/>
    </row>
    <row r="113" spans="10:20" x14ac:dyDescent="0.2"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</row>
  </sheetData>
  <mergeCells count="19">
    <mergeCell ref="A98:H98"/>
    <mergeCell ref="A99:H99"/>
    <mergeCell ref="A100:H100"/>
    <mergeCell ref="A101:H101"/>
    <mergeCell ref="K1:K2"/>
    <mergeCell ref="A1:A2"/>
    <mergeCell ref="B1:B2"/>
    <mergeCell ref="C1:C2"/>
    <mergeCell ref="D1:D2"/>
    <mergeCell ref="E1:E2"/>
    <mergeCell ref="L1:L2"/>
    <mergeCell ref="M1:M2"/>
    <mergeCell ref="N1:N2"/>
    <mergeCell ref="O1:X1"/>
    <mergeCell ref="F1:F2"/>
    <mergeCell ref="G1:G2"/>
    <mergeCell ref="H1:H2"/>
    <mergeCell ref="I1:I2"/>
    <mergeCell ref="J1:J2"/>
  </mergeCells>
  <conditionalFormatting sqref="AC3:AX3 AC4:AW15">
    <cfRule type="containsText" dxfId="1" priority="7" operator="containsText" text="fałsz">
      <formula>NOT(ISERROR(SEARCH("fałsz",AC3)))</formula>
    </cfRule>
    <cfRule type="containsText" dxfId="0" priority="8" operator="containsText" text="prawda">
      <formula>NOT(ISERROR(SEARCH("prawda",AC3)))</formula>
    </cfRule>
  </conditionalFormatting>
  <dataValidations count="4">
    <dataValidation type="list" operator="equal" allowBlank="1" showInputMessage="1" showErrorMessage="1" sqref="H3:H17 G18:G20 H21 G30:G71 G78:G82 G85:G97 G73:G76 G22:G28 H83:H84" xr:uid="{00000000-0002-0000-0200-000000000000}">
      <formula1>"B,P,R"</formula1>
      <formula2>0</formula2>
    </dataValidation>
    <dataValidation type="list" operator="equal" allowBlank="1" showInputMessage="1" showErrorMessage="1" sqref="C3:C24" xr:uid="{00000000-0002-0000-0200-000001000000}">
      <formula1>"N,K,W"</formula1>
      <formula2>0</formula2>
    </dataValidation>
    <dataValidation type="list" operator="equal" allowBlank="1" showInputMessage="1" showErrorMessage="1" sqref="C25:C76 C78:C97" xr:uid="{00000000-0002-0000-0200-000002000000}">
      <formula1>"N,W"</formula1>
      <formula2>0</formula2>
    </dataValidation>
    <dataValidation operator="equal" allowBlank="1" showInputMessage="1" showErrorMessage="1" sqref="G29" xr:uid="{A898E67E-20E6-4036-B7E5-A9BF3EE47845}"/>
  </dataValidations>
  <pageMargins left="0.78749999999999998" right="0.78749999999999998" top="1.05277777777778" bottom="1.05277777777778" header="0.78749999999999998" footer="0.78749999999999998"/>
  <pageSetup paperSize="8" scale="55" firstPageNumber="0" fitToHeight="0" orientation="landscape" r:id="rId1"/>
  <headerFooter>
    <oddHeader>&amp;LWojewództwo Dolnośląskie- zadania gminne lista podstawowa</oddHeader>
    <oddFooter>&amp;C&amp;"Times New Roman,Normalny"&amp;12Strona &amp;P</oddFooter>
  </headerFooter>
  <colBreaks count="1" manualBreakCount="1">
    <brk id="2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1"/>
  <sheetViews>
    <sheetView view="pageBreakPreview" zoomScale="90" zoomScaleNormal="90" zoomScaleSheetLayoutView="90" workbookViewId="0">
      <selection activeCell="F8" sqref="F8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7.42578125" style="150" customWidth="1"/>
    <col min="5" max="5" width="10" style="150" customWidth="1"/>
    <col min="6" max="6" width="52.140625" style="150" customWidth="1"/>
    <col min="7" max="7" width="8.7109375" style="150" customWidth="1"/>
    <col min="8" max="8" width="11.42578125" style="150" customWidth="1"/>
    <col min="9" max="9" width="8.7109375" style="150" customWidth="1"/>
    <col min="10" max="10" width="13.7109375" style="150" customWidth="1"/>
    <col min="11" max="11" width="13.42578125" style="150" customWidth="1"/>
    <col min="12" max="12" width="18.140625" style="150" customWidth="1"/>
    <col min="13" max="13" width="12" style="150" customWidth="1"/>
    <col min="14" max="15" width="11.7109375" style="150" customWidth="1"/>
    <col min="16" max="16" width="15.28515625" style="150" customWidth="1"/>
    <col min="17" max="17" width="15.140625" style="150" customWidth="1"/>
    <col min="18" max="18" width="14" style="150" customWidth="1"/>
    <col min="19" max="19" width="15.7109375" style="150" customWidth="1"/>
    <col min="20" max="23" width="11.7109375" style="150" customWidth="1"/>
    <col min="24" max="27" width="8.7109375" style="150" customWidth="1"/>
    <col min="28" max="16384" width="8.7109375" style="150"/>
  </cols>
  <sheetData>
    <row r="1" spans="1:27" ht="22.15" customHeight="1" x14ac:dyDescent="0.2">
      <c r="A1" s="322" t="s">
        <v>0</v>
      </c>
      <c r="B1" s="318" t="s">
        <v>1</v>
      </c>
      <c r="C1" s="321" t="s">
        <v>65</v>
      </c>
      <c r="D1" s="318" t="s">
        <v>3</v>
      </c>
      <c r="E1" s="318" t="s">
        <v>4</v>
      </c>
      <c r="F1" s="318" t="s">
        <v>5</v>
      </c>
      <c r="G1" s="318" t="s">
        <v>6</v>
      </c>
      <c r="H1" s="318" t="s">
        <v>93</v>
      </c>
      <c r="I1" s="318" t="s">
        <v>7</v>
      </c>
      <c r="J1" s="318" t="s">
        <v>92</v>
      </c>
      <c r="K1" s="318" t="s">
        <v>91</v>
      </c>
      <c r="L1" s="318" t="s">
        <v>8</v>
      </c>
      <c r="M1" s="318" t="s">
        <v>9</v>
      </c>
      <c r="N1" s="318" t="s">
        <v>10</v>
      </c>
      <c r="O1" s="318"/>
      <c r="P1" s="318"/>
      <c r="Q1" s="318"/>
      <c r="R1" s="318"/>
      <c r="S1" s="318"/>
      <c r="T1" s="318"/>
      <c r="U1" s="318"/>
      <c r="V1" s="318"/>
      <c r="W1" s="318"/>
      <c r="X1" s="171"/>
      <c r="Y1" s="171"/>
      <c r="Z1" s="171"/>
      <c r="AA1" s="171"/>
    </row>
    <row r="2" spans="1:27" ht="22.15" customHeight="1" x14ac:dyDescent="0.2">
      <c r="A2" s="322"/>
      <c r="B2" s="318"/>
      <c r="C2" s="321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151">
        <v>2019</v>
      </c>
      <c r="O2" s="151">
        <v>2020</v>
      </c>
      <c r="P2" s="151">
        <v>2021</v>
      </c>
      <c r="Q2" s="151">
        <v>2022</v>
      </c>
      <c r="R2" s="151">
        <v>2023</v>
      </c>
      <c r="S2" s="151">
        <v>2024</v>
      </c>
      <c r="T2" s="151">
        <v>2025</v>
      </c>
      <c r="U2" s="151">
        <v>2026</v>
      </c>
      <c r="V2" s="151">
        <v>2027</v>
      </c>
      <c r="W2" s="151">
        <v>2028</v>
      </c>
      <c r="X2" s="172" t="s">
        <v>11</v>
      </c>
      <c r="Y2" s="172" t="s">
        <v>12</v>
      </c>
      <c r="Z2" s="172" t="s">
        <v>13</v>
      </c>
      <c r="AA2" s="173" t="s">
        <v>14</v>
      </c>
    </row>
    <row r="3" spans="1:27" ht="24" x14ac:dyDescent="0.2">
      <c r="A3" s="267">
        <v>6</v>
      </c>
      <c r="B3" s="206" t="s">
        <v>454</v>
      </c>
      <c r="C3" s="193" t="s">
        <v>21</v>
      </c>
      <c r="D3" s="204" t="s">
        <v>208</v>
      </c>
      <c r="E3" s="204" t="s">
        <v>209</v>
      </c>
      <c r="F3" s="205" t="s">
        <v>455</v>
      </c>
      <c r="G3" s="193" t="s">
        <v>16</v>
      </c>
      <c r="H3" s="207">
        <v>2.0129999999999999</v>
      </c>
      <c r="I3" s="212" t="s">
        <v>211</v>
      </c>
      <c r="J3" s="213">
        <v>2140000</v>
      </c>
      <c r="K3" s="213">
        <v>1498000</v>
      </c>
      <c r="L3" s="214">
        <v>642000</v>
      </c>
      <c r="M3" s="209">
        <v>0.7</v>
      </c>
      <c r="N3" s="215"/>
      <c r="O3" s="215"/>
      <c r="P3" s="210"/>
      <c r="Q3" s="210"/>
      <c r="R3" s="210">
        <v>1498000</v>
      </c>
      <c r="S3" s="210">
        <v>0</v>
      </c>
      <c r="T3" s="208"/>
      <c r="U3" s="208"/>
      <c r="V3" s="208"/>
      <c r="W3" s="208"/>
      <c r="X3" s="187" t="b">
        <f t="shared" ref="X3:X13" si="0">K3=SUM(N3:W3)</f>
        <v>1</v>
      </c>
      <c r="Y3" s="188">
        <f t="shared" ref="Y3:Y13" si="1">ROUND(K3/J3,4)</f>
        <v>0.7</v>
      </c>
      <c r="Z3" s="187" t="b">
        <f t="shared" ref="Z3:Z13" si="2">Y3=M3</f>
        <v>1</v>
      </c>
      <c r="AA3" s="187" t="b">
        <f t="shared" ref="AA3:AA13" si="3">J3=K3+L3</f>
        <v>1</v>
      </c>
    </row>
    <row r="4" spans="1:27" ht="24" x14ac:dyDescent="0.2">
      <c r="A4" s="267">
        <v>7</v>
      </c>
      <c r="B4" s="206" t="s">
        <v>456</v>
      </c>
      <c r="C4" s="193" t="s">
        <v>21</v>
      </c>
      <c r="D4" s="204" t="s">
        <v>228</v>
      </c>
      <c r="E4" s="204" t="s">
        <v>229</v>
      </c>
      <c r="F4" s="205" t="s">
        <v>457</v>
      </c>
      <c r="G4" s="193" t="s">
        <v>18</v>
      </c>
      <c r="H4" s="207">
        <v>0.82</v>
      </c>
      <c r="I4" s="212" t="s">
        <v>458</v>
      </c>
      <c r="J4" s="213">
        <v>480457</v>
      </c>
      <c r="K4" s="213">
        <v>240228.5</v>
      </c>
      <c r="L4" s="214">
        <v>240228.5</v>
      </c>
      <c r="M4" s="209">
        <v>0.5</v>
      </c>
      <c r="N4" s="215"/>
      <c r="O4" s="215"/>
      <c r="P4" s="210"/>
      <c r="Q4" s="210"/>
      <c r="R4" s="210">
        <v>240228.5</v>
      </c>
      <c r="S4" s="210">
        <v>0</v>
      </c>
      <c r="T4" s="208">
        <v>0</v>
      </c>
      <c r="U4" s="208"/>
      <c r="V4" s="208"/>
      <c r="W4" s="208"/>
      <c r="X4" s="187" t="b">
        <f t="shared" si="0"/>
        <v>1</v>
      </c>
      <c r="Y4" s="188">
        <f t="shared" si="1"/>
        <v>0.5</v>
      </c>
      <c r="Z4" s="187" t="b">
        <f t="shared" si="2"/>
        <v>1</v>
      </c>
      <c r="AA4" s="187" t="b">
        <f t="shared" si="3"/>
        <v>1</v>
      </c>
    </row>
    <row r="5" spans="1:27" ht="24" x14ac:dyDescent="0.2">
      <c r="A5" s="267">
        <v>8</v>
      </c>
      <c r="B5" s="206" t="s">
        <v>459</v>
      </c>
      <c r="C5" s="193" t="s">
        <v>21</v>
      </c>
      <c r="D5" s="204" t="s">
        <v>258</v>
      </c>
      <c r="E5" s="204" t="s">
        <v>214</v>
      </c>
      <c r="F5" s="205" t="s">
        <v>460</v>
      </c>
      <c r="G5" s="193" t="s">
        <v>18</v>
      </c>
      <c r="H5" s="207">
        <v>1.605</v>
      </c>
      <c r="I5" s="212" t="s">
        <v>260</v>
      </c>
      <c r="J5" s="213">
        <v>5450000</v>
      </c>
      <c r="K5" s="213">
        <v>2725000</v>
      </c>
      <c r="L5" s="214">
        <v>2725000</v>
      </c>
      <c r="M5" s="209">
        <v>0.5</v>
      </c>
      <c r="N5" s="215"/>
      <c r="O5" s="215"/>
      <c r="P5" s="210"/>
      <c r="Q5" s="210"/>
      <c r="R5" s="210">
        <v>2725000</v>
      </c>
      <c r="S5" s="210">
        <v>0</v>
      </c>
      <c r="T5" s="208"/>
      <c r="U5" s="208"/>
      <c r="V5" s="208"/>
      <c r="W5" s="208"/>
      <c r="X5" s="187" t="b">
        <f t="shared" si="0"/>
        <v>1</v>
      </c>
      <c r="Y5" s="188">
        <f t="shared" si="1"/>
        <v>0.5</v>
      </c>
      <c r="Z5" s="187" t="b">
        <f t="shared" si="2"/>
        <v>1</v>
      </c>
      <c r="AA5" s="187" t="b">
        <f t="shared" si="3"/>
        <v>1</v>
      </c>
    </row>
    <row r="6" spans="1:27" s="164" customFormat="1" ht="24" x14ac:dyDescent="0.2">
      <c r="A6" s="194">
        <v>9</v>
      </c>
      <c r="B6" s="202" t="s">
        <v>465</v>
      </c>
      <c r="C6" s="194" t="s">
        <v>19</v>
      </c>
      <c r="D6" s="195" t="s">
        <v>25</v>
      </c>
      <c r="E6" s="195" t="s">
        <v>26</v>
      </c>
      <c r="F6" s="201" t="s">
        <v>466</v>
      </c>
      <c r="G6" s="194" t="s">
        <v>16</v>
      </c>
      <c r="H6" s="196">
        <v>2.2000000000000002</v>
      </c>
      <c r="I6" s="194" t="s">
        <v>467</v>
      </c>
      <c r="J6" s="211">
        <v>6918322</v>
      </c>
      <c r="K6" s="211">
        <v>3459161</v>
      </c>
      <c r="L6" s="203">
        <v>3459161</v>
      </c>
      <c r="M6" s="198">
        <v>0.5</v>
      </c>
      <c r="N6" s="199"/>
      <c r="O6" s="199"/>
      <c r="P6" s="200"/>
      <c r="Q6" s="200"/>
      <c r="R6" s="200">
        <v>1588213</v>
      </c>
      <c r="S6" s="200">
        <v>1870948</v>
      </c>
      <c r="T6" s="197"/>
      <c r="U6" s="197"/>
      <c r="V6" s="197"/>
      <c r="W6" s="197"/>
      <c r="X6" s="187" t="b">
        <f t="shared" si="0"/>
        <v>1</v>
      </c>
      <c r="Y6" s="188">
        <f t="shared" si="1"/>
        <v>0.5</v>
      </c>
      <c r="Z6" s="187" t="b">
        <f t="shared" si="2"/>
        <v>1</v>
      </c>
      <c r="AA6" s="187" t="b">
        <f t="shared" si="3"/>
        <v>1</v>
      </c>
    </row>
    <row r="7" spans="1:27" s="164" customFormat="1" ht="36" x14ac:dyDescent="0.2">
      <c r="A7" s="194">
        <v>10</v>
      </c>
      <c r="B7" s="202" t="s">
        <v>468</v>
      </c>
      <c r="C7" s="194" t="s">
        <v>19</v>
      </c>
      <c r="D7" s="195" t="s">
        <v>436</v>
      </c>
      <c r="E7" s="195" t="s">
        <v>437</v>
      </c>
      <c r="F7" s="201" t="s">
        <v>469</v>
      </c>
      <c r="G7" s="194" t="s">
        <v>16</v>
      </c>
      <c r="H7" s="196">
        <v>1.83</v>
      </c>
      <c r="I7" s="194" t="s">
        <v>413</v>
      </c>
      <c r="J7" s="211">
        <v>4991834</v>
      </c>
      <c r="K7" s="211">
        <v>2495917</v>
      </c>
      <c r="L7" s="203">
        <v>2495917</v>
      </c>
      <c r="M7" s="198">
        <v>0.5</v>
      </c>
      <c r="N7" s="199"/>
      <c r="O7" s="199"/>
      <c r="P7" s="200"/>
      <c r="Q7" s="200"/>
      <c r="R7" s="200">
        <v>1075000</v>
      </c>
      <c r="S7" s="200">
        <v>1420917</v>
      </c>
      <c r="T7" s="197">
        <v>0</v>
      </c>
      <c r="U7" s="197"/>
      <c r="V7" s="197"/>
      <c r="W7" s="197"/>
      <c r="X7" s="187" t="b">
        <f t="shared" si="0"/>
        <v>1</v>
      </c>
      <c r="Y7" s="188">
        <f t="shared" si="1"/>
        <v>0.5</v>
      </c>
      <c r="Z7" s="187" t="b">
        <f t="shared" si="2"/>
        <v>1</v>
      </c>
      <c r="AA7" s="187" t="b">
        <f t="shared" si="3"/>
        <v>1</v>
      </c>
    </row>
    <row r="8" spans="1:27" ht="24" x14ac:dyDescent="0.2">
      <c r="A8" s="267">
        <v>11</v>
      </c>
      <c r="B8" s="206" t="s">
        <v>470</v>
      </c>
      <c r="C8" s="193" t="s">
        <v>21</v>
      </c>
      <c r="D8" s="204" t="s">
        <v>29</v>
      </c>
      <c r="E8" s="204" t="s">
        <v>30</v>
      </c>
      <c r="F8" s="205" t="s">
        <v>471</v>
      </c>
      <c r="G8" s="193" t="s">
        <v>18</v>
      </c>
      <c r="H8" s="207">
        <v>4.5999999999999996</v>
      </c>
      <c r="I8" s="212" t="s">
        <v>252</v>
      </c>
      <c r="J8" s="213">
        <v>4932257.3600000003</v>
      </c>
      <c r="K8" s="213">
        <v>2466128.6800000002</v>
      </c>
      <c r="L8" s="214">
        <v>2466128.6800000002</v>
      </c>
      <c r="M8" s="209">
        <v>0.5</v>
      </c>
      <c r="N8" s="215"/>
      <c r="O8" s="215"/>
      <c r="P8" s="210"/>
      <c r="Q8" s="210"/>
      <c r="R8" s="210">
        <v>2466128.6800000002</v>
      </c>
      <c r="S8" s="210">
        <v>0</v>
      </c>
      <c r="T8" s="208"/>
      <c r="U8" s="208"/>
      <c r="V8" s="208"/>
      <c r="W8" s="208"/>
      <c r="X8" s="187" t="b">
        <f t="shared" si="0"/>
        <v>1</v>
      </c>
      <c r="Y8" s="188">
        <f t="shared" si="1"/>
        <v>0.5</v>
      </c>
      <c r="Z8" s="187" t="b">
        <f t="shared" si="2"/>
        <v>1</v>
      </c>
      <c r="AA8" s="187" t="b">
        <f t="shared" si="3"/>
        <v>1</v>
      </c>
    </row>
    <row r="9" spans="1:27" ht="24" x14ac:dyDescent="0.2">
      <c r="A9" s="267">
        <v>12</v>
      </c>
      <c r="B9" s="206" t="s">
        <v>472</v>
      </c>
      <c r="C9" s="193" t="s">
        <v>21</v>
      </c>
      <c r="D9" s="204" t="s">
        <v>442</v>
      </c>
      <c r="E9" s="204" t="s">
        <v>443</v>
      </c>
      <c r="F9" s="205" t="s">
        <v>473</v>
      </c>
      <c r="G9" s="193" t="s">
        <v>18</v>
      </c>
      <c r="H9" s="207">
        <v>0.43</v>
      </c>
      <c r="I9" s="212" t="s">
        <v>474</v>
      </c>
      <c r="J9" s="213">
        <v>808960</v>
      </c>
      <c r="K9" s="213">
        <v>404480</v>
      </c>
      <c r="L9" s="214">
        <v>404480</v>
      </c>
      <c r="M9" s="209">
        <v>0.5</v>
      </c>
      <c r="N9" s="215"/>
      <c r="O9" s="215"/>
      <c r="P9" s="210"/>
      <c r="Q9" s="210"/>
      <c r="R9" s="210">
        <v>404480</v>
      </c>
      <c r="S9" s="210">
        <v>0</v>
      </c>
      <c r="T9" s="208">
        <v>0</v>
      </c>
      <c r="U9" s="208"/>
      <c r="V9" s="208"/>
      <c r="W9" s="208"/>
      <c r="X9" s="187" t="b">
        <f t="shared" si="0"/>
        <v>1</v>
      </c>
      <c r="Y9" s="188">
        <f t="shared" si="1"/>
        <v>0.5</v>
      </c>
      <c r="Z9" s="187" t="b">
        <f t="shared" si="2"/>
        <v>1</v>
      </c>
      <c r="AA9" s="187" t="b">
        <f t="shared" si="3"/>
        <v>1</v>
      </c>
    </row>
    <row r="10" spans="1:27" ht="60" x14ac:dyDescent="0.2">
      <c r="A10" s="267">
        <v>13</v>
      </c>
      <c r="B10" s="206" t="s">
        <v>475</v>
      </c>
      <c r="C10" s="193" t="s">
        <v>21</v>
      </c>
      <c r="D10" s="204" t="s">
        <v>246</v>
      </c>
      <c r="E10" s="204" t="s">
        <v>247</v>
      </c>
      <c r="F10" s="205" t="s">
        <v>476</v>
      </c>
      <c r="G10" s="193" t="s">
        <v>18</v>
      </c>
      <c r="H10" s="207">
        <v>2.23</v>
      </c>
      <c r="I10" s="212" t="s">
        <v>249</v>
      </c>
      <c r="J10" s="213">
        <v>2014271</v>
      </c>
      <c r="K10" s="213">
        <v>1007135.5</v>
      </c>
      <c r="L10" s="214">
        <v>1007135.5</v>
      </c>
      <c r="M10" s="209">
        <v>0.5</v>
      </c>
      <c r="N10" s="215"/>
      <c r="O10" s="215"/>
      <c r="P10" s="210"/>
      <c r="Q10" s="210"/>
      <c r="R10" s="210">
        <v>1007135.5</v>
      </c>
      <c r="S10" s="210">
        <v>0</v>
      </c>
      <c r="T10" s="208">
        <v>0</v>
      </c>
      <c r="U10" s="208"/>
      <c r="V10" s="208"/>
      <c r="W10" s="208"/>
      <c r="X10" s="187" t="b">
        <f t="shared" si="0"/>
        <v>1</v>
      </c>
      <c r="Y10" s="188">
        <f t="shared" si="1"/>
        <v>0.5</v>
      </c>
      <c r="Z10" s="187" t="b">
        <f t="shared" si="2"/>
        <v>1</v>
      </c>
      <c r="AA10" s="187" t="b">
        <f t="shared" si="3"/>
        <v>1</v>
      </c>
    </row>
    <row r="11" spans="1:27" ht="36" x14ac:dyDescent="0.2">
      <c r="A11" s="267">
        <v>14</v>
      </c>
      <c r="B11" s="206" t="s">
        <v>477</v>
      </c>
      <c r="C11" s="193" t="s">
        <v>21</v>
      </c>
      <c r="D11" s="204" t="s">
        <v>221</v>
      </c>
      <c r="E11" s="204" t="s">
        <v>27</v>
      </c>
      <c r="F11" s="205" t="s">
        <v>478</v>
      </c>
      <c r="G11" s="193" t="s">
        <v>16</v>
      </c>
      <c r="H11" s="207">
        <v>0.72599999999999998</v>
      </c>
      <c r="I11" s="212" t="s">
        <v>479</v>
      </c>
      <c r="J11" s="213">
        <v>4104338</v>
      </c>
      <c r="K11" s="213">
        <v>2052169</v>
      </c>
      <c r="L11" s="214">
        <v>2052169</v>
      </c>
      <c r="M11" s="209">
        <v>0.5</v>
      </c>
      <c r="N11" s="215"/>
      <c r="O11" s="215"/>
      <c r="P11" s="210"/>
      <c r="Q11" s="210"/>
      <c r="R11" s="210">
        <v>2052169</v>
      </c>
      <c r="S11" s="210">
        <v>0</v>
      </c>
      <c r="T11" s="208"/>
      <c r="U11" s="208"/>
      <c r="V11" s="208"/>
      <c r="W11" s="208"/>
      <c r="X11" s="187" t="b">
        <f t="shared" si="0"/>
        <v>1</v>
      </c>
      <c r="Y11" s="188">
        <f t="shared" si="1"/>
        <v>0.5</v>
      </c>
      <c r="Z11" s="187" t="b">
        <f t="shared" si="2"/>
        <v>1</v>
      </c>
      <c r="AA11" s="187" t="b">
        <f t="shared" si="3"/>
        <v>1</v>
      </c>
    </row>
    <row r="12" spans="1:27" ht="24" x14ac:dyDescent="0.2">
      <c r="A12" s="267">
        <v>15</v>
      </c>
      <c r="B12" s="206" t="s">
        <v>480</v>
      </c>
      <c r="C12" s="193" t="s">
        <v>21</v>
      </c>
      <c r="D12" s="204" t="s">
        <v>451</v>
      </c>
      <c r="E12" s="204" t="s">
        <v>452</v>
      </c>
      <c r="F12" s="205" t="s">
        <v>481</v>
      </c>
      <c r="G12" s="193" t="s">
        <v>16</v>
      </c>
      <c r="H12" s="207">
        <v>0.98</v>
      </c>
      <c r="I12" s="212" t="s">
        <v>211</v>
      </c>
      <c r="J12" s="213">
        <v>5495817</v>
      </c>
      <c r="K12" s="213">
        <v>2747908.5</v>
      </c>
      <c r="L12" s="214">
        <v>2747908.5</v>
      </c>
      <c r="M12" s="209">
        <v>0.5</v>
      </c>
      <c r="N12" s="215"/>
      <c r="O12" s="215"/>
      <c r="P12" s="210"/>
      <c r="Q12" s="210"/>
      <c r="R12" s="210">
        <v>2747908.5</v>
      </c>
      <c r="S12" s="210">
        <v>0</v>
      </c>
      <c r="T12" s="208"/>
      <c r="U12" s="208"/>
      <c r="V12" s="208"/>
      <c r="W12" s="208"/>
      <c r="X12" s="187" t="b">
        <f t="shared" si="0"/>
        <v>1</v>
      </c>
      <c r="Y12" s="188">
        <f t="shared" si="1"/>
        <v>0.5</v>
      </c>
      <c r="Z12" s="187" t="b">
        <f t="shared" si="2"/>
        <v>1</v>
      </c>
      <c r="AA12" s="187" t="b">
        <f t="shared" si="3"/>
        <v>1</v>
      </c>
    </row>
    <row r="13" spans="1:27" s="164" customFormat="1" ht="24" x14ac:dyDescent="0.2">
      <c r="A13" s="194">
        <v>16</v>
      </c>
      <c r="B13" s="202" t="s">
        <v>482</v>
      </c>
      <c r="C13" s="194" t="s">
        <v>19</v>
      </c>
      <c r="D13" s="195" t="s">
        <v>462</v>
      </c>
      <c r="E13" s="195" t="s">
        <v>463</v>
      </c>
      <c r="F13" s="201" t="s">
        <v>742</v>
      </c>
      <c r="G13" s="194" t="s">
        <v>16</v>
      </c>
      <c r="H13" s="196">
        <v>8.2200000000000006</v>
      </c>
      <c r="I13" s="194" t="s">
        <v>483</v>
      </c>
      <c r="J13" s="211">
        <v>17317537</v>
      </c>
      <c r="K13" s="211">
        <v>8658768.5</v>
      </c>
      <c r="L13" s="203">
        <v>8658768.5</v>
      </c>
      <c r="M13" s="198">
        <v>0.5</v>
      </c>
      <c r="N13" s="199"/>
      <c r="O13" s="199"/>
      <c r="P13" s="200"/>
      <c r="Q13" s="200"/>
      <c r="R13" s="200">
        <v>2726811.5</v>
      </c>
      <c r="S13" s="200">
        <v>3006633</v>
      </c>
      <c r="T13" s="197">
        <v>2925324</v>
      </c>
      <c r="U13" s="197"/>
      <c r="V13" s="197"/>
      <c r="W13" s="197"/>
      <c r="X13" s="187" t="b">
        <f t="shared" si="0"/>
        <v>1</v>
      </c>
      <c r="Y13" s="188">
        <f t="shared" si="1"/>
        <v>0.5</v>
      </c>
      <c r="Z13" s="187" t="b">
        <f t="shared" si="2"/>
        <v>1</v>
      </c>
      <c r="AA13" s="187" t="b">
        <f t="shared" si="3"/>
        <v>1</v>
      </c>
    </row>
    <row r="14" spans="1:27" ht="12.75" customHeight="1" x14ac:dyDescent="0.2">
      <c r="A14" s="319" t="s">
        <v>31</v>
      </c>
      <c r="B14" s="319"/>
      <c r="C14" s="319"/>
      <c r="D14" s="319"/>
      <c r="E14" s="319"/>
      <c r="F14" s="319"/>
      <c r="G14" s="319"/>
      <c r="H14" s="158">
        <f>SUM(H3:H13)</f>
        <v>25.654000000000003</v>
      </c>
      <c r="I14" s="159" t="s">
        <v>32</v>
      </c>
      <c r="J14" s="157">
        <f>SUM(J3:J13)</f>
        <v>54653793.359999999</v>
      </c>
      <c r="K14" s="157">
        <f>SUM(K3:K13)</f>
        <v>27754896.68</v>
      </c>
      <c r="L14" s="157">
        <f>SUM(L3:L13)</f>
        <v>26898896.68</v>
      </c>
      <c r="M14" s="160" t="s">
        <v>32</v>
      </c>
      <c r="N14" s="168">
        <f t="shared" ref="N14:W14" si="4">SUM(N3:N13)</f>
        <v>0</v>
      </c>
      <c r="O14" s="168">
        <f t="shared" si="4"/>
        <v>0</v>
      </c>
      <c r="P14" s="168">
        <f t="shared" si="4"/>
        <v>0</v>
      </c>
      <c r="Q14" s="168">
        <f t="shared" si="4"/>
        <v>0</v>
      </c>
      <c r="R14" s="168">
        <f t="shared" si="4"/>
        <v>18531074.68</v>
      </c>
      <c r="S14" s="168">
        <f t="shared" si="4"/>
        <v>6298498</v>
      </c>
      <c r="T14" s="168">
        <f t="shared" si="4"/>
        <v>2925324</v>
      </c>
      <c r="U14" s="168">
        <f t="shared" si="4"/>
        <v>0</v>
      </c>
      <c r="V14" s="168">
        <f t="shared" si="4"/>
        <v>0</v>
      </c>
      <c r="W14" s="168">
        <f t="shared" si="4"/>
        <v>0</v>
      </c>
    </row>
    <row r="15" spans="1:27" ht="12.75" customHeight="1" x14ac:dyDescent="0.2">
      <c r="A15" s="319" t="s">
        <v>34</v>
      </c>
      <c r="B15" s="319"/>
      <c r="C15" s="319"/>
      <c r="D15" s="319"/>
      <c r="E15" s="319"/>
      <c r="F15" s="319"/>
      <c r="G15" s="319"/>
      <c r="H15" s="158">
        <f>SUMIF($C$3:$C$13,"N",H3:H13)</f>
        <v>13.404</v>
      </c>
      <c r="I15" s="159" t="s">
        <v>32</v>
      </c>
      <c r="J15" s="157">
        <f>SUMIF($C$3:$C$13,"N",J3:J13)</f>
        <v>25426100.359999999</v>
      </c>
      <c r="K15" s="157">
        <f>SUMIF($C$3:$C$13,"N",K3:K13)</f>
        <v>13141050.18</v>
      </c>
      <c r="L15" s="157">
        <f>SUMIF($C$3:$C$13,"N",L3:L13)</f>
        <v>12285050.18</v>
      </c>
      <c r="M15" s="160" t="s">
        <v>32</v>
      </c>
      <c r="N15" s="168">
        <f t="shared" ref="N15:W15" si="5">SUMIF($C$3:$C$13,"N",N3:N13)</f>
        <v>0</v>
      </c>
      <c r="O15" s="168">
        <f t="shared" si="5"/>
        <v>0</v>
      </c>
      <c r="P15" s="168">
        <f t="shared" si="5"/>
        <v>0</v>
      </c>
      <c r="Q15" s="168">
        <f t="shared" si="5"/>
        <v>0</v>
      </c>
      <c r="R15" s="168">
        <f t="shared" si="5"/>
        <v>13141050.18</v>
      </c>
      <c r="S15" s="168">
        <f t="shared" si="5"/>
        <v>0</v>
      </c>
      <c r="T15" s="168">
        <f t="shared" si="5"/>
        <v>0</v>
      </c>
      <c r="U15" s="168">
        <f t="shared" si="5"/>
        <v>0</v>
      </c>
      <c r="V15" s="168">
        <f t="shared" si="5"/>
        <v>0</v>
      </c>
      <c r="W15" s="168">
        <f t="shared" si="5"/>
        <v>0</v>
      </c>
    </row>
    <row r="16" spans="1:27" ht="12.75" customHeight="1" x14ac:dyDescent="0.2">
      <c r="A16" s="320" t="s">
        <v>35</v>
      </c>
      <c r="B16" s="320"/>
      <c r="C16" s="320"/>
      <c r="D16" s="320"/>
      <c r="E16" s="320"/>
      <c r="F16" s="320"/>
      <c r="G16" s="320"/>
      <c r="H16" s="161">
        <f>SUMIF($C$3:$C$13,"W",H3:H13)</f>
        <v>12.25</v>
      </c>
      <c r="I16" s="162" t="s">
        <v>32</v>
      </c>
      <c r="J16" s="155">
        <f>SUMIF($C$3:$C$13,"W",J3:J13)</f>
        <v>29227693</v>
      </c>
      <c r="K16" s="155">
        <f>SUMIF($C$3:$C$13,"W",K3:K13)</f>
        <v>14613846.5</v>
      </c>
      <c r="L16" s="155">
        <f>SUMIF($C$3:$C$13,"W",L3:L13)</f>
        <v>14613846.5</v>
      </c>
      <c r="M16" s="163" t="s">
        <v>32</v>
      </c>
      <c r="N16" s="154">
        <f t="shared" ref="N16:W16" si="6">SUMIF($C$3:$C$13,"W",N3:N13)</f>
        <v>0</v>
      </c>
      <c r="O16" s="154">
        <f t="shared" si="6"/>
        <v>0</v>
      </c>
      <c r="P16" s="154">
        <f t="shared" si="6"/>
        <v>0</v>
      </c>
      <c r="Q16" s="154">
        <f t="shared" si="6"/>
        <v>0</v>
      </c>
      <c r="R16" s="154">
        <f t="shared" si="6"/>
        <v>5390024.5</v>
      </c>
      <c r="S16" s="154">
        <f t="shared" si="6"/>
        <v>6298498</v>
      </c>
      <c r="T16" s="154">
        <f t="shared" si="6"/>
        <v>2925324</v>
      </c>
      <c r="U16" s="154">
        <f t="shared" si="6"/>
        <v>0</v>
      </c>
      <c r="V16" s="154">
        <f t="shared" si="6"/>
        <v>0</v>
      </c>
      <c r="W16" s="154">
        <f t="shared" si="6"/>
        <v>0</v>
      </c>
    </row>
    <row r="18" spans="1:1" x14ac:dyDescent="0.2">
      <c r="A18" s="150" t="s">
        <v>36</v>
      </c>
    </row>
    <row r="19" spans="1:1" x14ac:dyDescent="0.2">
      <c r="A19" s="164" t="s">
        <v>37</v>
      </c>
    </row>
    <row r="20" spans="1:1" x14ac:dyDescent="0.2">
      <c r="A20" s="150" t="s">
        <v>66</v>
      </c>
    </row>
    <row r="21" spans="1:1" x14ac:dyDescent="0.2">
      <c r="A21" s="165" t="s">
        <v>67</v>
      </c>
    </row>
  </sheetData>
  <mergeCells count="17">
    <mergeCell ref="N1:W1"/>
    <mergeCell ref="A14:G14"/>
    <mergeCell ref="F1:F2"/>
    <mergeCell ref="G1:G2"/>
    <mergeCell ref="H1:H2"/>
    <mergeCell ref="A15:G15"/>
    <mergeCell ref="A16:G16"/>
    <mergeCell ref="K1:K2"/>
    <mergeCell ref="L1:L2"/>
    <mergeCell ref="M1:M2"/>
    <mergeCell ref="I1:I2"/>
    <mergeCell ref="J1:J2"/>
    <mergeCell ref="A1:A2"/>
    <mergeCell ref="B1:B2"/>
    <mergeCell ref="C1:C2"/>
    <mergeCell ref="D1:D2"/>
    <mergeCell ref="E1:E2"/>
  </mergeCells>
  <dataValidations count="2">
    <dataValidation type="list" operator="equal" allowBlank="1" showInputMessage="1" showErrorMessage="1" sqref="C3:C13" xr:uid="{00000000-0002-0000-0300-000000000000}">
      <formula1>"N,W"</formula1>
      <formula2>0</formula2>
    </dataValidation>
    <dataValidation type="list" operator="equal" allowBlank="1" showInputMessage="1" showErrorMessage="1" sqref="G3:G13" xr:uid="{00000000-0002-0000-0300-000001000000}">
      <formula1>"B,P,R"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58" firstPageNumber="0" fitToHeight="0" orientation="landscape" r:id="rId1"/>
  <headerFooter>
    <oddHeader>&amp;LWojewództwo Dolnośląskie- zadania powiatowe lista rezerwowa</oddHeader>
    <oddFooter>&amp;C&amp;"Times New Roman,Normalny"&amp;12Strona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56"/>
  <sheetViews>
    <sheetView view="pageBreakPreview" zoomScale="90" zoomScaleNormal="100" zoomScaleSheetLayoutView="90" workbookViewId="0">
      <selection activeCell="A3" sqref="A3:XFD3"/>
    </sheetView>
  </sheetViews>
  <sheetFormatPr defaultColWidth="8.7109375" defaultRowHeight="12.75" x14ac:dyDescent="0.2"/>
  <cols>
    <col min="1" max="1" width="8.7109375" style="150" customWidth="1"/>
    <col min="2" max="2" width="12.7109375" style="150" customWidth="1"/>
    <col min="3" max="3" width="14.7109375" style="150" customWidth="1"/>
    <col min="4" max="4" width="15.140625" style="150" customWidth="1"/>
    <col min="5" max="5" width="8.7109375" style="150" customWidth="1"/>
    <col min="6" max="6" width="11.7109375" style="150" customWidth="1"/>
    <col min="7" max="7" width="33" style="150" customWidth="1"/>
    <col min="8" max="8" width="8.7109375" style="150" customWidth="1"/>
    <col min="9" max="10" width="11.28515625" style="150" customWidth="1"/>
    <col min="11" max="11" width="17.7109375" style="150" customWidth="1"/>
    <col min="12" max="12" width="17.28515625" style="150" customWidth="1"/>
    <col min="13" max="13" width="14.5703125" style="150" customWidth="1"/>
    <col min="14" max="14" width="12.140625" style="150" customWidth="1"/>
    <col min="15" max="16" width="11.5703125" style="150" customWidth="1"/>
    <col min="17" max="17" width="12.28515625" style="150" bestFit="1" customWidth="1"/>
    <col min="18" max="18" width="12.85546875" style="150" customWidth="1"/>
    <col min="19" max="19" width="15.7109375" style="150" customWidth="1"/>
    <col min="20" max="20" width="16.5703125" style="150" customWidth="1"/>
    <col min="21" max="24" width="11.5703125" style="150" customWidth="1"/>
    <col min="25" max="28" width="8.7109375" style="150" customWidth="1"/>
    <col min="29" max="16384" width="8.7109375" style="150"/>
  </cols>
  <sheetData>
    <row r="1" spans="1:29" ht="22.15" customHeight="1" x14ac:dyDescent="0.2">
      <c r="A1" s="325" t="s">
        <v>0</v>
      </c>
      <c r="B1" s="323" t="s">
        <v>1</v>
      </c>
      <c r="C1" s="326" t="s">
        <v>65</v>
      </c>
      <c r="D1" s="323" t="s">
        <v>3</v>
      </c>
      <c r="E1" s="323" t="s">
        <v>4</v>
      </c>
      <c r="F1" s="323" t="s">
        <v>40</v>
      </c>
      <c r="G1" s="324" t="s">
        <v>5</v>
      </c>
      <c r="H1" s="323" t="s">
        <v>6</v>
      </c>
      <c r="I1" s="323" t="s">
        <v>93</v>
      </c>
      <c r="J1" s="323" t="s">
        <v>7</v>
      </c>
      <c r="K1" s="323" t="s">
        <v>92</v>
      </c>
      <c r="L1" s="323" t="s">
        <v>91</v>
      </c>
      <c r="M1" s="323" t="s">
        <v>8</v>
      </c>
      <c r="N1" s="323" t="s">
        <v>9</v>
      </c>
      <c r="O1" s="323" t="s">
        <v>10</v>
      </c>
      <c r="P1" s="323"/>
      <c r="Q1" s="323"/>
      <c r="R1" s="323"/>
      <c r="S1" s="323"/>
      <c r="T1" s="323"/>
      <c r="U1" s="323"/>
      <c r="V1" s="323"/>
      <c r="W1" s="323"/>
      <c r="X1" s="323"/>
    </row>
    <row r="2" spans="1:29" ht="22.15" customHeight="1" x14ac:dyDescent="0.2">
      <c r="A2" s="325"/>
      <c r="B2" s="323"/>
      <c r="C2" s="326"/>
      <c r="D2" s="323"/>
      <c r="E2" s="323"/>
      <c r="F2" s="323"/>
      <c r="G2" s="324"/>
      <c r="H2" s="323"/>
      <c r="I2" s="323"/>
      <c r="J2" s="323"/>
      <c r="K2" s="323"/>
      <c r="L2" s="323"/>
      <c r="M2" s="323"/>
      <c r="N2" s="323"/>
      <c r="O2" s="280">
        <v>2019</v>
      </c>
      <c r="P2" s="280">
        <v>2020</v>
      </c>
      <c r="Q2" s="280">
        <v>2021</v>
      </c>
      <c r="R2" s="280">
        <v>2022</v>
      </c>
      <c r="S2" s="280">
        <v>2023</v>
      </c>
      <c r="T2" s="280">
        <v>2024</v>
      </c>
      <c r="U2" s="280">
        <v>2025</v>
      </c>
      <c r="V2" s="280">
        <v>2026</v>
      </c>
      <c r="W2" s="280">
        <v>2027</v>
      </c>
      <c r="X2" s="280">
        <v>2028</v>
      </c>
      <c r="Y2" s="152" t="s">
        <v>11</v>
      </c>
      <c r="Z2" s="152" t="s">
        <v>12</v>
      </c>
      <c r="AA2" s="152" t="s">
        <v>13</v>
      </c>
      <c r="AB2" s="152" t="s">
        <v>14</v>
      </c>
    </row>
    <row r="3" spans="1:29" s="266" customFormat="1" ht="24" x14ac:dyDescent="0.2">
      <c r="A3" s="256">
        <v>13</v>
      </c>
      <c r="B3" s="246"/>
      <c r="C3" s="246" t="s">
        <v>21</v>
      </c>
      <c r="D3" s="257" t="s">
        <v>49</v>
      </c>
      <c r="E3" s="247" t="s">
        <v>652</v>
      </c>
      <c r="F3" s="246" t="s">
        <v>41</v>
      </c>
      <c r="G3" s="246" t="s">
        <v>757</v>
      </c>
      <c r="H3" s="247" t="s">
        <v>16</v>
      </c>
      <c r="I3" s="246">
        <v>0.28499999999999998</v>
      </c>
      <c r="J3" s="281" t="s">
        <v>758</v>
      </c>
      <c r="K3" s="259">
        <v>1210429.5</v>
      </c>
      <c r="L3" s="259">
        <v>968343.6</v>
      </c>
      <c r="M3" s="259">
        <v>242085.89999999991</v>
      </c>
      <c r="N3" s="253">
        <v>0.8</v>
      </c>
      <c r="O3" s="253"/>
      <c r="P3" s="216"/>
      <c r="Q3" s="216"/>
      <c r="R3" s="254"/>
      <c r="S3" s="254">
        <v>968343.6</v>
      </c>
      <c r="T3" s="254"/>
      <c r="U3" s="254"/>
      <c r="V3" s="254"/>
      <c r="W3" s="254"/>
      <c r="X3" s="254"/>
      <c r="Y3" s="187" t="b">
        <f t="shared" ref="Y3:Y43" si="0">L3=SUM(O3:X3)</f>
        <v>1</v>
      </c>
      <c r="Z3" s="188">
        <f t="shared" ref="Z3:Z43" si="1">ROUND(L3/K3,4)</f>
        <v>0.8</v>
      </c>
      <c r="AA3" s="187" t="b">
        <f t="shared" ref="AA3:AA43" si="2">Z3=N3</f>
        <v>1</v>
      </c>
      <c r="AB3" s="187" t="b">
        <f t="shared" ref="AB3:AB43" si="3">K3=L3+M3</f>
        <v>1</v>
      </c>
      <c r="AC3" s="265"/>
    </row>
    <row r="4" spans="1:29" s="185" customFormat="1" ht="24" x14ac:dyDescent="0.2">
      <c r="A4" s="256">
        <v>14</v>
      </c>
      <c r="B4" s="246" t="s">
        <v>512</v>
      </c>
      <c r="C4" s="246" t="s">
        <v>21</v>
      </c>
      <c r="D4" s="257" t="s">
        <v>513</v>
      </c>
      <c r="E4" s="247" t="s">
        <v>699</v>
      </c>
      <c r="F4" s="246" t="s">
        <v>45</v>
      </c>
      <c r="G4" s="258" t="s">
        <v>514</v>
      </c>
      <c r="H4" s="246" t="s">
        <v>16</v>
      </c>
      <c r="I4" s="249">
        <v>0.31402000000000002</v>
      </c>
      <c r="J4" s="250" t="s">
        <v>515</v>
      </c>
      <c r="K4" s="259">
        <v>722240</v>
      </c>
      <c r="L4" s="259">
        <v>577792</v>
      </c>
      <c r="M4" s="255">
        <v>144448</v>
      </c>
      <c r="N4" s="253">
        <v>0.8</v>
      </c>
      <c r="O4" s="216"/>
      <c r="P4" s="216"/>
      <c r="Q4" s="254"/>
      <c r="R4" s="254"/>
      <c r="S4" s="254">
        <v>577792</v>
      </c>
      <c r="T4" s="254">
        <v>0</v>
      </c>
      <c r="U4" s="254">
        <v>0</v>
      </c>
      <c r="V4" s="254"/>
      <c r="W4" s="254"/>
      <c r="X4" s="278"/>
      <c r="Y4" s="187" t="b">
        <f t="shared" si="0"/>
        <v>1</v>
      </c>
      <c r="Z4" s="188">
        <f t="shared" si="1"/>
        <v>0.8</v>
      </c>
      <c r="AA4" s="187" t="b">
        <f t="shared" si="2"/>
        <v>1</v>
      </c>
      <c r="AB4" s="187" t="b">
        <f t="shared" si="3"/>
        <v>1</v>
      </c>
    </row>
    <row r="5" spans="1:29" s="185" customFormat="1" ht="48" x14ac:dyDescent="0.2">
      <c r="A5" s="256">
        <v>15</v>
      </c>
      <c r="B5" s="246" t="s">
        <v>516</v>
      </c>
      <c r="C5" s="246" t="s">
        <v>21</v>
      </c>
      <c r="D5" s="257" t="s">
        <v>517</v>
      </c>
      <c r="E5" s="247" t="s">
        <v>518</v>
      </c>
      <c r="F5" s="246" t="s">
        <v>71</v>
      </c>
      <c r="G5" s="258" t="s">
        <v>519</v>
      </c>
      <c r="H5" s="246" t="s">
        <v>16</v>
      </c>
      <c r="I5" s="249">
        <v>0.30399999999999999</v>
      </c>
      <c r="J5" s="250" t="s">
        <v>216</v>
      </c>
      <c r="K5" s="259">
        <v>393294</v>
      </c>
      <c r="L5" s="259">
        <v>235976.4</v>
      </c>
      <c r="M5" s="255">
        <v>157317.6</v>
      </c>
      <c r="N5" s="253">
        <v>0.6</v>
      </c>
      <c r="O5" s="216"/>
      <c r="P5" s="216"/>
      <c r="Q5" s="254"/>
      <c r="R5" s="254"/>
      <c r="S5" s="254">
        <v>235976.4</v>
      </c>
      <c r="T5" s="254">
        <v>0</v>
      </c>
      <c r="U5" s="254">
        <v>0</v>
      </c>
      <c r="V5" s="254"/>
      <c r="W5" s="254"/>
      <c r="X5" s="278"/>
      <c r="Y5" s="187" t="b">
        <f t="shared" si="0"/>
        <v>1</v>
      </c>
      <c r="Z5" s="188">
        <f t="shared" si="1"/>
        <v>0.6</v>
      </c>
      <c r="AA5" s="187" t="b">
        <f t="shared" si="2"/>
        <v>1</v>
      </c>
      <c r="AB5" s="187" t="b">
        <f t="shared" si="3"/>
        <v>1</v>
      </c>
    </row>
    <row r="6" spans="1:29" s="185" customFormat="1" ht="24" x14ac:dyDescent="0.2">
      <c r="A6" s="256">
        <v>16</v>
      </c>
      <c r="B6" s="246" t="s">
        <v>520</v>
      </c>
      <c r="C6" s="246" t="s">
        <v>21</v>
      </c>
      <c r="D6" s="257" t="s">
        <v>62</v>
      </c>
      <c r="E6" s="247" t="s">
        <v>700</v>
      </c>
      <c r="F6" s="246" t="s">
        <v>46</v>
      </c>
      <c r="G6" s="258" t="s">
        <v>188</v>
      </c>
      <c r="H6" s="246" t="s">
        <v>28</v>
      </c>
      <c r="I6" s="249">
        <v>0.73299999999999998</v>
      </c>
      <c r="J6" s="250" t="s">
        <v>231</v>
      </c>
      <c r="K6" s="259">
        <v>1463680</v>
      </c>
      <c r="L6" s="259">
        <v>731840</v>
      </c>
      <c r="M6" s="255">
        <v>731840</v>
      </c>
      <c r="N6" s="253">
        <v>0.5</v>
      </c>
      <c r="O6" s="216"/>
      <c r="P6" s="216"/>
      <c r="Q6" s="254"/>
      <c r="R6" s="254"/>
      <c r="S6" s="254">
        <v>731840</v>
      </c>
      <c r="T6" s="254">
        <v>0</v>
      </c>
      <c r="U6" s="254">
        <v>0</v>
      </c>
      <c r="V6" s="254"/>
      <c r="W6" s="254"/>
      <c r="X6" s="278"/>
      <c r="Y6" s="187" t="b">
        <f t="shared" si="0"/>
        <v>1</v>
      </c>
      <c r="Z6" s="188">
        <f t="shared" si="1"/>
        <v>0.5</v>
      </c>
      <c r="AA6" s="187" t="b">
        <f t="shared" si="2"/>
        <v>1</v>
      </c>
      <c r="AB6" s="187" t="b">
        <f t="shared" si="3"/>
        <v>1</v>
      </c>
    </row>
    <row r="7" spans="1:29" s="185" customFormat="1" ht="24" x14ac:dyDescent="0.2">
      <c r="A7" s="256">
        <v>17</v>
      </c>
      <c r="B7" s="246" t="s">
        <v>521</v>
      </c>
      <c r="C7" s="246" t="s">
        <v>21</v>
      </c>
      <c r="D7" s="257" t="s">
        <v>70</v>
      </c>
      <c r="E7" s="247" t="s">
        <v>701</v>
      </c>
      <c r="F7" s="246" t="s">
        <v>51</v>
      </c>
      <c r="G7" s="258" t="s">
        <v>522</v>
      </c>
      <c r="H7" s="246" t="s">
        <v>16</v>
      </c>
      <c r="I7" s="249">
        <v>0.45</v>
      </c>
      <c r="J7" s="250" t="s">
        <v>271</v>
      </c>
      <c r="K7" s="259">
        <v>670966</v>
      </c>
      <c r="L7" s="259">
        <v>335483</v>
      </c>
      <c r="M7" s="255">
        <v>335483</v>
      </c>
      <c r="N7" s="253">
        <v>0.5</v>
      </c>
      <c r="O7" s="216"/>
      <c r="P7" s="216"/>
      <c r="Q7" s="254"/>
      <c r="R7" s="254"/>
      <c r="S7" s="254">
        <v>335483</v>
      </c>
      <c r="T7" s="254">
        <v>0</v>
      </c>
      <c r="U7" s="254">
        <v>0</v>
      </c>
      <c r="V7" s="254"/>
      <c r="W7" s="254"/>
      <c r="X7" s="278"/>
      <c r="Y7" s="187" t="b">
        <f t="shared" si="0"/>
        <v>1</v>
      </c>
      <c r="Z7" s="188">
        <f t="shared" si="1"/>
        <v>0.5</v>
      </c>
      <c r="AA7" s="187" t="b">
        <f t="shared" si="2"/>
        <v>1</v>
      </c>
      <c r="AB7" s="187" t="b">
        <f t="shared" si="3"/>
        <v>1</v>
      </c>
    </row>
    <row r="8" spans="1:29" s="185" customFormat="1" ht="24" x14ac:dyDescent="0.2">
      <c r="A8" s="256">
        <v>18</v>
      </c>
      <c r="B8" s="246" t="s">
        <v>523</v>
      </c>
      <c r="C8" s="246" t="s">
        <v>21</v>
      </c>
      <c r="D8" s="257" t="s">
        <v>524</v>
      </c>
      <c r="E8" s="247" t="s">
        <v>702</v>
      </c>
      <c r="F8" s="246" t="s">
        <v>312</v>
      </c>
      <c r="G8" s="258" t="s">
        <v>525</v>
      </c>
      <c r="H8" s="246" t="s">
        <v>16</v>
      </c>
      <c r="I8" s="249">
        <v>0.44800000000000001</v>
      </c>
      <c r="J8" s="250" t="s">
        <v>231</v>
      </c>
      <c r="K8" s="259">
        <v>1958118</v>
      </c>
      <c r="L8" s="259">
        <v>1174870.8</v>
      </c>
      <c r="M8" s="255">
        <v>783247.2</v>
      </c>
      <c r="N8" s="253">
        <v>0.6</v>
      </c>
      <c r="O8" s="216"/>
      <c r="P8" s="216"/>
      <c r="Q8" s="254"/>
      <c r="R8" s="254"/>
      <c r="S8" s="254">
        <v>1174870.8</v>
      </c>
      <c r="T8" s="254">
        <v>0</v>
      </c>
      <c r="U8" s="254">
        <v>0</v>
      </c>
      <c r="V8" s="254"/>
      <c r="W8" s="254"/>
      <c r="X8" s="278"/>
      <c r="Y8" s="187" t="b">
        <f t="shared" si="0"/>
        <v>1</v>
      </c>
      <c r="Z8" s="188">
        <f t="shared" si="1"/>
        <v>0.6</v>
      </c>
      <c r="AA8" s="187" t="b">
        <f t="shared" si="2"/>
        <v>1</v>
      </c>
      <c r="AB8" s="187" t="b">
        <f t="shared" si="3"/>
        <v>1</v>
      </c>
    </row>
    <row r="9" spans="1:29" s="185" customFormat="1" ht="24" x14ac:dyDescent="0.2">
      <c r="A9" s="256">
        <v>19</v>
      </c>
      <c r="B9" s="246" t="s">
        <v>526</v>
      </c>
      <c r="C9" s="246" t="s">
        <v>21</v>
      </c>
      <c r="D9" s="257" t="s">
        <v>170</v>
      </c>
      <c r="E9" s="247" t="s">
        <v>658</v>
      </c>
      <c r="F9" s="246" t="s">
        <v>41</v>
      </c>
      <c r="G9" s="258" t="s">
        <v>527</v>
      </c>
      <c r="H9" s="246" t="s">
        <v>16</v>
      </c>
      <c r="I9" s="249">
        <v>0.191</v>
      </c>
      <c r="J9" s="250" t="s">
        <v>267</v>
      </c>
      <c r="K9" s="259">
        <v>1914625</v>
      </c>
      <c r="L9" s="259">
        <v>1531700</v>
      </c>
      <c r="M9" s="255">
        <v>382925</v>
      </c>
      <c r="N9" s="253">
        <v>0.8</v>
      </c>
      <c r="O9" s="216"/>
      <c r="P9" s="216"/>
      <c r="Q9" s="254"/>
      <c r="R9" s="254"/>
      <c r="S9" s="254">
        <v>1531700</v>
      </c>
      <c r="T9" s="254">
        <v>0</v>
      </c>
      <c r="U9" s="254">
        <v>0</v>
      </c>
      <c r="V9" s="254"/>
      <c r="W9" s="254"/>
      <c r="X9" s="278"/>
      <c r="Y9" s="187" t="b">
        <f t="shared" si="0"/>
        <v>1</v>
      </c>
      <c r="Z9" s="188">
        <f t="shared" si="1"/>
        <v>0.8</v>
      </c>
      <c r="AA9" s="187" t="b">
        <f t="shared" si="2"/>
        <v>1</v>
      </c>
      <c r="AB9" s="187" t="b">
        <f t="shared" si="3"/>
        <v>1</v>
      </c>
    </row>
    <row r="10" spans="1:29" s="185" customFormat="1" ht="24" x14ac:dyDescent="0.2">
      <c r="A10" s="256">
        <v>20</v>
      </c>
      <c r="B10" s="246" t="s">
        <v>528</v>
      </c>
      <c r="C10" s="246" t="s">
        <v>21</v>
      </c>
      <c r="D10" s="257" t="s">
        <v>529</v>
      </c>
      <c r="E10" s="247" t="s">
        <v>703</v>
      </c>
      <c r="F10" s="246" t="s">
        <v>327</v>
      </c>
      <c r="G10" s="258" t="s">
        <v>530</v>
      </c>
      <c r="H10" s="246" t="s">
        <v>16</v>
      </c>
      <c r="I10" s="249">
        <v>0.42499999999999999</v>
      </c>
      <c r="J10" s="250" t="s">
        <v>372</v>
      </c>
      <c r="K10" s="259">
        <v>1125558</v>
      </c>
      <c r="L10" s="259">
        <v>562779</v>
      </c>
      <c r="M10" s="255">
        <v>562779</v>
      </c>
      <c r="N10" s="253">
        <v>0.5</v>
      </c>
      <c r="O10" s="216"/>
      <c r="P10" s="216"/>
      <c r="Q10" s="254"/>
      <c r="R10" s="254"/>
      <c r="S10" s="254">
        <v>562779</v>
      </c>
      <c r="T10" s="254">
        <v>0</v>
      </c>
      <c r="U10" s="254">
        <v>0</v>
      </c>
      <c r="V10" s="254"/>
      <c r="W10" s="254"/>
      <c r="X10" s="278"/>
      <c r="Y10" s="187" t="b">
        <f t="shared" si="0"/>
        <v>1</v>
      </c>
      <c r="Z10" s="188">
        <f t="shared" si="1"/>
        <v>0.5</v>
      </c>
      <c r="AA10" s="187" t="b">
        <f t="shared" si="2"/>
        <v>1</v>
      </c>
      <c r="AB10" s="187" t="b">
        <f t="shared" si="3"/>
        <v>1</v>
      </c>
    </row>
    <row r="11" spans="1:29" s="164" customFormat="1" ht="48" x14ac:dyDescent="0.2">
      <c r="A11" s="232">
        <v>21</v>
      </c>
      <c r="B11" s="218" t="s">
        <v>531</v>
      </c>
      <c r="C11" s="218" t="s">
        <v>19</v>
      </c>
      <c r="D11" s="220" t="s">
        <v>171</v>
      </c>
      <c r="E11" s="221" t="s">
        <v>659</v>
      </c>
      <c r="F11" s="218" t="s">
        <v>42</v>
      </c>
      <c r="G11" s="233" t="s">
        <v>532</v>
      </c>
      <c r="H11" s="218" t="s">
        <v>16</v>
      </c>
      <c r="I11" s="223">
        <v>0.96</v>
      </c>
      <c r="J11" s="234" t="s">
        <v>533</v>
      </c>
      <c r="K11" s="224">
        <v>11608000</v>
      </c>
      <c r="L11" s="224">
        <v>9286400</v>
      </c>
      <c r="M11" s="225">
        <v>2321600</v>
      </c>
      <c r="N11" s="226">
        <v>0.8</v>
      </c>
      <c r="O11" s="230"/>
      <c r="P11" s="230"/>
      <c r="Q11" s="227"/>
      <c r="R11" s="227"/>
      <c r="S11" s="227">
        <v>200000</v>
      </c>
      <c r="T11" s="227">
        <v>4600000</v>
      </c>
      <c r="U11" s="227">
        <v>4486400</v>
      </c>
      <c r="V11" s="227"/>
      <c r="W11" s="227"/>
      <c r="X11" s="222"/>
      <c r="Y11" s="187" t="b">
        <f t="shared" si="0"/>
        <v>1</v>
      </c>
      <c r="Z11" s="188">
        <f t="shared" si="1"/>
        <v>0.8</v>
      </c>
      <c r="AA11" s="187" t="b">
        <f t="shared" si="2"/>
        <v>1</v>
      </c>
      <c r="AB11" s="187" t="b">
        <f t="shared" si="3"/>
        <v>1</v>
      </c>
    </row>
    <row r="12" spans="1:29" s="164" customFormat="1" ht="72" x14ac:dyDescent="0.2">
      <c r="A12" s="232">
        <v>22</v>
      </c>
      <c r="B12" s="218" t="s">
        <v>534</v>
      </c>
      <c r="C12" s="218" t="s">
        <v>19</v>
      </c>
      <c r="D12" s="220" t="s">
        <v>535</v>
      </c>
      <c r="E12" s="221" t="s">
        <v>704</v>
      </c>
      <c r="F12" s="218" t="s">
        <v>47</v>
      </c>
      <c r="G12" s="233" t="s">
        <v>536</v>
      </c>
      <c r="H12" s="218" t="s">
        <v>16</v>
      </c>
      <c r="I12" s="223">
        <v>1.526</v>
      </c>
      <c r="J12" s="234" t="s">
        <v>420</v>
      </c>
      <c r="K12" s="224">
        <v>3248274</v>
      </c>
      <c r="L12" s="224">
        <v>1624137</v>
      </c>
      <c r="M12" s="225">
        <v>1624137</v>
      </c>
      <c r="N12" s="226">
        <v>0.5</v>
      </c>
      <c r="O12" s="230"/>
      <c r="P12" s="230"/>
      <c r="Q12" s="227"/>
      <c r="R12" s="227"/>
      <c r="S12" s="227">
        <v>38397</v>
      </c>
      <c r="T12" s="227">
        <v>1585740</v>
      </c>
      <c r="U12" s="227">
        <v>0</v>
      </c>
      <c r="V12" s="227"/>
      <c r="W12" s="227"/>
      <c r="X12" s="222"/>
      <c r="Y12" s="187" t="b">
        <f t="shared" si="0"/>
        <v>1</v>
      </c>
      <c r="Z12" s="188">
        <f t="shared" si="1"/>
        <v>0.5</v>
      </c>
      <c r="AA12" s="187" t="b">
        <f t="shared" si="2"/>
        <v>1</v>
      </c>
      <c r="AB12" s="187" t="b">
        <f t="shared" si="3"/>
        <v>1</v>
      </c>
    </row>
    <row r="13" spans="1:29" s="185" customFormat="1" ht="24" x14ac:dyDescent="0.2">
      <c r="A13" s="256">
        <v>23</v>
      </c>
      <c r="B13" s="246" t="s">
        <v>537</v>
      </c>
      <c r="C13" s="246" t="s">
        <v>21</v>
      </c>
      <c r="D13" s="257" t="s">
        <v>136</v>
      </c>
      <c r="E13" s="247" t="s">
        <v>651</v>
      </c>
      <c r="F13" s="246" t="s">
        <v>45</v>
      </c>
      <c r="G13" s="258" t="s">
        <v>538</v>
      </c>
      <c r="H13" s="246" t="s">
        <v>16</v>
      </c>
      <c r="I13" s="249">
        <v>0.55200000000000005</v>
      </c>
      <c r="J13" s="250" t="s">
        <v>267</v>
      </c>
      <c r="K13" s="259">
        <v>8485861</v>
      </c>
      <c r="L13" s="259">
        <v>6788688.8000000007</v>
      </c>
      <c r="M13" s="255">
        <v>1697172.1999999993</v>
      </c>
      <c r="N13" s="253">
        <v>0.8</v>
      </c>
      <c r="O13" s="216"/>
      <c r="P13" s="216"/>
      <c r="Q13" s="254"/>
      <c r="R13" s="254"/>
      <c r="S13" s="254">
        <v>6788688.8000000007</v>
      </c>
      <c r="T13" s="254">
        <v>0</v>
      </c>
      <c r="U13" s="254">
        <v>0</v>
      </c>
      <c r="V13" s="254"/>
      <c r="W13" s="254"/>
      <c r="X13" s="278"/>
      <c r="Y13" s="187" t="b">
        <f t="shared" si="0"/>
        <v>1</v>
      </c>
      <c r="Z13" s="188">
        <f t="shared" si="1"/>
        <v>0.8</v>
      </c>
      <c r="AA13" s="187" t="b">
        <f t="shared" si="2"/>
        <v>1</v>
      </c>
      <c r="AB13" s="187" t="b">
        <f t="shared" si="3"/>
        <v>1</v>
      </c>
    </row>
    <row r="14" spans="1:29" s="185" customFormat="1" ht="36" x14ac:dyDescent="0.2">
      <c r="A14" s="256">
        <v>24</v>
      </c>
      <c r="B14" s="246" t="s">
        <v>539</v>
      </c>
      <c r="C14" s="246" t="s">
        <v>21</v>
      </c>
      <c r="D14" s="257" t="s">
        <v>54</v>
      </c>
      <c r="E14" s="247" t="s">
        <v>705</v>
      </c>
      <c r="F14" s="246" t="s">
        <v>55</v>
      </c>
      <c r="G14" s="258" t="s">
        <v>540</v>
      </c>
      <c r="H14" s="246" t="s">
        <v>18</v>
      </c>
      <c r="I14" s="249">
        <v>0.48499999999999999</v>
      </c>
      <c r="J14" s="250" t="s">
        <v>409</v>
      </c>
      <c r="K14" s="259">
        <v>1022211.35</v>
      </c>
      <c r="L14" s="259">
        <f>K14*N14</f>
        <v>511105.67499999999</v>
      </c>
      <c r="M14" s="255">
        <f>K14-L14</f>
        <v>511105.67499999999</v>
      </c>
      <c r="N14" s="253">
        <v>0.5</v>
      </c>
      <c r="O14" s="216"/>
      <c r="P14" s="216"/>
      <c r="Q14" s="254"/>
      <c r="R14" s="254"/>
      <c r="S14" s="254">
        <f>L14</f>
        <v>511105.67499999999</v>
      </c>
      <c r="T14" s="254">
        <v>0</v>
      </c>
      <c r="U14" s="254">
        <v>0</v>
      </c>
      <c r="V14" s="254"/>
      <c r="W14" s="254"/>
      <c r="X14" s="278"/>
      <c r="Y14" s="187" t="b">
        <f t="shared" si="0"/>
        <v>1</v>
      </c>
      <c r="Z14" s="188">
        <f t="shared" si="1"/>
        <v>0.5</v>
      </c>
      <c r="AA14" s="187" t="b">
        <f t="shared" si="2"/>
        <v>1</v>
      </c>
      <c r="AB14" s="187" t="b">
        <f t="shared" si="3"/>
        <v>1</v>
      </c>
    </row>
    <row r="15" spans="1:29" s="185" customFormat="1" ht="24" x14ac:dyDescent="0.2">
      <c r="A15" s="256">
        <v>25</v>
      </c>
      <c r="B15" s="246" t="s">
        <v>541</v>
      </c>
      <c r="C15" s="246" t="s">
        <v>21</v>
      </c>
      <c r="D15" s="257" t="s">
        <v>542</v>
      </c>
      <c r="E15" s="247" t="s">
        <v>543</v>
      </c>
      <c r="F15" s="246" t="s">
        <v>42</v>
      </c>
      <c r="G15" s="258" t="s">
        <v>544</v>
      </c>
      <c r="H15" s="246" t="s">
        <v>16</v>
      </c>
      <c r="I15" s="249">
        <v>0.495</v>
      </c>
      <c r="J15" s="250" t="s">
        <v>236</v>
      </c>
      <c r="K15" s="259">
        <v>2356230</v>
      </c>
      <c r="L15" s="259">
        <v>1178115</v>
      </c>
      <c r="M15" s="255">
        <v>1178115</v>
      </c>
      <c r="N15" s="253">
        <v>0.5</v>
      </c>
      <c r="O15" s="216"/>
      <c r="P15" s="216"/>
      <c r="Q15" s="254"/>
      <c r="R15" s="254"/>
      <c r="S15" s="254">
        <v>1178115</v>
      </c>
      <c r="T15" s="254">
        <v>0</v>
      </c>
      <c r="U15" s="254">
        <v>0</v>
      </c>
      <c r="V15" s="254"/>
      <c r="W15" s="254"/>
      <c r="X15" s="278"/>
      <c r="Y15" s="187" t="b">
        <f t="shared" si="0"/>
        <v>1</v>
      </c>
      <c r="Z15" s="188">
        <f t="shared" si="1"/>
        <v>0.5</v>
      </c>
      <c r="AA15" s="187" t="b">
        <f t="shared" si="2"/>
        <v>1</v>
      </c>
      <c r="AB15" s="187" t="b">
        <f t="shared" si="3"/>
        <v>1</v>
      </c>
    </row>
    <row r="16" spans="1:29" s="185" customFormat="1" ht="48" x14ac:dyDescent="0.2">
      <c r="A16" s="256">
        <v>26</v>
      </c>
      <c r="B16" s="246" t="s">
        <v>545</v>
      </c>
      <c r="C16" s="246" t="s">
        <v>21</v>
      </c>
      <c r="D16" s="257" t="s">
        <v>546</v>
      </c>
      <c r="E16" s="247" t="s">
        <v>741</v>
      </c>
      <c r="F16" s="246" t="s">
        <v>327</v>
      </c>
      <c r="G16" s="258" t="s">
        <v>547</v>
      </c>
      <c r="H16" s="246" t="s">
        <v>16</v>
      </c>
      <c r="I16" s="249">
        <v>0.34</v>
      </c>
      <c r="J16" s="250" t="s">
        <v>506</v>
      </c>
      <c r="K16" s="259">
        <v>1571464</v>
      </c>
      <c r="L16" s="259">
        <v>785732</v>
      </c>
      <c r="M16" s="255">
        <v>785732</v>
      </c>
      <c r="N16" s="253">
        <v>0.5</v>
      </c>
      <c r="O16" s="216"/>
      <c r="P16" s="216"/>
      <c r="Q16" s="254"/>
      <c r="R16" s="254"/>
      <c r="S16" s="254">
        <v>785732</v>
      </c>
      <c r="T16" s="254">
        <v>0</v>
      </c>
      <c r="U16" s="254">
        <v>0</v>
      </c>
      <c r="V16" s="254"/>
      <c r="W16" s="254"/>
      <c r="X16" s="278"/>
      <c r="Y16" s="187" t="b">
        <f t="shared" si="0"/>
        <v>1</v>
      </c>
      <c r="Z16" s="188">
        <f t="shared" si="1"/>
        <v>0.5</v>
      </c>
      <c r="AA16" s="187" t="b">
        <f t="shared" si="2"/>
        <v>1</v>
      </c>
      <c r="AB16" s="187" t="b">
        <f t="shared" si="3"/>
        <v>1</v>
      </c>
    </row>
    <row r="17" spans="1:28" s="185" customFormat="1" ht="36" x14ac:dyDescent="0.2">
      <c r="A17" s="256">
        <v>27</v>
      </c>
      <c r="B17" s="246" t="s">
        <v>553</v>
      </c>
      <c r="C17" s="246" t="s">
        <v>21</v>
      </c>
      <c r="D17" s="257" t="s">
        <v>554</v>
      </c>
      <c r="E17" s="247" t="s">
        <v>708</v>
      </c>
      <c r="F17" s="246" t="s">
        <v>52</v>
      </c>
      <c r="G17" s="258" t="s">
        <v>555</v>
      </c>
      <c r="H17" s="246" t="s">
        <v>18</v>
      </c>
      <c r="I17" s="249">
        <v>0.57299999999999995</v>
      </c>
      <c r="J17" s="250" t="s">
        <v>271</v>
      </c>
      <c r="K17" s="259">
        <v>2094004</v>
      </c>
      <c r="L17" s="259">
        <f>K17*N17</f>
        <v>1465802.7999999998</v>
      </c>
      <c r="M17" s="255">
        <f>K17-L17</f>
        <v>628201.20000000019</v>
      </c>
      <c r="N17" s="253">
        <v>0.7</v>
      </c>
      <c r="O17" s="216"/>
      <c r="P17" s="216"/>
      <c r="Q17" s="254"/>
      <c r="R17" s="254"/>
      <c r="S17" s="254">
        <f>L17</f>
        <v>1465802.7999999998</v>
      </c>
      <c r="T17" s="254">
        <v>0</v>
      </c>
      <c r="U17" s="254">
        <v>0</v>
      </c>
      <c r="V17" s="254"/>
      <c r="W17" s="254"/>
      <c r="X17" s="278"/>
      <c r="Y17" s="187" t="b">
        <f t="shared" si="0"/>
        <v>1</v>
      </c>
      <c r="Z17" s="188">
        <f t="shared" si="1"/>
        <v>0.7</v>
      </c>
      <c r="AA17" s="187" t="b">
        <f t="shared" si="2"/>
        <v>1</v>
      </c>
      <c r="AB17" s="187" t="b">
        <f t="shared" si="3"/>
        <v>1</v>
      </c>
    </row>
    <row r="18" spans="1:28" s="185" customFormat="1" ht="24" x14ac:dyDescent="0.2">
      <c r="A18" s="256">
        <v>28</v>
      </c>
      <c r="B18" s="246" t="s">
        <v>556</v>
      </c>
      <c r="C18" s="246" t="s">
        <v>21</v>
      </c>
      <c r="D18" s="257" t="s">
        <v>323</v>
      </c>
      <c r="E18" s="247" t="s">
        <v>729</v>
      </c>
      <c r="F18" s="246" t="s">
        <v>45</v>
      </c>
      <c r="G18" s="258" t="s">
        <v>557</v>
      </c>
      <c r="H18" s="246" t="s">
        <v>16</v>
      </c>
      <c r="I18" s="249">
        <v>0.24199999999999999</v>
      </c>
      <c r="J18" s="250" t="s">
        <v>216</v>
      </c>
      <c r="K18" s="259">
        <v>1312750</v>
      </c>
      <c r="L18" s="259">
        <v>656375</v>
      </c>
      <c r="M18" s="255">
        <v>656375</v>
      </c>
      <c r="N18" s="253">
        <v>0.5</v>
      </c>
      <c r="O18" s="216"/>
      <c r="P18" s="216"/>
      <c r="Q18" s="254"/>
      <c r="R18" s="254"/>
      <c r="S18" s="254">
        <v>656375</v>
      </c>
      <c r="T18" s="254">
        <v>0</v>
      </c>
      <c r="U18" s="254">
        <v>0</v>
      </c>
      <c r="V18" s="254"/>
      <c r="W18" s="254"/>
      <c r="X18" s="278"/>
      <c r="Y18" s="187" t="b">
        <f t="shared" si="0"/>
        <v>1</v>
      </c>
      <c r="Z18" s="188">
        <f t="shared" si="1"/>
        <v>0.5</v>
      </c>
      <c r="AA18" s="187" t="b">
        <f t="shared" si="2"/>
        <v>1</v>
      </c>
      <c r="AB18" s="187" t="b">
        <f t="shared" si="3"/>
        <v>1</v>
      </c>
    </row>
    <row r="19" spans="1:28" s="185" customFormat="1" ht="36" x14ac:dyDescent="0.2">
      <c r="A19" s="256">
        <v>29</v>
      </c>
      <c r="B19" s="246" t="s">
        <v>558</v>
      </c>
      <c r="C19" s="246" t="s">
        <v>21</v>
      </c>
      <c r="D19" s="257" t="s">
        <v>68</v>
      </c>
      <c r="E19" s="247" t="s">
        <v>709</v>
      </c>
      <c r="F19" s="246" t="s">
        <v>47</v>
      </c>
      <c r="G19" s="258" t="s">
        <v>559</v>
      </c>
      <c r="H19" s="246" t="s">
        <v>16</v>
      </c>
      <c r="I19" s="249">
        <v>1.994</v>
      </c>
      <c r="J19" s="250" t="s">
        <v>560</v>
      </c>
      <c r="K19" s="259">
        <v>6496354</v>
      </c>
      <c r="L19" s="259">
        <v>3248177</v>
      </c>
      <c r="M19" s="255">
        <v>3248177</v>
      </c>
      <c r="N19" s="253">
        <v>0.5</v>
      </c>
      <c r="O19" s="216"/>
      <c r="P19" s="216"/>
      <c r="Q19" s="254"/>
      <c r="R19" s="254"/>
      <c r="S19" s="254">
        <v>3248177</v>
      </c>
      <c r="T19" s="254">
        <v>0</v>
      </c>
      <c r="U19" s="254">
        <v>0</v>
      </c>
      <c r="V19" s="254"/>
      <c r="W19" s="254"/>
      <c r="X19" s="278"/>
      <c r="Y19" s="187" t="b">
        <f t="shared" si="0"/>
        <v>1</v>
      </c>
      <c r="Z19" s="188">
        <f t="shared" si="1"/>
        <v>0.5</v>
      </c>
      <c r="AA19" s="187" t="b">
        <f t="shared" si="2"/>
        <v>1</v>
      </c>
      <c r="AB19" s="187" t="b">
        <f t="shared" si="3"/>
        <v>1</v>
      </c>
    </row>
    <row r="20" spans="1:28" s="164" customFormat="1" ht="24" x14ac:dyDescent="0.2">
      <c r="A20" s="232">
        <v>30</v>
      </c>
      <c r="B20" s="218" t="s">
        <v>561</v>
      </c>
      <c r="C20" s="218" t="s">
        <v>19</v>
      </c>
      <c r="D20" s="220" t="s">
        <v>140</v>
      </c>
      <c r="E20" s="221" t="s">
        <v>655</v>
      </c>
      <c r="F20" s="218" t="s">
        <v>44</v>
      </c>
      <c r="G20" s="233" t="s">
        <v>562</v>
      </c>
      <c r="H20" s="218" t="s">
        <v>16</v>
      </c>
      <c r="I20" s="223">
        <v>0.53200000000000003</v>
      </c>
      <c r="J20" s="234" t="s">
        <v>563</v>
      </c>
      <c r="K20" s="224">
        <v>1410116</v>
      </c>
      <c r="L20" s="224">
        <v>705058</v>
      </c>
      <c r="M20" s="225">
        <v>705058</v>
      </c>
      <c r="N20" s="226">
        <v>0.5</v>
      </c>
      <c r="O20" s="230"/>
      <c r="P20" s="230"/>
      <c r="Q20" s="227"/>
      <c r="R20" s="227"/>
      <c r="S20" s="227">
        <f>L20*N20</f>
        <v>352529</v>
      </c>
      <c r="T20" s="227">
        <f>L20*N20</f>
        <v>352529</v>
      </c>
      <c r="U20" s="227">
        <v>0</v>
      </c>
      <c r="V20" s="227"/>
      <c r="W20" s="227"/>
      <c r="X20" s="222"/>
      <c r="Y20" s="187" t="b">
        <f t="shared" si="0"/>
        <v>1</v>
      </c>
      <c r="Z20" s="188">
        <f t="shared" si="1"/>
        <v>0.5</v>
      </c>
      <c r="AA20" s="187" t="b">
        <f t="shared" si="2"/>
        <v>1</v>
      </c>
      <c r="AB20" s="187" t="b">
        <f t="shared" si="3"/>
        <v>1</v>
      </c>
    </row>
    <row r="21" spans="1:28" s="185" customFormat="1" ht="60" x14ac:dyDescent="0.2">
      <c r="A21" s="256">
        <v>31</v>
      </c>
      <c r="B21" s="246" t="s">
        <v>564</v>
      </c>
      <c r="C21" s="246" t="s">
        <v>21</v>
      </c>
      <c r="D21" s="257" t="s">
        <v>565</v>
      </c>
      <c r="E21" s="247" t="s">
        <v>735</v>
      </c>
      <c r="F21" s="246" t="s">
        <v>41</v>
      </c>
      <c r="G21" s="258" t="s">
        <v>566</v>
      </c>
      <c r="H21" s="246" t="s">
        <v>16</v>
      </c>
      <c r="I21" s="249">
        <v>0.55100000000000005</v>
      </c>
      <c r="J21" s="250" t="s">
        <v>567</v>
      </c>
      <c r="K21" s="259">
        <v>4001416</v>
      </c>
      <c r="L21" s="259">
        <v>2000708</v>
      </c>
      <c r="M21" s="255">
        <v>2000708</v>
      </c>
      <c r="N21" s="253">
        <v>0.5</v>
      </c>
      <c r="O21" s="216"/>
      <c r="P21" s="216"/>
      <c r="Q21" s="254"/>
      <c r="R21" s="254"/>
      <c r="S21" s="254">
        <v>2000708</v>
      </c>
      <c r="T21" s="254">
        <v>0</v>
      </c>
      <c r="U21" s="254">
        <v>0</v>
      </c>
      <c r="V21" s="254"/>
      <c r="W21" s="254"/>
      <c r="X21" s="278"/>
      <c r="Y21" s="187" t="b">
        <f t="shared" si="0"/>
        <v>1</v>
      </c>
      <c r="Z21" s="188">
        <f t="shared" si="1"/>
        <v>0.5</v>
      </c>
      <c r="AA21" s="187" t="b">
        <f t="shared" si="2"/>
        <v>1</v>
      </c>
      <c r="AB21" s="187" t="b">
        <f t="shared" si="3"/>
        <v>1</v>
      </c>
    </row>
    <row r="22" spans="1:28" s="185" customFormat="1" ht="24" x14ac:dyDescent="0.2">
      <c r="A22" s="256">
        <v>32</v>
      </c>
      <c r="B22" s="246" t="s">
        <v>568</v>
      </c>
      <c r="C22" s="246" t="s">
        <v>21</v>
      </c>
      <c r="D22" s="257" t="s">
        <v>569</v>
      </c>
      <c r="E22" s="247" t="s">
        <v>736</v>
      </c>
      <c r="F22" s="246" t="s">
        <v>53</v>
      </c>
      <c r="G22" s="258" t="s">
        <v>570</v>
      </c>
      <c r="H22" s="246" t="s">
        <v>18</v>
      </c>
      <c r="I22" s="249" t="s">
        <v>571</v>
      </c>
      <c r="J22" s="250" t="s">
        <v>572</v>
      </c>
      <c r="K22" s="259">
        <v>978413</v>
      </c>
      <c r="L22" s="259">
        <v>489206.5</v>
      </c>
      <c r="M22" s="255">
        <v>489206.5</v>
      </c>
      <c r="N22" s="253">
        <v>0.5</v>
      </c>
      <c r="O22" s="216"/>
      <c r="P22" s="216"/>
      <c r="Q22" s="254"/>
      <c r="R22" s="254"/>
      <c r="S22" s="254">
        <v>489206.5</v>
      </c>
      <c r="T22" s="254">
        <v>0</v>
      </c>
      <c r="U22" s="254">
        <v>0</v>
      </c>
      <c r="V22" s="254"/>
      <c r="W22" s="254"/>
      <c r="X22" s="278"/>
      <c r="Y22" s="187" t="b">
        <f t="shared" si="0"/>
        <v>1</v>
      </c>
      <c r="Z22" s="188">
        <f t="shared" si="1"/>
        <v>0.5</v>
      </c>
      <c r="AA22" s="187" t="b">
        <f t="shared" si="2"/>
        <v>1</v>
      </c>
      <c r="AB22" s="187" t="b">
        <f t="shared" si="3"/>
        <v>1</v>
      </c>
    </row>
    <row r="23" spans="1:28" s="185" customFormat="1" ht="33" customHeight="1" x14ac:dyDescent="0.2">
      <c r="A23" s="256">
        <v>33</v>
      </c>
      <c r="B23" s="246" t="s">
        <v>576</v>
      </c>
      <c r="C23" s="246" t="s">
        <v>21</v>
      </c>
      <c r="D23" s="257" t="s">
        <v>338</v>
      </c>
      <c r="E23" s="247" t="s">
        <v>339</v>
      </c>
      <c r="F23" s="246" t="s">
        <v>42</v>
      </c>
      <c r="G23" s="258" t="s">
        <v>577</v>
      </c>
      <c r="H23" s="246" t="s">
        <v>18</v>
      </c>
      <c r="I23" s="249">
        <v>0.23200000000000001</v>
      </c>
      <c r="J23" s="250" t="s">
        <v>458</v>
      </c>
      <c r="K23" s="259">
        <v>1886000</v>
      </c>
      <c r="L23" s="259">
        <v>1131600</v>
      </c>
      <c r="M23" s="255">
        <v>754400</v>
      </c>
      <c r="N23" s="253">
        <v>0.6</v>
      </c>
      <c r="O23" s="216"/>
      <c r="P23" s="216"/>
      <c r="Q23" s="254"/>
      <c r="R23" s="254"/>
      <c r="S23" s="254">
        <v>1131600</v>
      </c>
      <c r="T23" s="254">
        <v>0</v>
      </c>
      <c r="U23" s="254">
        <v>0</v>
      </c>
      <c r="V23" s="254"/>
      <c r="W23" s="254"/>
      <c r="X23" s="278"/>
      <c r="Y23" s="187" t="b">
        <f t="shared" si="0"/>
        <v>1</v>
      </c>
      <c r="Z23" s="188">
        <f t="shared" si="1"/>
        <v>0.6</v>
      </c>
      <c r="AA23" s="187" t="b">
        <f t="shared" si="2"/>
        <v>1</v>
      </c>
      <c r="AB23" s="187" t="b">
        <f t="shared" si="3"/>
        <v>1</v>
      </c>
    </row>
    <row r="24" spans="1:28" s="164" customFormat="1" ht="36" x14ac:dyDescent="0.2">
      <c r="A24" s="232">
        <v>34</v>
      </c>
      <c r="B24" s="218" t="s">
        <v>581</v>
      </c>
      <c r="C24" s="218" t="s">
        <v>19</v>
      </c>
      <c r="D24" s="220" t="s">
        <v>141</v>
      </c>
      <c r="E24" s="221" t="s">
        <v>656</v>
      </c>
      <c r="F24" s="218" t="s">
        <v>72</v>
      </c>
      <c r="G24" s="233" t="s">
        <v>582</v>
      </c>
      <c r="H24" s="218" t="s">
        <v>28</v>
      </c>
      <c r="I24" s="223">
        <v>1.2430000000000001</v>
      </c>
      <c r="J24" s="234" t="s">
        <v>745</v>
      </c>
      <c r="K24" s="224">
        <v>5010004</v>
      </c>
      <c r="L24" s="224">
        <v>3507002.8</v>
      </c>
      <c r="M24" s="225">
        <v>1503001.2000000002</v>
      </c>
      <c r="N24" s="226">
        <v>0.7</v>
      </c>
      <c r="O24" s="230"/>
      <c r="P24" s="230"/>
      <c r="Q24" s="227"/>
      <c r="R24" s="227"/>
      <c r="S24" s="227">
        <v>1351319.9</v>
      </c>
      <c r="T24" s="227">
        <v>2155682.9</v>
      </c>
      <c r="U24" s="227">
        <v>0</v>
      </c>
      <c r="V24" s="227"/>
      <c r="W24" s="227"/>
      <c r="X24" s="222"/>
      <c r="Y24" s="187" t="b">
        <f t="shared" si="0"/>
        <v>1</v>
      </c>
      <c r="Z24" s="188">
        <f t="shared" si="1"/>
        <v>0.7</v>
      </c>
      <c r="AA24" s="187" t="b">
        <f t="shared" si="2"/>
        <v>1</v>
      </c>
      <c r="AB24" s="187" t="b">
        <f t="shared" si="3"/>
        <v>1</v>
      </c>
    </row>
    <row r="25" spans="1:28" s="185" customFormat="1" ht="36" x14ac:dyDescent="0.2">
      <c r="A25" s="256">
        <v>35</v>
      </c>
      <c r="B25" s="246" t="s">
        <v>583</v>
      </c>
      <c r="C25" s="246" t="s">
        <v>21</v>
      </c>
      <c r="D25" s="257" t="s">
        <v>584</v>
      </c>
      <c r="E25" s="247" t="s">
        <v>737</v>
      </c>
      <c r="F25" s="246" t="s">
        <v>48</v>
      </c>
      <c r="G25" s="258" t="s">
        <v>585</v>
      </c>
      <c r="H25" s="246" t="s">
        <v>16</v>
      </c>
      <c r="I25" s="249">
        <v>0.6</v>
      </c>
      <c r="J25" s="250" t="s">
        <v>743</v>
      </c>
      <c r="K25" s="259">
        <v>8167471</v>
      </c>
      <c r="L25" s="259">
        <v>5717229.6999999993</v>
      </c>
      <c r="M25" s="255">
        <v>2450241.3000000007</v>
      </c>
      <c r="N25" s="253">
        <v>0.7</v>
      </c>
      <c r="O25" s="216"/>
      <c r="P25" s="216"/>
      <c r="Q25" s="254"/>
      <c r="R25" s="254"/>
      <c r="S25" s="254">
        <v>5717229.6999999993</v>
      </c>
      <c r="T25" s="254">
        <v>0</v>
      </c>
      <c r="U25" s="254">
        <v>0</v>
      </c>
      <c r="V25" s="254"/>
      <c r="W25" s="254"/>
      <c r="X25" s="278"/>
      <c r="Y25" s="187" t="b">
        <f t="shared" si="0"/>
        <v>1</v>
      </c>
      <c r="Z25" s="188">
        <f t="shared" si="1"/>
        <v>0.7</v>
      </c>
      <c r="AA25" s="187" t="b">
        <f t="shared" si="2"/>
        <v>1</v>
      </c>
      <c r="AB25" s="187" t="b">
        <f t="shared" si="3"/>
        <v>1</v>
      </c>
    </row>
    <row r="26" spans="1:28" s="185" customFormat="1" ht="24" x14ac:dyDescent="0.2">
      <c r="A26" s="256">
        <v>36</v>
      </c>
      <c r="B26" s="246" t="s">
        <v>586</v>
      </c>
      <c r="C26" s="246" t="s">
        <v>21</v>
      </c>
      <c r="D26" s="257" t="s">
        <v>70</v>
      </c>
      <c r="E26" s="247" t="s">
        <v>701</v>
      </c>
      <c r="F26" s="246" t="s">
        <v>51</v>
      </c>
      <c r="G26" s="258" t="s">
        <v>587</v>
      </c>
      <c r="H26" s="246" t="s">
        <v>16</v>
      </c>
      <c r="I26" s="249">
        <v>0.32</v>
      </c>
      <c r="J26" s="250" t="s">
        <v>425</v>
      </c>
      <c r="K26" s="259">
        <v>6555521</v>
      </c>
      <c r="L26" s="259">
        <v>3277760.5</v>
      </c>
      <c r="M26" s="255">
        <v>3277760.5</v>
      </c>
      <c r="N26" s="253">
        <v>0.5</v>
      </c>
      <c r="O26" s="216"/>
      <c r="P26" s="216"/>
      <c r="Q26" s="254"/>
      <c r="R26" s="254"/>
      <c r="S26" s="254">
        <v>3277760.5</v>
      </c>
      <c r="T26" s="254">
        <v>0</v>
      </c>
      <c r="U26" s="254">
        <v>0</v>
      </c>
      <c r="V26" s="254"/>
      <c r="W26" s="254"/>
      <c r="X26" s="278"/>
      <c r="Y26" s="187" t="b">
        <f t="shared" si="0"/>
        <v>1</v>
      </c>
      <c r="Z26" s="188">
        <f t="shared" si="1"/>
        <v>0.5</v>
      </c>
      <c r="AA26" s="187" t="b">
        <f t="shared" si="2"/>
        <v>1</v>
      </c>
      <c r="AB26" s="187" t="b">
        <f t="shared" si="3"/>
        <v>1</v>
      </c>
    </row>
    <row r="27" spans="1:28" s="185" customFormat="1" ht="24" x14ac:dyDescent="0.2">
      <c r="A27" s="256">
        <v>37</v>
      </c>
      <c r="B27" s="246" t="s">
        <v>588</v>
      </c>
      <c r="C27" s="246" t="s">
        <v>21</v>
      </c>
      <c r="D27" s="257" t="s">
        <v>589</v>
      </c>
      <c r="E27" s="247" t="s">
        <v>730</v>
      </c>
      <c r="F27" s="246" t="s">
        <v>45</v>
      </c>
      <c r="G27" s="258" t="s">
        <v>590</v>
      </c>
      <c r="H27" s="246" t="s">
        <v>18</v>
      </c>
      <c r="I27" s="249">
        <v>0.19500000000000001</v>
      </c>
      <c r="J27" s="250" t="s">
        <v>591</v>
      </c>
      <c r="K27" s="259">
        <v>274650</v>
      </c>
      <c r="L27" s="259">
        <v>192255</v>
      </c>
      <c r="M27" s="255">
        <v>82395</v>
      </c>
      <c r="N27" s="253">
        <v>0.7</v>
      </c>
      <c r="O27" s="216"/>
      <c r="P27" s="216"/>
      <c r="Q27" s="254"/>
      <c r="R27" s="254"/>
      <c r="S27" s="254">
        <v>192255</v>
      </c>
      <c r="T27" s="254">
        <v>0</v>
      </c>
      <c r="U27" s="254">
        <v>0</v>
      </c>
      <c r="V27" s="254"/>
      <c r="W27" s="254"/>
      <c r="X27" s="278"/>
      <c r="Y27" s="187" t="b">
        <f t="shared" si="0"/>
        <v>1</v>
      </c>
      <c r="Z27" s="188">
        <f t="shared" si="1"/>
        <v>0.7</v>
      </c>
      <c r="AA27" s="187" t="b">
        <f t="shared" si="2"/>
        <v>1</v>
      </c>
      <c r="AB27" s="187" t="b">
        <f t="shared" si="3"/>
        <v>1</v>
      </c>
    </row>
    <row r="28" spans="1:28" s="164" customFormat="1" ht="36" x14ac:dyDescent="0.2">
      <c r="A28" s="232">
        <v>38</v>
      </c>
      <c r="B28" s="218" t="s">
        <v>592</v>
      </c>
      <c r="C28" s="218" t="s">
        <v>19</v>
      </c>
      <c r="D28" s="220" t="s">
        <v>135</v>
      </c>
      <c r="E28" s="221" t="s">
        <v>650</v>
      </c>
      <c r="F28" s="218" t="s">
        <v>63</v>
      </c>
      <c r="G28" s="233" t="s">
        <v>593</v>
      </c>
      <c r="H28" s="218" t="s">
        <v>16</v>
      </c>
      <c r="I28" s="223">
        <v>0.97399999999999998</v>
      </c>
      <c r="J28" s="234" t="s">
        <v>199</v>
      </c>
      <c r="K28" s="224">
        <v>8509507</v>
      </c>
      <c r="L28" s="224">
        <v>6807605.6000000006</v>
      </c>
      <c r="M28" s="225">
        <v>1701901.3999999994</v>
      </c>
      <c r="N28" s="226">
        <v>0.8</v>
      </c>
      <c r="O28" s="230"/>
      <c r="P28" s="230"/>
      <c r="Q28" s="227"/>
      <c r="R28" s="227"/>
      <c r="S28" s="227">
        <v>2269201.6</v>
      </c>
      <c r="T28" s="227">
        <v>4538404</v>
      </c>
      <c r="U28" s="227">
        <v>0</v>
      </c>
      <c r="V28" s="227"/>
      <c r="W28" s="227"/>
      <c r="X28" s="222"/>
      <c r="Y28" s="187" t="b">
        <f t="shared" si="0"/>
        <v>1</v>
      </c>
      <c r="Z28" s="188">
        <f t="shared" si="1"/>
        <v>0.8</v>
      </c>
      <c r="AA28" s="187" t="b">
        <f t="shared" si="2"/>
        <v>1</v>
      </c>
      <c r="AB28" s="187" t="b">
        <f t="shared" si="3"/>
        <v>1</v>
      </c>
    </row>
    <row r="29" spans="1:28" s="185" customFormat="1" ht="36" x14ac:dyDescent="0.2">
      <c r="A29" s="256">
        <v>39</v>
      </c>
      <c r="B29" s="246" t="s">
        <v>594</v>
      </c>
      <c r="C29" s="246" t="s">
        <v>21</v>
      </c>
      <c r="D29" s="257" t="s">
        <v>595</v>
      </c>
      <c r="E29" s="247" t="s">
        <v>738</v>
      </c>
      <c r="F29" s="246" t="s">
        <v>71</v>
      </c>
      <c r="G29" s="258" t="s">
        <v>596</v>
      </c>
      <c r="H29" s="246" t="s">
        <v>18</v>
      </c>
      <c r="I29" s="249">
        <v>1.33</v>
      </c>
      <c r="J29" s="250" t="s">
        <v>211</v>
      </c>
      <c r="K29" s="259">
        <v>1420000</v>
      </c>
      <c r="L29" s="259">
        <v>1136000</v>
      </c>
      <c r="M29" s="255">
        <v>284000</v>
      </c>
      <c r="N29" s="253">
        <v>0.8</v>
      </c>
      <c r="O29" s="216"/>
      <c r="P29" s="216"/>
      <c r="Q29" s="254"/>
      <c r="R29" s="254"/>
      <c r="S29" s="254">
        <v>1136000</v>
      </c>
      <c r="T29" s="254">
        <v>0</v>
      </c>
      <c r="U29" s="254">
        <v>0</v>
      </c>
      <c r="V29" s="254"/>
      <c r="W29" s="254"/>
      <c r="X29" s="278"/>
      <c r="Y29" s="187" t="b">
        <f t="shared" si="0"/>
        <v>1</v>
      </c>
      <c r="Z29" s="188">
        <f t="shared" si="1"/>
        <v>0.8</v>
      </c>
      <c r="AA29" s="187" t="b">
        <f t="shared" si="2"/>
        <v>1</v>
      </c>
      <c r="AB29" s="187" t="b">
        <f t="shared" si="3"/>
        <v>1</v>
      </c>
    </row>
    <row r="30" spans="1:28" s="185" customFormat="1" ht="36" x14ac:dyDescent="0.2">
      <c r="A30" s="256">
        <v>40</v>
      </c>
      <c r="B30" s="246" t="s">
        <v>597</v>
      </c>
      <c r="C30" s="246" t="s">
        <v>21</v>
      </c>
      <c r="D30" s="257" t="s">
        <v>598</v>
      </c>
      <c r="E30" s="247" t="s">
        <v>712</v>
      </c>
      <c r="F30" s="246" t="s">
        <v>364</v>
      </c>
      <c r="G30" s="258" t="s">
        <v>599</v>
      </c>
      <c r="H30" s="246" t="s">
        <v>16</v>
      </c>
      <c r="I30" s="249">
        <v>0.99</v>
      </c>
      <c r="J30" s="250" t="s">
        <v>249</v>
      </c>
      <c r="K30" s="259">
        <v>1102068</v>
      </c>
      <c r="L30" s="259">
        <v>551034</v>
      </c>
      <c r="M30" s="255">
        <v>551034</v>
      </c>
      <c r="N30" s="253">
        <v>0.5</v>
      </c>
      <c r="O30" s="216"/>
      <c r="P30" s="216"/>
      <c r="Q30" s="254"/>
      <c r="R30" s="254"/>
      <c r="S30" s="254">
        <v>551034</v>
      </c>
      <c r="T30" s="254">
        <v>0</v>
      </c>
      <c r="U30" s="254">
        <v>0</v>
      </c>
      <c r="V30" s="254"/>
      <c r="W30" s="254"/>
      <c r="X30" s="278"/>
      <c r="Y30" s="187" t="b">
        <f t="shared" si="0"/>
        <v>1</v>
      </c>
      <c r="Z30" s="188">
        <f t="shared" si="1"/>
        <v>0.5</v>
      </c>
      <c r="AA30" s="187" t="b">
        <f t="shared" si="2"/>
        <v>1</v>
      </c>
      <c r="AB30" s="187" t="b">
        <f t="shared" si="3"/>
        <v>1</v>
      </c>
    </row>
    <row r="31" spans="1:28" s="164" customFormat="1" ht="24" x14ac:dyDescent="0.2">
      <c r="A31" s="232">
        <v>41</v>
      </c>
      <c r="B31" s="218" t="s">
        <v>600</v>
      </c>
      <c r="C31" s="218" t="s">
        <v>19</v>
      </c>
      <c r="D31" s="220" t="s">
        <v>601</v>
      </c>
      <c r="E31" s="221" t="s">
        <v>713</v>
      </c>
      <c r="F31" s="218" t="s">
        <v>175</v>
      </c>
      <c r="G31" s="233" t="s">
        <v>602</v>
      </c>
      <c r="H31" s="218" t="s">
        <v>28</v>
      </c>
      <c r="I31" s="223">
        <v>0.89700000000000002</v>
      </c>
      <c r="J31" s="234" t="s">
        <v>603</v>
      </c>
      <c r="K31" s="224">
        <v>8945257</v>
      </c>
      <c r="L31" s="224">
        <v>4472628.5</v>
      </c>
      <c r="M31" s="225">
        <v>4472628.5</v>
      </c>
      <c r="N31" s="226">
        <v>0.5</v>
      </c>
      <c r="O31" s="230"/>
      <c r="P31" s="230"/>
      <c r="Q31" s="227"/>
      <c r="R31" s="227"/>
      <c r="S31" s="227">
        <v>600000</v>
      </c>
      <c r="T31" s="227">
        <v>2550000</v>
      </c>
      <c r="U31" s="227">
        <v>1322628.5</v>
      </c>
      <c r="V31" s="227"/>
      <c r="W31" s="227"/>
      <c r="X31" s="222"/>
      <c r="Y31" s="187" t="b">
        <f t="shared" si="0"/>
        <v>1</v>
      </c>
      <c r="Z31" s="188">
        <f t="shared" si="1"/>
        <v>0.5</v>
      </c>
      <c r="AA31" s="187" t="b">
        <f t="shared" si="2"/>
        <v>1</v>
      </c>
      <c r="AB31" s="187" t="b">
        <f t="shared" si="3"/>
        <v>1</v>
      </c>
    </row>
    <row r="32" spans="1:28" s="185" customFormat="1" ht="24" x14ac:dyDescent="0.2">
      <c r="A32" s="256">
        <v>42</v>
      </c>
      <c r="B32" s="246" t="s">
        <v>604</v>
      </c>
      <c r="C32" s="246" t="s">
        <v>21</v>
      </c>
      <c r="D32" s="257" t="s">
        <v>50</v>
      </c>
      <c r="E32" s="247" t="s">
        <v>654</v>
      </c>
      <c r="F32" s="246" t="s">
        <v>51</v>
      </c>
      <c r="G32" s="258" t="s">
        <v>605</v>
      </c>
      <c r="H32" s="246" t="s">
        <v>28</v>
      </c>
      <c r="I32" s="249">
        <v>0.99099999999999999</v>
      </c>
      <c r="J32" s="250" t="s">
        <v>606</v>
      </c>
      <c r="K32" s="259">
        <v>5281075</v>
      </c>
      <c r="L32" s="259">
        <v>3168645</v>
      </c>
      <c r="M32" s="255">
        <v>2112430</v>
      </c>
      <c r="N32" s="253">
        <v>0.6</v>
      </c>
      <c r="O32" s="216"/>
      <c r="P32" s="216"/>
      <c r="Q32" s="254"/>
      <c r="R32" s="254"/>
      <c r="S32" s="254">
        <v>3168645</v>
      </c>
      <c r="T32" s="254">
        <v>0</v>
      </c>
      <c r="U32" s="254">
        <v>0</v>
      </c>
      <c r="V32" s="254"/>
      <c r="W32" s="254"/>
      <c r="X32" s="278"/>
      <c r="Y32" s="187" t="b">
        <f t="shared" si="0"/>
        <v>1</v>
      </c>
      <c r="Z32" s="188">
        <f t="shared" si="1"/>
        <v>0.6</v>
      </c>
      <c r="AA32" s="187" t="b">
        <f t="shared" si="2"/>
        <v>1</v>
      </c>
      <c r="AB32" s="187" t="b">
        <f t="shared" si="3"/>
        <v>1</v>
      </c>
    </row>
    <row r="33" spans="1:28" s="185" customFormat="1" ht="24" x14ac:dyDescent="0.2">
      <c r="A33" s="256">
        <v>43</v>
      </c>
      <c r="B33" s="246" t="s">
        <v>610</v>
      </c>
      <c r="C33" s="246" t="s">
        <v>21</v>
      </c>
      <c r="D33" s="257" t="s">
        <v>407</v>
      </c>
      <c r="E33" s="247" t="s">
        <v>689</v>
      </c>
      <c r="F33" s="246" t="s">
        <v>47</v>
      </c>
      <c r="G33" s="258" t="s">
        <v>408</v>
      </c>
      <c r="H33" s="246" t="s">
        <v>16</v>
      </c>
      <c r="I33" s="249">
        <v>0.45400000000000001</v>
      </c>
      <c r="J33" s="250" t="s">
        <v>409</v>
      </c>
      <c r="K33" s="259">
        <v>544543</v>
      </c>
      <c r="L33" s="259">
        <v>272271.5</v>
      </c>
      <c r="M33" s="255">
        <v>272271.5</v>
      </c>
      <c r="N33" s="253">
        <v>0.5</v>
      </c>
      <c r="O33" s="216"/>
      <c r="P33" s="216"/>
      <c r="Q33" s="254"/>
      <c r="R33" s="254"/>
      <c r="S33" s="254">
        <v>272271.5</v>
      </c>
      <c r="T33" s="254">
        <v>0</v>
      </c>
      <c r="U33" s="254">
        <v>0</v>
      </c>
      <c r="V33" s="254"/>
      <c r="W33" s="254"/>
      <c r="X33" s="278"/>
      <c r="Y33" s="187" t="b">
        <f t="shared" si="0"/>
        <v>1</v>
      </c>
      <c r="Z33" s="188">
        <f t="shared" si="1"/>
        <v>0.5</v>
      </c>
      <c r="AA33" s="187" t="b">
        <f t="shared" si="2"/>
        <v>1</v>
      </c>
      <c r="AB33" s="187" t="b">
        <f t="shared" si="3"/>
        <v>1</v>
      </c>
    </row>
    <row r="34" spans="1:28" s="185" customFormat="1" ht="24" x14ac:dyDescent="0.2">
      <c r="A34" s="256">
        <v>44</v>
      </c>
      <c r="B34" s="246" t="s">
        <v>611</v>
      </c>
      <c r="C34" s="246" t="s">
        <v>21</v>
      </c>
      <c r="D34" s="257" t="s">
        <v>612</v>
      </c>
      <c r="E34" s="247" t="s">
        <v>715</v>
      </c>
      <c r="F34" s="246" t="s">
        <v>312</v>
      </c>
      <c r="G34" s="258" t="s">
        <v>613</v>
      </c>
      <c r="H34" s="246" t="s">
        <v>18</v>
      </c>
      <c r="I34" s="249">
        <v>1.708</v>
      </c>
      <c r="J34" s="250" t="s">
        <v>606</v>
      </c>
      <c r="K34" s="259">
        <v>1963422</v>
      </c>
      <c r="L34" s="259">
        <v>1178053.2</v>
      </c>
      <c r="M34" s="255">
        <v>785368.8</v>
      </c>
      <c r="N34" s="253">
        <v>0.6</v>
      </c>
      <c r="O34" s="216"/>
      <c r="P34" s="216"/>
      <c r="Q34" s="254"/>
      <c r="R34" s="254"/>
      <c r="S34" s="254">
        <v>1178053.2</v>
      </c>
      <c r="T34" s="254">
        <v>0</v>
      </c>
      <c r="U34" s="254">
        <v>0</v>
      </c>
      <c r="V34" s="254"/>
      <c r="W34" s="254"/>
      <c r="X34" s="278"/>
      <c r="Y34" s="187" t="b">
        <f t="shared" si="0"/>
        <v>1</v>
      </c>
      <c r="Z34" s="188">
        <f t="shared" si="1"/>
        <v>0.6</v>
      </c>
      <c r="AA34" s="187" t="b">
        <f t="shared" si="2"/>
        <v>1</v>
      </c>
      <c r="AB34" s="187" t="b">
        <f t="shared" si="3"/>
        <v>1</v>
      </c>
    </row>
    <row r="35" spans="1:28" s="185" customFormat="1" ht="24" x14ac:dyDescent="0.2">
      <c r="A35" s="256">
        <v>45</v>
      </c>
      <c r="B35" s="246" t="s">
        <v>614</v>
      </c>
      <c r="C35" s="246" t="s">
        <v>21</v>
      </c>
      <c r="D35" s="257" t="s">
        <v>169</v>
      </c>
      <c r="E35" s="247" t="s">
        <v>716</v>
      </c>
      <c r="F35" s="246" t="s">
        <v>52</v>
      </c>
      <c r="G35" s="258" t="s">
        <v>615</v>
      </c>
      <c r="H35" s="246" t="s">
        <v>16</v>
      </c>
      <c r="I35" s="249">
        <v>0.47</v>
      </c>
      <c r="J35" s="250" t="s">
        <v>231</v>
      </c>
      <c r="K35" s="259">
        <v>1591365</v>
      </c>
      <c r="L35" s="259">
        <v>795682.5</v>
      </c>
      <c r="M35" s="255">
        <v>795682.5</v>
      </c>
      <c r="N35" s="253">
        <v>0.5</v>
      </c>
      <c r="O35" s="216"/>
      <c r="P35" s="216"/>
      <c r="Q35" s="254"/>
      <c r="R35" s="254"/>
      <c r="S35" s="254">
        <v>795682.5</v>
      </c>
      <c r="T35" s="254">
        <v>0</v>
      </c>
      <c r="U35" s="254">
        <v>0</v>
      </c>
      <c r="V35" s="254"/>
      <c r="W35" s="254"/>
      <c r="X35" s="278"/>
      <c r="Y35" s="187" t="b">
        <f t="shared" si="0"/>
        <v>1</v>
      </c>
      <c r="Z35" s="188">
        <f t="shared" si="1"/>
        <v>0.5</v>
      </c>
      <c r="AA35" s="187" t="b">
        <f t="shared" si="2"/>
        <v>1</v>
      </c>
      <c r="AB35" s="187" t="b">
        <f t="shared" si="3"/>
        <v>1</v>
      </c>
    </row>
    <row r="36" spans="1:28" s="164" customFormat="1" ht="24" x14ac:dyDescent="0.2">
      <c r="A36" s="232">
        <v>46</v>
      </c>
      <c r="B36" s="218" t="s">
        <v>616</v>
      </c>
      <c r="C36" s="218" t="s">
        <v>19</v>
      </c>
      <c r="D36" s="220" t="s">
        <v>617</v>
      </c>
      <c r="E36" s="221" t="s">
        <v>739</v>
      </c>
      <c r="F36" s="218" t="s">
        <v>190</v>
      </c>
      <c r="G36" s="233" t="s">
        <v>618</v>
      </c>
      <c r="H36" s="218" t="s">
        <v>16</v>
      </c>
      <c r="I36" s="223">
        <v>0.8</v>
      </c>
      <c r="J36" s="234" t="s">
        <v>619</v>
      </c>
      <c r="K36" s="224">
        <v>1100000</v>
      </c>
      <c r="L36" s="224">
        <v>550000</v>
      </c>
      <c r="M36" s="225">
        <v>550000</v>
      </c>
      <c r="N36" s="226">
        <v>0.5</v>
      </c>
      <c r="O36" s="230"/>
      <c r="P36" s="230"/>
      <c r="Q36" s="227"/>
      <c r="R36" s="227"/>
      <c r="S36" s="227">
        <v>10000</v>
      </c>
      <c r="T36" s="227">
        <v>540000</v>
      </c>
      <c r="U36" s="227">
        <v>0</v>
      </c>
      <c r="V36" s="227"/>
      <c r="W36" s="227"/>
      <c r="X36" s="222"/>
      <c r="Y36" s="187" t="b">
        <f t="shared" si="0"/>
        <v>1</v>
      </c>
      <c r="Z36" s="188">
        <f t="shared" si="1"/>
        <v>0.5</v>
      </c>
      <c r="AA36" s="187" t="b">
        <f t="shared" si="2"/>
        <v>1</v>
      </c>
      <c r="AB36" s="187" t="b">
        <f t="shared" si="3"/>
        <v>1</v>
      </c>
    </row>
    <row r="37" spans="1:28" s="185" customFormat="1" ht="36" x14ac:dyDescent="0.2">
      <c r="A37" s="256">
        <v>47</v>
      </c>
      <c r="B37" s="246" t="s">
        <v>620</v>
      </c>
      <c r="C37" s="246" t="s">
        <v>21</v>
      </c>
      <c r="D37" s="257" t="s">
        <v>621</v>
      </c>
      <c r="E37" s="247" t="s">
        <v>717</v>
      </c>
      <c r="F37" s="246" t="s">
        <v>175</v>
      </c>
      <c r="G37" s="258" t="s">
        <v>622</v>
      </c>
      <c r="H37" s="246" t="s">
        <v>16</v>
      </c>
      <c r="I37" s="249">
        <v>0.45600000000000002</v>
      </c>
      <c r="J37" s="250" t="s">
        <v>623</v>
      </c>
      <c r="K37" s="259">
        <v>3228687</v>
      </c>
      <c r="L37" s="259">
        <v>1614343.5</v>
      </c>
      <c r="M37" s="255">
        <v>1614343.5</v>
      </c>
      <c r="N37" s="253">
        <v>0.5</v>
      </c>
      <c r="O37" s="216"/>
      <c r="P37" s="216"/>
      <c r="Q37" s="254"/>
      <c r="R37" s="254"/>
      <c r="S37" s="254">
        <v>1614343.5</v>
      </c>
      <c r="T37" s="254">
        <v>0</v>
      </c>
      <c r="U37" s="254">
        <v>0</v>
      </c>
      <c r="V37" s="254"/>
      <c r="W37" s="254"/>
      <c r="X37" s="278"/>
      <c r="Y37" s="187" t="b">
        <f t="shared" si="0"/>
        <v>1</v>
      </c>
      <c r="Z37" s="188">
        <f t="shared" si="1"/>
        <v>0.5</v>
      </c>
      <c r="AA37" s="187" t="b">
        <f t="shared" si="2"/>
        <v>1</v>
      </c>
      <c r="AB37" s="187" t="b">
        <f t="shared" si="3"/>
        <v>1</v>
      </c>
    </row>
    <row r="38" spans="1:28" s="185" customFormat="1" ht="36" x14ac:dyDescent="0.2">
      <c r="A38" s="256">
        <v>48</v>
      </c>
      <c r="B38" s="246" t="s">
        <v>624</v>
      </c>
      <c r="C38" s="246" t="s">
        <v>21</v>
      </c>
      <c r="D38" s="257" t="s">
        <v>625</v>
      </c>
      <c r="E38" s="247" t="s">
        <v>718</v>
      </c>
      <c r="F38" s="246" t="s">
        <v>360</v>
      </c>
      <c r="G38" s="258" t="s">
        <v>626</v>
      </c>
      <c r="H38" s="246" t="s">
        <v>16</v>
      </c>
      <c r="I38" s="249">
        <v>0.80500000000000005</v>
      </c>
      <c r="J38" s="250" t="s">
        <v>252</v>
      </c>
      <c r="K38" s="259">
        <v>2073095</v>
      </c>
      <c r="L38" s="259">
        <v>1243857</v>
      </c>
      <c r="M38" s="255">
        <v>829238</v>
      </c>
      <c r="N38" s="253">
        <v>0.6</v>
      </c>
      <c r="O38" s="216"/>
      <c r="P38" s="216"/>
      <c r="Q38" s="254"/>
      <c r="R38" s="254"/>
      <c r="S38" s="254">
        <v>1243857</v>
      </c>
      <c r="T38" s="254">
        <v>0</v>
      </c>
      <c r="U38" s="254">
        <v>0</v>
      </c>
      <c r="V38" s="254"/>
      <c r="W38" s="254"/>
      <c r="X38" s="278"/>
      <c r="Y38" s="187" t="b">
        <f t="shared" si="0"/>
        <v>1</v>
      </c>
      <c r="Z38" s="188">
        <f t="shared" si="1"/>
        <v>0.6</v>
      </c>
      <c r="AA38" s="187" t="b">
        <f t="shared" si="2"/>
        <v>1</v>
      </c>
      <c r="AB38" s="187" t="b">
        <f t="shared" si="3"/>
        <v>1</v>
      </c>
    </row>
    <row r="39" spans="1:28" s="185" customFormat="1" ht="48" x14ac:dyDescent="0.2">
      <c r="A39" s="256">
        <v>49</v>
      </c>
      <c r="B39" s="246" t="s">
        <v>627</v>
      </c>
      <c r="C39" s="246" t="s">
        <v>21</v>
      </c>
      <c r="D39" s="257" t="s">
        <v>173</v>
      </c>
      <c r="E39" s="247" t="s">
        <v>719</v>
      </c>
      <c r="F39" s="246" t="s">
        <v>176</v>
      </c>
      <c r="G39" s="258" t="s">
        <v>628</v>
      </c>
      <c r="H39" s="246" t="s">
        <v>28</v>
      </c>
      <c r="I39" s="249">
        <v>0.52700000000000002</v>
      </c>
      <c r="J39" s="250" t="s">
        <v>409</v>
      </c>
      <c r="K39" s="259">
        <v>2991212</v>
      </c>
      <c r="L39" s="259">
        <v>1495606</v>
      </c>
      <c r="M39" s="255">
        <v>1495606</v>
      </c>
      <c r="N39" s="253">
        <v>0.5</v>
      </c>
      <c r="O39" s="216"/>
      <c r="P39" s="216"/>
      <c r="Q39" s="254"/>
      <c r="R39" s="254"/>
      <c r="S39" s="254">
        <v>1495606</v>
      </c>
      <c r="T39" s="254">
        <v>0</v>
      </c>
      <c r="U39" s="254">
        <v>0</v>
      </c>
      <c r="V39" s="254"/>
      <c r="W39" s="254"/>
      <c r="X39" s="278"/>
      <c r="Y39" s="187" t="b">
        <f t="shared" si="0"/>
        <v>1</v>
      </c>
      <c r="Z39" s="188">
        <f t="shared" si="1"/>
        <v>0.5</v>
      </c>
      <c r="AA39" s="187" t="b">
        <f t="shared" si="2"/>
        <v>1</v>
      </c>
      <c r="AB39" s="187" t="b">
        <f t="shared" si="3"/>
        <v>1</v>
      </c>
    </row>
    <row r="40" spans="1:28" s="164" customFormat="1" ht="48" x14ac:dyDescent="0.2">
      <c r="A40" s="232">
        <v>50</v>
      </c>
      <c r="B40" s="218" t="s">
        <v>634</v>
      </c>
      <c r="C40" s="218" t="s">
        <v>19</v>
      </c>
      <c r="D40" s="220" t="s">
        <v>635</v>
      </c>
      <c r="E40" s="221" t="s">
        <v>721</v>
      </c>
      <c r="F40" s="218" t="s">
        <v>276</v>
      </c>
      <c r="G40" s="233" t="s">
        <v>636</v>
      </c>
      <c r="H40" s="218" t="s">
        <v>28</v>
      </c>
      <c r="I40" s="223">
        <v>0.215</v>
      </c>
      <c r="J40" s="234" t="s">
        <v>637</v>
      </c>
      <c r="K40" s="224">
        <v>1797727</v>
      </c>
      <c r="L40" s="224">
        <v>898863.5</v>
      </c>
      <c r="M40" s="225">
        <v>898863.5</v>
      </c>
      <c r="N40" s="226">
        <v>0.5</v>
      </c>
      <c r="O40" s="230"/>
      <c r="P40" s="230"/>
      <c r="Q40" s="227"/>
      <c r="R40" s="227"/>
      <c r="S40" s="227">
        <v>50000</v>
      </c>
      <c r="T40" s="227">
        <v>848863.5</v>
      </c>
      <c r="U40" s="227">
        <v>0</v>
      </c>
      <c r="V40" s="227"/>
      <c r="W40" s="227"/>
      <c r="X40" s="222"/>
      <c r="Y40" s="187" t="b">
        <f t="shared" si="0"/>
        <v>1</v>
      </c>
      <c r="Z40" s="188">
        <f t="shared" si="1"/>
        <v>0.5</v>
      </c>
      <c r="AA40" s="187" t="b">
        <f t="shared" si="2"/>
        <v>1</v>
      </c>
      <c r="AB40" s="187" t="b">
        <f t="shared" si="3"/>
        <v>1</v>
      </c>
    </row>
    <row r="41" spans="1:28" s="164" customFormat="1" ht="84" x14ac:dyDescent="0.2">
      <c r="A41" s="232">
        <v>51</v>
      </c>
      <c r="B41" s="218" t="s">
        <v>638</v>
      </c>
      <c r="C41" s="218" t="s">
        <v>19</v>
      </c>
      <c r="D41" s="220" t="s">
        <v>639</v>
      </c>
      <c r="E41" s="221" t="s">
        <v>722</v>
      </c>
      <c r="F41" s="218" t="s">
        <v>53</v>
      </c>
      <c r="G41" s="233" t="s">
        <v>640</v>
      </c>
      <c r="H41" s="218" t="s">
        <v>16</v>
      </c>
      <c r="I41" s="223">
        <v>1.35</v>
      </c>
      <c r="J41" s="234" t="s">
        <v>641</v>
      </c>
      <c r="K41" s="224">
        <v>5412376</v>
      </c>
      <c r="L41" s="224">
        <v>2706188</v>
      </c>
      <c r="M41" s="225">
        <v>2706188</v>
      </c>
      <c r="N41" s="226">
        <v>0.5</v>
      </c>
      <c r="O41" s="230"/>
      <c r="P41" s="230"/>
      <c r="Q41" s="227"/>
      <c r="R41" s="227"/>
      <c r="S41" s="227">
        <v>1750000</v>
      </c>
      <c r="T41" s="227">
        <v>956188</v>
      </c>
      <c r="U41" s="227">
        <v>0</v>
      </c>
      <c r="V41" s="227"/>
      <c r="W41" s="227"/>
      <c r="X41" s="222"/>
      <c r="Y41" s="187" t="b">
        <f t="shared" si="0"/>
        <v>1</v>
      </c>
      <c r="Z41" s="188">
        <f t="shared" si="1"/>
        <v>0.5</v>
      </c>
      <c r="AA41" s="187" t="b">
        <f t="shared" si="2"/>
        <v>1</v>
      </c>
      <c r="AB41" s="187" t="b">
        <f t="shared" si="3"/>
        <v>1</v>
      </c>
    </row>
    <row r="42" spans="1:28" s="185" customFormat="1" ht="96" x14ac:dyDescent="0.2">
      <c r="A42" s="256">
        <v>52</v>
      </c>
      <c r="B42" s="246" t="s">
        <v>642</v>
      </c>
      <c r="C42" s="246" t="s">
        <v>21</v>
      </c>
      <c r="D42" s="257" t="s">
        <v>643</v>
      </c>
      <c r="E42" s="247" t="s">
        <v>723</v>
      </c>
      <c r="F42" s="246" t="s">
        <v>276</v>
      </c>
      <c r="G42" s="258" t="s">
        <v>644</v>
      </c>
      <c r="H42" s="246" t="s">
        <v>16</v>
      </c>
      <c r="I42" s="249">
        <v>0.36099999999999999</v>
      </c>
      <c r="J42" s="250" t="s">
        <v>216</v>
      </c>
      <c r="K42" s="259">
        <v>2810308</v>
      </c>
      <c r="L42" s="259">
        <v>1405154</v>
      </c>
      <c r="M42" s="255">
        <v>1405154</v>
      </c>
      <c r="N42" s="253">
        <v>0.5</v>
      </c>
      <c r="O42" s="216"/>
      <c r="P42" s="216"/>
      <c r="Q42" s="254"/>
      <c r="R42" s="254"/>
      <c r="S42" s="254">
        <v>1405154</v>
      </c>
      <c r="T42" s="254">
        <v>0</v>
      </c>
      <c r="U42" s="254">
        <v>0</v>
      </c>
      <c r="V42" s="254"/>
      <c r="W42" s="254"/>
      <c r="X42" s="278"/>
      <c r="Y42" s="187" t="b">
        <f t="shared" si="0"/>
        <v>1</v>
      </c>
      <c r="Z42" s="188">
        <f t="shared" si="1"/>
        <v>0.5</v>
      </c>
      <c r="AA42" s="187" t="b">
        <f t="shared" si="2"/>
        <v>1</v>
      </c>
      <c r="AB42" s="187" t="b">
        <f t="shared" si="3"/>
        <v>1</v>
      </c>
    </row>
    <row r="43" spans="1:28" s="185" customFormat="1" ht="24" x14ac:dyDescent="0.2">
      <c r="A43" s="282" t="s">
        <v>760</v>
      </c>
      <c r="B43" s="246" t="s">
        <v>724</v>
      </c>
      <c r="C43" s="246" t="s">
        <v>21</v>
      </c>
      <c r="D43" s="257" t="s">
        <v>725</v>
      </c>
      <c r="E43" s="247" t="s">
        <v>740</v>
      </c>
      <c r="F43" s="246" t="s">
        <v>53</v>
      </c>
      <c r="G43" s="258" t="s">
        <v>726</v>
      </c>
      <c r="H43" s="246" t="s">
        <v>16</v>
      </c>
      <c r="I43" s="249">
        <v>0.69599999999999995</v>
      </c>
      <c r="J43" s="250" t="s">
        <v>267</v>
      </c>
      <c r="K43" s="259">
        <v>3300259</v>
      </c>
      <c r="L43" s="259">
        <v>591097.94999999995</v>
      </c>
      <c r="M43" s="255">
        <f>K43-L43</f>
        <v>2709161.05</v>
      </c>
      <c r="N43" s="253">
        <v>0.5</v>
      </c>
      <c r="O43" s="216"/>
      <c r="P43" s="216"/>
      <c r="Q43" s="254"/>
      <c r="R43" s="254"/>
      <c r="S43" s="254">
        <v>591097.94999999995</v>
      </c>
      <c r="T43" s="254">
        <v>0</v>
      </c>
      <c r="U43" s="254">
        <v>0</v>
      </c>
      <c r="V43" s="254"/>
      <c r="W43" s="254"/>
      <c r="X43" s="278"/>
      <c r="Y43" s="187" t="b">
        <f t="shared" si="0"/>
        <v>1</v>
      </c>
      <c r="Z43" s="188">
        <f t="shared" si="1"/>
        <v>0.17910000000000001</v>
      </c>
      <c r="AA43" s="187" t="b">
        <f t="shared" si="2"/>
        <v>0</v>
      </c>
      <c r="AB43" s="187" t="b">
        <f t="shared" si="3"/>
        <v>1</v>
      </c>
    </row>
    <row r="44" spans="1:28" ht="22.5" customHeight="1" x14ac:dyDescent="0.2">
      <c r="A44" s="319" t="s">
        <v>31</v>
      </c>
      <c r="B44" s="319"/>
      <c r="C44" s="319"/>
      <c r="D44" s="319"/>
      <c r="E44" s="319"/>
      <c r="F44" s="319"/>
      <c r="G44" s="319"/>
      <c r="H44" s="319"/>
      <c r="I44" s="174">
        <f>SUM(I3:I43)</f>
        <v>27.014019999999999</v>
      </c>
      <c r="J44" s="269" t="s">
        <v>32</v>
      </c>
      <c r="K44" s="157">
        <f>SUM(K3:K43)</f>
        <v>128008550.84999999</v>
      </c>
      <c r="L44" s="157">
        <f>SUM(L3:L43)</f>
        <v>77571168.825000003</v>
      </c>
      <c r="M44" s="157">
        <f>SUM(M3:M43)</f>
        <v>50437382.024999991</v>
      </c>
      <c r="N44" s="160" t="s">
        <v>32</v>
      </c>
      <c r="O44" s="167">
        <v>0</v>
      </c>
      <c r="P44" s="168">
        <f t="shared" ref="P44:X44" si="4">SUM(P3:P43)</f>
        <v>0</v>
      </c>
      <c r="Q44" s="168">
        <f t="shared" si="4"/>
        <v>0</v>
      </c>
      <c r="R44" s="168">
        <f t="shared" si="4"/>
        <v>0</v>
      </c>
      <c r="S44" s="168">
        <f t="shared" si="4"/>
        <v>53634732.925000004</v>
      </c>
      <c r="T44" s="168">
        <f t="shared" si="4"/>
        <v>18127407.399999999</v>
      </c>
      <c r="U44" s="168">
        <f t="shared" si="4"/>
        <v>5809028.5</v>
      </c>
      <c r="V44" s="168">
        <f t="shared" si="4"/>
        <v>0</v>
      </c>
      <c r="W44" s="168">
        <f t="shared" si="4"/>
        <v>0</v>
      </c>
      <c r="X44" s="168">
        <f t="shared" si="4"/>
        <v>0</v>
      </c>
      <c r="Z44" s="188"/>
    </row>
    <row r="45" spans="1:28" ht="21.6" customHeight="1" x14ac:dyDescent="0.2">
      <c r="A45" s="319" t="s">
        <v>34</v>
      </c>
      <c r="B45" s="319"/>
      <c r="C45" s="319"/>
      <c r="D45" s="319"/>
      <c r="E45" s="319"/>
      <c r="F45" s="319"/>
      <c r="G45" s="319"/>
      <c r="H45" s="319"/>
      <c r="I45" s="174">
        <f>SUMIF($C$3:$C$43,"N",I3:I43)</f>
        <v>18.517020000000002</v>
      </c>
      <c r="J45" s="269" t="s">
        <v>32</v>
      </c>
      <c r="K45" s="157">
        <f>SUMIF($C$3:$C$43,"N",K3:K43)</f>
        <v>80967289.849999994</v>
      </c>
      <c r="L45" s="157">
        <f>SUMIF($C$3:$C$43,"N",L3:L43)</f>
        <v>47013285.425000012</v>
      </c>
      <c r="M45" s="157">
        <f>SUMIF($C$3:$C$43,"N",M3:M43)</f>
        <v>33954004.424999997</v>
      </c>
      <c r="N45" s="160" t="s">
        <v>32</v>
      </c>
      <c r="O45" s="167">
        <v>0</v>
      </c>
      <c r="P45" s="168">
        <f t="shared" ref="P45:X45" si="5">SUMIF($C$3:$C$43,"N",P3:P43)</f>
        <v>0</v>
      </c>
      <c r="Q45" s="168">
        <f t="shared" si="5"/>
        <v>0</v>
      </c>
      <c r="R45" s="168">
        <f t="shared" si="5"/>
        <v>0</v>
      </c>
      <c r="S45" s="168">
        <f t="shared" si="5"/>
        <v>47013285.425000012</v>
      </c>
      <c r="T45" s="168">
        <f t="shared" si="5"/>
        <v>0</v>
      </c>
      <c r="U45" s="168">
        <f t="shared" si="5"/>
        <v>0</v>
      </c>
      <c r="V45" s="168">
        <f t="shared" si="5"/>
        <v>0</v>
      </c>
      <c r="W45" s="168">
        <f t="shared" si="5"/>
        <v>0</v>
      </c>
      <c r="X45" s="168">
        <f t="shared" si="5"/>
        <v>0</v>
      </c>
    </row>
    <row r="46" spans="1:28" ht="22.5" customHeight="1" x14ac:dyDescent="0.2">
      <c r="A46" s="320" t="s">
        <v>35</v>
      </c>
      <c r="B46" s="320"/>
      <c r="C46" s="320"/>
      <c r="D46" s="320"/>
      <c r="E46" s="320"/>
      <c r="F46" s="320"/>
      <c r="G46" s="320"/>
      <c r="H46" s="320"/>
      <c r="I46" s="175">
        <f>SUMIF($C$3:$C$43,"W",I3:I43)</f>
        <v>8.4969999999999999</v>
      </c>
      <c r="J46" s="270" t="s">
        <v>32</v>
      </c>
      <c r="K46" s="155">
        <f>SUMIF($C$3:$C$43,"W",K3:K43)</f>
        <v>47041261</v>
      </c>
      <c r="L46" s="155">
        <f>SUMIF($C$3:$C$43,"W",L3:L43)</f>
        <v>30557883.400000002</v>
      </c>
      <c r="M46" s="155">
        <f>SUMIF($C$3:$C$43,"W",M3:M43)</f>
        <v>16483377.6</v>
      </c>
      <c r="N46" s="163" t="s">
        <v>32</v>
      </c>
      <c r="O46" s="166">
        <v>0</v>
      </c>
      <c r="P46" s="154">
        <f t="shared" ref="P46:X46" si="6">SUMIF($C$3:$C$43,"W",P3:P43)</f>
        <v>0</v>
      </c>
      <c r="Q46" s="154">
        <f t="shared" si="6"/>
        <v>0</v>
      </c>
      <c r="R46" s="154">
        <f t="shared" si="6"/>
        <v>0</v>
      </c>
      <c r="S46" s="154">
        <f t="shared" si="6"/>
        <v>6621447.5</v>
      </c>
      <c r="T46" s="154">
        <f t="shared" si="6"/>
        <v>18127407.399999999</v>
      </c>
      <c r="U46" s="154">
        <f t="shared" si="6"/>
        <v>5809028.5</v>
      </c>
      <c r="V46" s="154">
        <f t="shared" si="6"/>
        <v>0</v>
      </c>
      <c r="W46" s="154">
        <f t="shared" si="6"/>
        <v>0</v>
      </c>
      <c r="X46" s="154">
        <f t="shared" si="6"/>
        <v>0</v>
      </c>
    </row>
    <row r="48" spans="1:28" x14ac:dyDescent="0.2">
      <c r="A48" s="150" t="s">
        <v>36</v>
      </c>
      <c r="L48" s="170"/>
    </row>
    <row r="49" spans="1:13" x14ac:dyDescent="0.2">
      <c r="A49" s="164" t="s">
        <v>37</v>
      </c>
      <c r="L49" s="170"/>
    </row>
    <row r="50" spans="1:13" x14ac:dyDescent="0.2">
      <c r="A50" s="150" t="s">
        <v>66</v>
      </c>
      <c r="L50" s="170"/>
    </row>
    <row r="51" spans="1:13" x14ac:dyDescent="0.2">
      <c r="A51" s="165" t="s">
        <v>67</v>
      </c>
    </row>
    <row r="56" spans="1:13" x14ac:dyDescent="0.2">
      <c r="M56" s="170"/>
    </row>
  </sheetData>
  <mergeCells count="18">
    <mergeCell ref="A44:H44"/>
    <mergeCell ref="A45:H45"/>
    <mergeCell ref="A46:H46"/>
    <mergeCell ref="K1:K2"/>
    <mergeCell ref="L1:L2"/>
    <mergeCell ref="A1:A2"/>
    <mergeCell ref="B1:B2"/>
    <mergeCell ref="C1:C2"/>
    <mergeCell ref="D1:D2"/>
    <mergeCell ref="E1:E2"/>
    <mergeCell ref="M1:M2"/>
    <mergeCell ref="N1:N2"/>
    <mergeCell ref="O1:X1"/>
    <mergeCell ref="F1:F2"/>
    <mergeCell ref="G1:G2"/>
    <mergeCell ref="H1:H2"/>
    <mergeCell ref="I1:I2"/>
    <mergeCell ref="J1:J2"/>
  </mergeCells>
  <dataValidations count="2">
    <dataValidation type="list" operator="equal" allowBlank="1" showInputMessage="1" showErrorMessage="1" sqref="G4:G43 H3" xr:uid="{00000000-0002-0000-0400-000000000000}">
      <formula1>"B,P,R"</formula1>
      <formula2>0</formula2>
    </dataValidation>
    <dataValidation type="list" operator="equal" allowBlank="1" showInputMessage="1" showErrorMessage="1" sqref="C3:C43" xr:uid="{00000000-0002-0000-0400-000001000000}">
      <formula1>"N,W"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8" scale="60" firstPageNumber="0" fitToHeight="0" orientation="landscape" r:id="rId1"/>
  <headerFooter>
    <oddHeader>&amp;LWojewództwo Dolnośląskie- zadania gminne lista rezerwowa</oddHeader>
    <oddFooter>&amp;C&amp;"Times New Roman,Normalny"&amp;12Strona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02 - dolnośląskie</vt:lpstr>
      <vt:lpstr>pow podst</vt:lpstr>
      <vt:lpstr>gm podst</vt:lpstr>
      <vt:lpstr>pow rez</vt:lpstr>
      <vt:lpstr>gm rez</vt:lpstr>
      <vt:lpstr>'02 - dolnośląskie'!Obszar_wydruku</vt:lpstr>
      <vt:lpstr>'gm podst'!Obszar_wydruku</vt:lpstr>
      <vt:lpstr>'gm rez'!Obszar_wydruku</vt:lpstr>
      <vt:lpstr>'pow podst'!Obszar_wydruku</vt:lpstr>
      <vt:lpstr>'pow rez'!Obszar_wydruku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Urszula Czerkawska</dc:creator>
  <dc:description/>
  <cp:lastModifiedBy>Urszula Czerkawska</cp:lastModifiedBy>
  <cp:revision>11</cp:revision>
  <cp:lastPrinted>2023-11-13T14:35:08Z</cp:lastPrinted>
  <dcterms:created xsi:type="dcterms:W3CDTF">2021-03-22T00:21:20Z</dcterms:created>
  <dcterms:modified xsi:type="dcterms:W3CDTF">2023-11-14T11:53:26Z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