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<sst xmlns="http://schemas.openxmlformats.org/spreadsheetml/2006/main" count="95" uniqueCount="78">
  <si>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</si>
  <si>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</si>
  <si>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</si>
  <si>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</si>
  <si>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</si>
  <si>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</si>
  <si>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</si>
  <si>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</si>
  <si>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</si>
  <si>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</si>
  <si>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</si>
  <si>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</si>
  <si>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</si>
  <si>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</si>
  <si>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</si>
  <si>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</si>
  <si>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</si>
  <si>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</si>
  <si>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</si>
  <si>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</si>
  <si>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</si>
  <si>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</si>
  <si>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</si>
  <si>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</si>
  <si>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</si>
  <si>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</si>
  <si>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</si>
  <si>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</si>
  <si>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</si>
  <si>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</si>
  <si>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</si>
  <si>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</si>
  <si>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</si>
  <si>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</si>
  <si>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</si>
  <si>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</si>
  <si>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</si>
  <si>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</si>
  <si>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</si>
  <si>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</si>
  <si>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</si>
  <si>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</si>
  <si>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</si>
  <si>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</si>
  <si>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</si>
  <si>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</si>
  <si>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</si>
  <si>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</si>
  <si>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</si>
  <si>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</si>
  <si>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</si>
  <si>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</si>
  <si>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</si>
  <si>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</si>
  <si>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</si>
  <si>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</si>
  <si>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</si>
  <si>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</si>
  <si>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</si>
  <si>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</si>
  <si>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</si>
  <si>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</si>
  <si>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</si>
  <si>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</si>
  <si>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</si>
  <si>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</si>
  <si>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</si>
  <si>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</si>
  <si>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</si>
  <si>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</si>
  <si>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</si>
  <si>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</si>
  <si>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</si>
  <si>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</si>
  <si>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</si>
  <si>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</si>
  <si>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</si>
  <si>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III Kwartały 2020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</si>
</sst>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81909975096.3</f>
        <v>81909975096.3</v>
      </c>
      <c r="C13" s="20">
        <f>63080678824.46</f>
        <v>63080678824.46</v>
      </c>
      <c r="D13" s="20">
        <f>3623039396.22</f>
        <v>3623039396.22</v>
      </c>
      <c r="E13" s="20">
        <f>713234688.05</f>
        <v>713234688.05</v>
      </c>
      <c r="F13" s="20">
        <f>566346240.13</f>
        <v>566346240.13</v>
      </c>
      <c r="G13" s="20">
        <f>2335922396.35</f>
        <v>2335922396.35</v>
      </c>
      <c r="H13" s="20">
        <f>7536071.69</f>
        <v>7536071.69</v>
      </c>
      <c r="I13" s="20">
        <f>0</f>
        <v>0</v>
      </c>
      <c r="J13" s="20">
        <f>56025604554.53</f>
        <v>56025604554.53</v>
      </c>
      <c r="K13" s="20">
        <f>1402063433.1</f>
        <v>1402063433.1</v>
      </c>
      <c r="L13" s="20">
        <f>1976935662.63</f>
        <v>1976935662.63</v>
      </c>
      <c r="M13" s="20">
        <f>35960985.71</f>
        <v>35960985.71</v>
      </c>
      <c r="N13" s="20">
        <f>17074792.27</f>
        <v>17074792.27</v>
      </c>
      <c r="O13" s="20">
        <f>18829296271.84</f>
        <v>18829296271.84</v>
      </c>
      <c r="P13" s="20">
        <f>18709296136</f>
        <v>18709296136</v>
      </c>
      <c r="Q13" s="20">
        <f>120000135.84</f>
        <v>120000135.84</v>
      </c>
    </row>
    <row r="14" spans="1:17" ht="41.25" customHeight="1">
      <c r="A14" s="18" t="s">
        <v>73</v>
      </c>
      <c r="B14" s="20">
        <f>3264790464.67</f>
        <v>3264790464.67</v>
      </c>
      <c r="C14" s="20">
        <f>3264790464.67</f>
        <v>3264790464.67</v>
      </c>
      <c r="D14" s="20">
        <f>2074378.11</f>
        <v>2074378.11</v>
      </c>
      <c r="E14" s="20">
        <f>0</f>
        <v>0</v>
      </c>
      <c r="F14" s="20">
        <f>0</f>
        <v>0</v>
      </c>
      <c r="G14" s="20">
        <f>2074378.11</f>
        <v>2074378.11</v>
      </c>
      <c r="H14" s="20">
        <f>0</f>
        <v>0</v>
      </c>
      <c r="I14" s="20">
        <f>0</f>
        <v>0</v>
      </c>
      <c r="J14" s="20">
        <f>3198589725.87</f>
        <v>3198589725.87</v>
      </c>
      <c r="K14" s="20">
        <f>61382000</f>
        <v>61382000</v>
      </c>
      <c r="L14" s="20">
        <f>2744360.69</f>
        <v>2744360.69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>
      <c r="A15" s="15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3264790464.67</f>
        <v>3264790464.67</v>
      </c>
      <c r="C16" s="21">
        <f>3264790464.67</f>
        <v>3264790464.67</v>
      </c>
      <c r="D16" s="21">
        <f>2074378.11</f>
        <v>2074378.11</v>
      </c>
      <c r="E16" s="21">
        <f>0</f>
        <v>0</v>
      </c>
      <c r="F16" s="21">
        <f>0</f>
        <v>0</v>
      </c>
      <c r="G16" s="21">
        <f>2074378.11</f>
        <v>2074378.11</v>
      </c>
      <c r="H16" s="21">
        <f>0</f>
        <v>0</v>
      </c>
      <c r="I16" s="21">
        <f>0</f>
        <v>0</v>
      </c>
      <c r="J16" s="21">
        <f>3198589725.87</f>
        <v>3198589725.87</v>
      </c>
      <c r="K16" s="21">
        <f>61382000</f>
        <v>61382000</v>
      </c>
      <c r="L16" s="21">
        <f>2744360.69</f>
        <v>2744360.69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3" customHeight="1">
      <c r="A17" s="18" t="s">
        <v>74</v>
      </c>
      <c r="B17" s="20">
        <f>78581994110.93</f>
        <v>78581994110.93</v>
      </c>
      <c r="C17" s="20">
        <f>59752697974.93</f>
        <v>59752697974.93</v>
      </c>
      <c r="D17" s="20">
        <f>3602280696.55</f>
        <v>3602280696.55</v>
      </c>
      <c r="E17" s="20">
        <f>712794975.91</f>
        <v>712794975.91</v>
      </c>
      <c r="F17" s="20">
        <f>563949359.13</f>
        <v>563949359.13</v>
      </c>
      <c r="G17" s="20">
        <f>2324686597.28</f>
        <v>2324686597.28</v>
      </c>
      <c r="H17" s="20">
        <f>849764.23</f>
        <v>849764.23</v>
      </c>
      <c r="I17" s="20">
        <f>0</f>
        <v>0</v>
      </c>
      <c r="J17" s="20">
        <f>52826999666.71</f>
        <v>52826999666.71</v>
      </c>
      <c r="K17" s="20">
        <f>1339376582.81</f>
        <v>1339376582.81</v>
      </c>
      <c r="L17" s="20">
        <f>1959043430.59</f>
        <v>1959043430.59</v>
      </c>
      <c r="M17" s="20">
        <f>15191710.93</f>
        <v>15191710.93</v>
      </c>
      <c r="N17" s="20">
        <f>9805887.34</f>
        <v>9805887.34</v>
      </c>
      <c r="O17" s="20">
        <f>18829296136</f>
        <v>18829296136</v>
      </c>
      <c r="P17" s="20">
        <f>18709296136</f>
        <v>18709296136</v>
      </c>
      <c r="Q17" s="20">
        <f>120000000</f>
        <v>120000000</v>
      </c>
    </row>
    <row r="18" spans="1:17" ht="22.5">
      <c r="A18" s="15" t="s">
        <v>46</v>
      </c>
      <c r="B18" s="21">
        <f>879857860.78</f>
        <v>879857860.78</v>
      </c>
      <c r="C18" s="21">
        <f>879857860.78</f>
        <v>879857860.78</v>
      </c>
      <c r="D18" s="21">
        <f>30176530.47</f>
        <v>30176530.47</v>
      </c>
      <c r="E18" s="21">
        <f>16090265.02</f>
        <v>16090265.02</v>
      </c>
      <c r="F18" s="21">
        <f>3080010.23</f>
        <v>3080010.23</v>
      </c>
      <c r="G18" s="21">
        <f>11006255.22</f>
        <v>11006255.22</v>
      </c>
      <c r="H18" s="21">
        <f>0</f>
        <v>0</v>
      </c>
      <c r="I18" s="21">
        <f>0</f>
        <v>0</v>
      </c>
      <c r="J18" s="21">
        <f>819324156.51</f>
        <v>819324156.51</v>
      </c>
      <c r="K18" s="21">
        <f>27637134.06</f>
        <v>27637134.06</v>
      </c>
      <c r="L18" s="21">
        <f>1060851.39</f>
        <v>1060851.39</v>
      </c>
      <c r="M18" s="21">
        <f>1061320.7</f>
        <v>1061320.7</v>
      </c>
      <c r="N18" s="21">
        <f>597867.65</f>
        <v>597867.65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77702136250.15</f>
        <v>77702136250.15</v>
      </c>
      <c r="C19" s="21">
        <f>58872840114.15</f>
        <v>58872840114.15</v>
      </c>
      <c r="D19" s="21">
        <f>3572104166.08</f>
        <v>3572104166.08</v>
      </c>
      <c r="E19" s="21">
        <f>696704710.89</f>
        <v>696704710.89</v>
      </c>
      <c r="F19" s="21">
        <f>560869348.9</f>
        <v>560869348.9</v>
      </c>
      <c r="G19" s="21">
        <f>2313680342.06</f>
        <v>2313680342.06</v>
      </c>
      <c r="H19" s="21">
        <f>849764.23</f>
        <v>849764.23</v>
      </c>
      <c r="I19" s="21">
        <f>0</f>
        <v>0</v>
      </c>
      <c r="J19" s="21">
        <f>52007675510.2</f>
        <v>52007675510.2</v>
      </c>
      <c r="K19" s="21">
        <f>1311739448.75</f>
        <v>1311739448.75</v>
      </c>
      <c r="L19" s="21">
        <f>1957982579.2</f>
        <v>1957982579.2</v>
      </c>
      <c r="M19" s="21">
        <f>14130390.23</f>
        <v>14130390.23</v>
      </c>
      <c r="N19" s="21">
        <f>9208019.69</f>
        <v>9208019.69</v>
      </c>
      <c r="O19" s="21">
        <f>18829296136</f>
        <v>18829296136</v>
      </c>
      <c r="P19" s="21">
        <f>18709296136</f>
        <v>18709296136</v>
      </c>
      <c r="Q19" s="21">
        <f>120000000</f>
        <v>120000000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63190520.7</f>
        <v>63190520.7</v>
      </c>
      <c r="C21" s="20">
        <f>63190384.86</f>
        <v>63190384.86</v>
      </c>
      <c r="D21" s="20">
        <f>18684321.56</f>
        <v>18684321.56</v>
      </c>
      <c r="E21" s="20">
        <f>439712.14</f>
        <v>439712.14</v>
      </c>
      <c r="F21" s="20">
        <f>2396881</f>
        <v>2396881</v>
      </c>
      <c r="G21" s="20">
        <f>9161420.96</f>
        <v>9161420.96</v>
      </c>
      <c r="H21" s="20">
        <f>6686307.46</f>
        <v>6686307.46</v>
      </c>
      <c r="I21" s="20">
        <f>0</f>
        <v>0</v>
      </c>
      <c r="J21" s="20">
        <f>15161.95</f>
        <v>15161.95</v>
      </c>
      <c r="K21" s="20">
        <f>1304850.29</f>
        <v>1304850.29</v>
      </c>
      <c r="L21" s="20">
        <f>15147871.35</f>
        <v>15147871.35</v>
      </c>
      <c r="M21" s="20">
        <f>20769274.78</f>
        <v>20769274.78</v>
      </c>
      <c r="N21" s="20">
        <f>7268904.93</f>
        <v>7268904.93</v>
      </c>
      <c r="O21" s="20">
        <f>135.84</f>
        <v>135.84</v>
      </c>
      <c r="P21" s="20">
        <f>0</f>
        <v>0</v>
      </c>
      <c r="Q21" s="20">
        <f>135.84</f>
        <v>135.84</v>
      </c>
    </row>
    <row r="22" spans="1:17" ht="33" customHeight="1">
      <c r="A22" s="16" t="s">
        <v>49</v>
      </c>
      <c r="B22" s="21">
        <f>31265440.71</f>
        <v>31265440.71</v>
      </c>
      <c r="C22" s="21">
        <f>31265440.71</f>
        <v>31265440.71</v>
      </c>
      <c r="D22" s="21">
        <f>1323271.07</f>
        <v>1323271.07</v>
      </c>
      <c r="E22" s="21">
        <f>569.88</f>
        <v>569.88</v>
      </c>
      <c r="F22" s="21">
        <f>410</f>
        <v>410</v>
      </c>
      <c r="G22" s="21">
        <f>1322291.19</f>
        <v>1322291.19</v>
      </c>
      <c r="H22" s="21">
        <f>0</f>
        <v>0</v>
      </c>
      <c r="I22" s="21">
        <f>0</f>
        <v>0</v>
      </c>
      <c r="J22" s="21">
        <f>0</f>
        <v>0</v>
      </c>
      <c r="K22" s="21">
        <f>202423.17</f>
        <v>202423.17</v>
      </c>
      <c r="L22" s="21">
        <f>12807393.5</f>
        <v>12807393.5</v>
      </c>
      <c r="M22" s="21">
        <f>11089230.54</f>
        <v>11089230.54</v>
      </c>
      <c r="N22" s="21">
        <f>5843122.43</f>
        <v>5843122.43</v>
      </c>
      <c r="O22" s="21">
        <f>0</f>
        <v>0</v>
      </c>
      <c r="P22" s="21">
        <f>0</f>
        <v>0</v>
      </c>
      <c r="Q22" s="21">
        <f>0</f>
        <v>0</v>
      </c>
    </row>
    <row r="23" spans="1:17" ht="23.25" customHeight="1">
      <c r="A23" s="16" t="s">
        <v>50</v>
      </c>
      <c r="B23" s="21">
        <f>31925079.99</f>
        <v>31925079.99</v>
      </c>
      <c r="C23" s="21">
        <f>31924944.15</f>
        <v>31924944.15</v>
      </c>
      <c r="D23" s="21">
        <f>17361050.49</f>
        <v>17361050.49</v>
      </c>
      <c r="E23" s="21">
        <f>439142.26</f>
        <v>439142.26</v>
      </c>
      <c r="F23" s="21">
        <f>2396471</f>
        <v>2396471</v>
      </c>
      <c r="G23" s="21">
        <f>7839129.77</f>
        <v>7839129.77</v>
      </c>
      <c r="H23" s="21">
        <f>6686307.46</f>
        <v>6686307.46</v>
      </c>
      <c r="I23" s="21">
        <f>0</f>
        <v>0</v>
      </c>
      <c r="J23" s="21">
        <f>15161.95</f>
        <v>15161.95</v>
      </c>
      <c r="K23" s="21">
        <f>1102427.12</f>
        <v>1102427.12</v>
      </c>
      <c r="L23" s="21">
        <f>2340477.85</f>
        <v>2340477.85</v>
      </c>
      <c r="M23" s="21">
        <f>9680044.24</f>
        <v>9680044.24</v>
      </c>
      <c r="N23" s="21">
        <f>1425782.5</f>
        <v>1425782.5</v>
      </c>
      <c r="O23" s="21">
        <f>135.84</f>
        <v>135.84</v>
      </c>
      <c r="P23" s="21">
        <f>0</f>
        <v>0</v>
      </c>
      <c r="Q23" s="21">
        <f>135.84</f>
        <v>135.84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40155206.34</f>
        <v>40155206.34</v>
      </c>
      <c r="C41" s="22">
        <f>40155206.34</f>
        <v>40155206.34</v>
      </c>
      <c r="D41" s="22">
        <f>2275000</f>
        <v>2275000</v>
      </c>
      <c r="E41" s="22">
        <f>50000</f>
        <v>50000</v>
      </c>
      <c r="F41" s="22">
        <f>0</f>
        <v>0</v>
      </c>
      <c r="G41" s="22">
        <f>2225000</f>
        <v>2225000</v>
      </c>
      <c r="H41" s="22">
        <f>0</f>
        <v>0</v>
      </c>
      <c r="I41" s="22">
        <f>0</f>
        <v>0</v>
      </c>
      <c r="J41" s="22">
        <f>29444940.6</f>
        <v>29444940.6</v>
      </c>
      <c r="K41" s="22">
        <f>502225.67</f>
        <v>502225.67</v>
      </c>
      <c r="L41" s="22">
        <f>5819189.33</f>
        <v>5819189.33</v>
      </c>
      <c r="M41" s="22">
        <f>2063850.74</f>
        <v>2063850.74</v>
      </c>
      <c r="N41" s="22">
        <f>50000</f>
        <v>50000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3296215.09</f>
        <v>3296215.09</v>
      </c>
      <c r="C42" s="23">
        <f>3296215.09</f>
        <v>3296215.09</v>
      </c>
      <c r="D42" s="23">
        <f>2225000</f>
        <v>2225000</v>
      </c>
      <c r="E42" s="23">
        <f>0</f>
        <v>0</v>
      </c>
      <c r="F42" s="23">
        <f>0</f>
        <v>0</v>
      </c>
      <c r="G42" s="23">
        <f>2225000</f>
        <v>2225000</v>
      </c>
      <c r="H42" s="23">
        <f>0</f>
        <v>0</v>
      </c>
      <c r="I42" s="23">
        <f>0</f>
        <v>0</v>
      </c>
      <c r="J42" s="23">
        <f>6000</f>
        <v>6000</v>
      </c>
      <c r="K42" s="23">
        <f>0</f>
        <v>0</v>
      </c>
      <c r="L42" s="23">
        <f>144191.4</f>
        <v>144191.4</v>
      </c>
      <c r="M42" s="23">
        <f>871023.69</f>
        <v>871023.69</v>
      </c>
      <c r="N42" s="23">
        <f>50000</f>
        <v>50000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36858991.25</f>
        <v>36858991.25</v>
      </c>
      <c r="C43" s="23">
        <f>36858991.25</f>
        <v>36858991.25</v>
      </c>
      <c r="D43" s="23">
        <f>50000</f>
        <v>50000</v>
      </c>
      <c r="E43" s="23">
        <f>50000</f>
        <v>50000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29438940.6</f>
        <v>29438940.6</v>
      </c>
      <c r="K43" s="23">
        <f>502225.67</f>
        <v>502225.67</v>
      </c>
      <c r="L43" s="23">
        <f>5674997.93</f>
        <v>5674997.93</v>
      </c>
      <c r="M43" s="23">
        <f>1192827.05</f>
        <v>1192827.05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2648520453.89</f>
        <v>2648520453.89</v>
      </c>
      <c r="C44" s="22">
        <f>2648509409.19</f>
        <v>2648509409.19</v>
      </c>
      <c r="D44" s="22">
        <f>561192400.25</f>
        <v>561192400.25</v>
      </c>
      <c r="E44" s="22">
        <f>673076.72</f>
        <v>673076.72</v>
      </c>
      <c r="F44" s="22">
        <f>1869518.28</f>
        <v>1869518.28</v>
      </c>
      <c r="G44" s="22">
        <f>558649805.25</f>
        <v>558649805.25</v>
      </c>
      <c r="H44" s="22">
        <f>0</f>
        <v>0</v>
      </c>
      <c r="I44" s="22">
        <f>0</f>
        <v>0</v>
      </c>
      <c r="J44" s="22">
        <f>1284456.58</f>
        <v>1284456.58</v>
      </c>
      <c r="K44" s="22">
        <f>250182.14</f>
        <v>250182.14</v>
      </c>
      <c r="L44" s="22">
        <f>1116074613.19</f>
        <v>1116074613.19</v>
      </c>
      <c r="M44" s="22">
        <f>928542236.53</f>
        <v>928542236.53</v>
      </c>
      <c r="N44" s="22">
        <f>41165520.5</f>
        <v>41165520.5</v>
      </c>
      <c r="O44" s="22">
        <f>11044.7</f>
        <v>11044.7</v>
      </c>
      <c r="P44" s="22">
        <f>8621.41</f>
        <v>8621.41</v>
      </c>
      <c r="Q44" s="22">
        <f>2423.29</f>
        <v>2423.29</v>
      </c>
    </row>
    <row r="45" spans="1:17" ht="32.25" customHeight="1">
      <c r="A45" s="17" t="s">
        <v>29</v>
      </c>
      <c r="B45" s="23">
        <f>1367246375.5</f>
        <v>1367246375.5</v>
      </c>
      <c r="C45" s="23">
        <f>1367246375.5</f>
        <v>1367246375.5</v>
      </c>
      <c r="D45" s="23">
        <f>55251435.72</f>
        <v>55251435.72</v>
      </c>
      <c r="E45" s="23">
        <f>309028.9</f>
        <v>309028.9</v>
      </c>
      <c r="F45" s="23">
        <f>1000000</f>
        <v>1000000</v>
      </c>
      <c r="G45" s="23">
        <f>53942406.82</f>
        <v>53942406.82</v>
      </c>
      <c r="H45" s="23">
        <f>0</f>
        <v>0</v>
      </c>
      <c r="I45" s="23">
        <f>0</f>
        <v>0</v>
      </c>
      <c r="J45" s="23">
        <f>153658.17</f>
        <v>153658.17</v>
      </c>
      <c r="K45" s="23">
        <f>209999</f>
        <v>209999</v>
      </c>
      <c r="L45" s="23">
        <f>703140015.99</f>
        <v>703140015.99</v>
      </c>
      <c r="M45" s="23">
        <f>591149443.9</f>
        <v>591149443.9</v>
      </c>
      <c r="N45" s="23">
        <f>17341822.72</f>
        <v>17341822.72</v>
      </c>
      <c r="O45" s="23">
        <f>0</f>
        <v>0</v>
      </c>
      <c r="P45" s="23">
        <f>0</f>
        <v>0</v>
      </c>
      <c r="Q45" s="23">
        <f>0</f>
        <v>0</v>
      </c>
    </row>
    <row r="46" spans="1:17" ht="32.25" customHeight="1">
      <c r="A46" s="17" t="s">
        <v>30</v>
      </c>
      <c r="B46" s="23">
        <f>1281274078.39</f>
        <v>1281274078.39</v>
      </c>
      <c r="C46" s="23">
        <f>1281263033.69</f>
        <v>1281263033.69</v>
      </c>
      <c r="D46" s="23">
        <f>505940964.53</f>
        <v>505940964.53</v>
      </c>
      <c r="E46" s="23">
        <f>364047.82</f>
        <v>364047.82</v>
      </c>
      <c r="F46" s="23">
        <f>869518.28</f>
        <v>869518.28</v>
      </c>
      <c r="G46" s="23">
        <f>504707398.43</f>
        <v>504707398.43</v>
      </c>
      <c r="H46" s="23">
        <f>0</f>
        <v>0</v>
      </c>
      <c r="I46" s="23">
        <f>0</f>
        <v>0</v>
      </c>
      <c r="J46" s="23">
        <f>1130798.41</f>
        <v>1130798.41</v>
      </c>
      <c r="K46" s="23">
        <f>40183.14</f>
        <v>40183.14</v>
      </c>
      <c r="L46" s="23">
        <f>412934597.2</f>
        <v>412934597.2</v>
      </c>
      <c r="M46" s="23">
        <f>337392792.63</f>
        <v>337392792.63</v>
      </c>
      <c r="N46" s="23">
        <f>23823697.78</f>
        <v>23823697.78</v>
      </c>
      <c r="O46" s="23">
        <f>11044.7</f>
        <v>11044.7</v>
      </c>
      <c r="P46" s="23">
        <f>8621.41</f>
        <v>8621.41</v>
      </c>
      <c r="Q46" s="23">
        <f>2423.29</f>
        <v>2423.29</v>
      </c>
    </row>
    <row r="47" spans="1:17" ht="35.25" customHeight="1">
      <c r="A47" s="27" t="s">
        <v>40</v>
      </c>
      <c r="B47" s="22">
        <f>37732853691.18</f>
        <v>37732853691.18</v>
      </c>
      <c r="C47" s="22">
        <f>37732702101.99</f>
        <v>37732702101.99</v>
      </c>
      <c r="D47" s="22">
        <f>40204048.13</f>
        <v>40204048.13</v>
      </c>
      <c r="E47" s="22">
        <f>13503983.21</f>
        <v>13503983.21</v>
      </c>
      <c r="F47" s="22">
        <f>42085.61</f>
        <v>42085.61</v>
      </c>
      <c r="G47" s="22">
        <f>26615031.98</f>
        <v>26615031.98</v>
      </c>
      <c r="H47" s="22">
        <f>42947.33</f>
        <v>42947.33</v>
      </c>
      <c r="I47" s="22">
        <f>21679150.63</f>
        <v>21679150.63</v>
      </c>
      <c r="J47" s="22">
        <f>37664837509.45</f>
        <v>37664837509.45</v>
      </c>
      <c r="K47" s="22">
        <f>64177.61</f>
        <v>64177.61</v>
      </c>
      <c r="L47" s="22">
        <f>5522326.5</f>
        <v>5522326.5</v>
      </c>
      <c r="M47" s="22">
        <f>142085.29</f>
        <v>142085.29</v>
      </c>
      <c r="N47" s="22">
        <f>252804.38</f>
        <v>252804.38</v>
      </c>
      <c r="O47" s="22">
        <f>151589.19</f>
        <v>151589.19</v>
      </c>
      <c r="P47" s="22">
        <f>151589.19</f>
        <v>151589.19</v>
      </c>
      <c r="Q47" s="22">
        <f>0</f>
        <v>0</v>
      </c>
    </row>
    <row r="48" spans="1:17" ht="28.5" customHeight="1">
      <c r="A48" s="17" t="s">
        <v>31</v>
      </c>
      <c r="B48" s="23">
        <f>19026284.66</f>
        <v>19026284.66</v>
      </c>
      <c r="C48" s="23">
        <f>19026284.66</f>
        <v>19026284.66</v>
      </c>
      <c r="D48" s="23">
        <f>19026284.66</f>
        <v>19026284.66</v>
      </c>
      <c r="E48" s="23">
        <f>0</f>
        <v>0</v>
      </c>
      <c r="F48" s="23">
        <f>0</f>
        <v>0</v>
      </c>
      <c r="G48" s="23">
        <f>18983337.33</f>
        <v>18983337.33</v>
      </c>
      <c r="H48" s="23">
        <f>42947.33</f>
        <v>42947.33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33458036630.85</f>
        <v>33458036630.85</v>
      </c>
      <c r="C49" s="23">
        <f>33458036630.85</f>
        <v>33458036630.85</v>
      </c>
      <c r="D49" s="23">
        <f>20913022.95</f>
        <v>20913022.95</v>
      </c>
      <c r="E49" s="23">
        <f>13405462.87</f>
        <v>13405462.87</v>
      </c>
      <c r="F49" s="23">
        <f>7170.03</f>
        <v>7170.03</v>
      </c>
      <c r="G49" s="23">
        <f>7500390.05</f>
        <v>7500390.05</v>
      </c>
      <c r="H49" s="23">
        <f>0</f>
        <v>0</v>
      </c>
      <c r="I49" s="23">
        <f>21626734.63</f>
        <v>21626734.63</v>
      </c>
      <c r="J49" s="23">
        <f>33411096146.11</f>
        <v>33411096146.11</v>
      </c>
      <c r="K49" s="23">
        <f>34266.51</f>
        <v>34266.51</v>
      </c>
      <c r="L49" s="23">
        <f>4257565.2</f>
        <v>4257565.2</v>
      </c>
      <c r="M49" s="23">
        <f>14612.33</f>
        <v>14612.33</v>
      </c>
      <c r="N49" s="23">
        <f>94283.12</f>
        <v>94283.12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4255790775.67</f>
        <v>4255790775.67</v>
      </c>
      <c r="C50" s="23">
        <f>4255639186.48</f>
        <v>4255639186.48</v>
      </c>
      <c r="D50" s="23">
        <f>264740.52</f>
        <v>264740.52</v>
      </c>
      <c r="E50" s="23">
        <f>98520.34</f>
        <v>98520.34</v>
      </c>
      <c r="F50" s="23">
        <f>34915.58</f>
        <v>34915.58</v>
      </c>
      <c r="G50" s="23">
        <f>131304.6</f>
        <v>131304.6</v>
      </c>
      <c r="H50" s="23">
        <f>0</f>
        <v>0</v>
      </c>
      <c r="I50" s="23">
        <f>52416</f>
        <v>52416</v>
      </c>
      <c r="J50" s="23">
        <f>4253741363.34</f>
        <v>4253741363.34</v>
      </c>
      <c r="K50" s="23">
        <f>29911.1</f>
        <v>29911.1</v>
      </c>
      <c r="L50" s="23">
        <f>1264761.3</f>
        <v>1264761.3</v>
      </c>
      <c r="M50" s="23">
        <f>127472.96</f>
        <v>127472.96</v>
      </c>
      <c r="N50" s="23">
        <f>158521.26</f>
        <v>158521.26</v>
      </c>
      <c r="O50" s="23">
        <f>151589.19</f>
        <v>151589.19</v>
      </c>
      <c r="P50" s="23">
        <f>151589.19</f>
        <v>151589.19</v>
      </c>
      <c r="Q50" s="23">
        <f>0</f>
        <v>0</v>
      </c>
    </row>
    <row r="51" spans="1:17" ht="35.25" customHeight="1">
      <c r="A51" s="27" t="s">
        <v>41</v>
      </c>
      <c r="B51" s="22">
        <f>24239184030.38</f>
        <v>24239184030.38</v>
      </c>
      <c r="C51" s="22">
        <f>24191888237.66</f>
        <v>24191888237.66</v>
      </c>
      <c r="D51" s="22">
        <f>552789815.59</f>
        <v>552789815.59</v>
      </c>
      <c r="E51" s="22">
        <f>199552866.28</f>
        <v>199552866.28</v>
      </c>
      <c r="F51" s="22">
        <f>28081850.66</f>
        <v>28081850.66</v>
      </c>
      <c r="G51" s="22">
        <f>321434561.86</f>
        <v>321434561.86</v>
      </c>
      <c r="H51" s="22">
        <f>3720536.79</f>
        <v>3720536.79</v>
      </c>
      <c r="I51" s="22">
        <f>0</f>
        <v>0</v>
      </c>
      <c r="J51" s="22">
        <f>12483553.49</f>
        <v>12483553.49</v>
      </c>
      <c r="K51" s="22">
        <f>32147469.39</f>
        <v>32147469.39</v>
      </c>
      <c r="L51" s="22">
        <f>6566159214.11</f>
        <v>6566159214.11</v>
      </c>
      <c r="M51" s="22">
        <f>16879387760</f>
        <v>16879387760</v>
      </c>
      <c r="N51" s="22">
        <f>148920425.08</f>
        <v>148920425.08</v>
      </c>
      <c r="O51" s="22">
        <f>47295792.72</f>
        <v>47295792.72</v>
      </c>
      <c r="P51" s="22">
        <f>29452528.54</f>
        <v>29452528.54</v>
      </c>
      <c r="Q51" s="22">
        <f>17843264.18</f>
        <v>17843264.18</v>
      </c>
    </row>
    <row r="52" spans="1:17" ht="28.5" customHeight="1">
      <c r="A52" s="17" t="s">
        <v>34</v>
      </c>
      <c r="B52" s="23">
        <f>6901289154.1</f>
        <v>6901289154.1</v>
      </c>
      <c r="C52" s="23">
        <f>6899467960.03</f>
        <v>6899467960.03</v>
      </c>
      <c r="D52" s="23">
        <f>85865108.86</f>
        <v>85865108.86</v>
      </c>
      <c r="E52" s="23">
        <f>3619189.53</f>
        <v>3619189.53</v>
      </c>
      <c r="F52" s="23">
        <f>907347.53</f>
        <v>907347.53</v>
      </c>
      <c r="G52" s="23">
        <f>80524030.09</f>
        <v>80524030.09</v>
      </c>
      <c r="H52" s="23">
        <f>814541.71</f>
        <v>814541.71</v>
      </c>
      <c r="I52" s="23">
        <f>0</f>
        <v>0</v>
      </c>
      <c r="J52" s="23">
        <f>1218655.96</f>
        <v>1218655.96</v>
      </c>
      <c r="K52" s="23">
        <f>3516907.73</f>
        <v>3516907.73</v>
      </c>
      <c r="L52" s="23">
        <f>1077068933.25</f>
        <v>1077068933.25</v>
      </c>
      <c r="M52" s="23">
        <f>5692834815.3</f>
        <v>5692834815.3</v>
      </c>
      <c r="N52" s="23">
        <f>38963538.93</f>
        <v>38963538.93</v>
      </c>
      <c r="O52" s="23">
        <f>1821194.07</f>
        <v>1821194.07</v>
      </c>
      <c r="P52" s="23">
        <f>853075.63</f>
        <v>853075.63</v>
      </c>
      <c r="Q52" s="23">
        <f>968118.44</f>
        <v>968118.44</v>
      </c>
    </row>
    <row r="53" spans="1:17" ht="28.5" customHeight="1">
      <c r="A53" s="17" t="s">
        <v>35</v>
      </c>
      <c r="B53" s="23">
        <f>17337894876.28</f>
        <v>17337894876.28</v>
      </c>
      <c r="C53" s="23">
        <f>17292420277.63</f>
        <v>17292420277.63</v>
      </c>
      <c r="D53" s="23">
        <f>466924706.73</f>
        <v>466924706.73</v>
      </c>
      <c r="E53" s="23">
        <f>195933676.75</f>
        <v>195933676.75</v>
      </c>
      <c r="F53" s="23">
        <f>27174503.13</f>
        <v>27174503.13</v>
      </c>
      <c r="G53" s="23">
        <f>240910531.77</f>
        <v>240910531.77</v>
      </c>
      <c r="H53" s="23">
        <f>2905995.08</f>
        <v>2905995.08</v>
      </c>
      <c r="I53" s="23">
        <f>0</f>
        <v>0</v>
      </c>
      <c r="J53" s="23">
        <f>11264897.53</f>
        <v>11264897.53</v>
      </c>
      <c r="K53" s="23">
        <f>28630561.66</f>
        <v>28630561.66</v>
      </c>
      <c r="L53" s="23">
        <f>5489090280.86</f>
        <v>5489090280.86</v>
      </c>
      <c r="M53" s="23">
        <f>11186552944.7</f>
        <v>11186552944.7</v>
      </c>
      <c r="N53" s="23">
        <f>109956886.15</f>
        <v>109956886.15</v>
      </c>
      <c r="O53" s="23">
        <f>45474598.65</f>
        <v>45474598.65</v>
      </c>
      <c r="P53" s="23">
        <f>28599452.91</f>
        <v>28599452.91</v>
      </c>
      <c r="Q53" s="23">
        <f>16875145.74</f>
        <v>16875145.74</v>
      </c>
    </row>
    <row r="54" spans="1:17" ht="35.25" customHeight="1">
      <c r="A54" s="27" t="s">
        <v>42</v>
      </c>
      <c r="B54" s="22">
        <f>15632723181.32</f>
        <v>15632723181.32</v>
      </c>
      <c r="C54" s="22">
        <f>15557837208.02</f>
        <v>15557837208.02</v>
      </c>
      <c r="D54" s="22">
        <f>3005228726.94</f>
        <v>3005228726.94</v>
      </c>
      <c r="E54" s="22">
        <f>2117201243.11</f>
        <v>2117201243.11</v>
      </c>
      <c r="F54" s="22">
        <f>84129641.78</f>
        <v>84129641.78</v>
      </c>
      <c r="G54" s="22">
        <f>763606613.6</f>
        <v>763606613.6</v>
      </c>
      <c r="H54" s="22">
        <f>40291228.45</f>
        <v>40291228.45</v>
      </c>
      <c r="I54" s="22">
        <f>1129833.39</f>
        <v>1129833.39</v>
      </c>
      <c r="J54" s="22">
        <f>13438696.86</f>
        <v>13438696.86</v>
      </c>
      <c r="K54" s="22">
        <f>22095088.27</f>
        <v>22095088.27</v>
      </c>
      <c r="L54" s="22">
        <f>7754830989.49</f>
        <v>7754830989.49</v>
      </c>
      <c r="M54" s="22">
        <f>4586612967.96</f>
        <v>4586612967.96</v>
      </c>
      <c r="N54" s="22">
        <f>174500905.11</f>
        <v>174500905.11</v>
      </c>
      <c r="O54" s="22">
        <f>74885973.3</f>
        <v>74885973.3</v>
      </c>
      <c r="P54" s="22">
        <f>48457270.61</f>
        <v>48457270.61</v>
      </c>
      <c r="Q54" s="22">
        <f>26428702.69</f>
        <v>26428702.69</v>
      </c>
    </row>
    <row r="55" spans="1:17" ht="28.5" customHeight="1">
      <c r="A55" s="17" t="s">
        <v>36</v>
      </c>
      <c r="B55" s="23">
        <f>1253842959.46</f>
        <v>1253842959.46</v>
      </c>
      <c r="C55" s="23">
        <f>1236007185.02</f>
        <v>1236007185.02</v>
      </c>
      <c r="D55" s="23">
        <f>104113464.89</f>
        <v>104113464.89</v>
      </c>
      <c r="E55" s="23">
        <f>8328482.42</f>
        <v>8328482.42</v>
      </c>
      <c r="F55" s="23">
        <f>2224139.35</f>
        <v>2224139.35</v>
      </c>
      <c r="G55" s="23">
        <f>90304480.88</f>
        <v>90304480.88</v>
      </c>
      <c r="H55" s="23">
        <f>3256362.24</f>
        <v>3256362.24</v>
      </c>
      <c r="I55" s="23">
        <f>7002.12</f>
        <v>7002.12</v>
      </c>
      <c r="J55" s="23">
        <f>623325.13</f>
        <v>623325.13</v>
      </c>
      <c r="K55" s="23">
        <f>1793912.99</f>
        <v>1793912.99</v>
      </c>
      <c r="L55" s="23">
        <f>476913771.5</f>
        <v>476913771.5</v>
      </c>
      <c r="M55" s="23">
        <f>635370797.44</f>
        <v>635370797.44</v>
      </c>
      <c r="N55" s="23">
        <f>17184910.95</f>
        <v>17184910.95</v>
      </c>
      <c r="O55" s="23">
        <f>17835774.44</f>
        <v>17835774.44</v>
      </c>
      <c r="P55" s="23">
        <f>254926.13</f>
        <v>254926.13</v>
      </c>
      <c r="Q55" s="23">
        <f>17580848.31</f>
        <v>17580848.31</v>
      </c>
    </row>
    <row r="56" spans="1:17" ht="47.25" customHeight="1">
      <c r="A56" s="17" t="s">
        <v>76</v>
      </c>
      <c r="B56" s="23">
        <f>7680404359.76</f>
        <v>7680404359.76</v>
      </c>
      <c r="C56" s="23">
        <f>7673343548.5</f>
        <v>7673343548.5</v>
      </c>
      <c r="D56" s="23">
        <f>1844754791.03</f>
        <v>1844754791.03</v>
      </c>
      <c r="E56" s="23">
        <f>1635197768.52</f>
        <v>1635197768.52</v>
      </c>
      <c r="F56" s="23">
        <f>43671521.22</f>
        <v>43671521.22</v>
      </c>
      <c r="G56" s="23">
        <f>143602823.74</f>
        <v>143602823.74</v>
      </c>
      <c r="H56" s="23">
        <f>22282677.55</f>
        <v>22282677.55</v>
      </c>
      <c r="I56" s="23">
        <f>1065490.57</f>
        <v>1065490.57</v>
      </c>
      <c r="J56" s="23">
        <f>9137339.04</f>
        <v>9137339.04</v>
      </c>
      <c r="K56" s="23">
        <f>9744056.15</f>
        <v>9744056.15</v>
      </c>
      <c r="L56" s="23">
        <f>4225224406.63</f>
        <v>4225224406.63</v>
      </c>
      <c r="M56" s="23">
        <f>1548104177.97</f>
        <v>1548104177.97</v>
      </c>
      <c r="N56" s="23">
        <f>35313287.11</f>
        <v>35313287.11</v>
      </c>
      <c r="O56" s="23">
        <f>7060811.26</f>
        <v>7060811.26</v>
      </c>
      <c r="P56" s="23">
        <f>6735037.73</f>
        <v>6735037.73</v>
      </c>
      <c r="Q56" s="23">
        <f>325773.53</f>
        <v>325773.53</v>
      </c>
    </row>
    <row r="57" spans="1:17" ht="35.25" customHeight="1">
      <c r="A57" s="17" t="s">
        <v>37</v>
      </c>
      <c r="B57" s="23">
        <f>6698475862.1</f>
        <v>6698475862.1</v>
      </c>
      <c r="C57" s="23">
        <f>6648486474.5</f>
        <v>6648486474.5</v>
      </c>
      <c r="D57" s="23">
        <f>1056360471.02</f>
        <v>1056360471.02</v>
      </c>
      <c r="E57" s="23">
        <f>473674992.17</f>
        <v>473674992.17</v>
      </c>
      <c r="F57" s="23">
        <f>38233981.21</f>
        <v>38233981.21</v>
      </c>
      <c r="G57" s="23">
        <f>529699308.98</f>
        <v>529699308.98</v>
      </c>
      <c r="H57" s="23">
        <f>14752188.66</f>
        <v>14752188.66</v>
      </c>
      <c r="I57" s="23">
        <f>57340.7</f>
        <v>57340.7</v>
      </c>
      <c r="J57" s="23">
        <f>3678032.69</f>
        <v>3678032.69</v>
      </c>
      <c r="K57" s="23">
        <f>10557119.13</f>
        <v>10557119.13</v>
      </c>
      <c r="L57" s="23">
        <f>3052692811.36</f>
        <v>3052692811.36</v>
      </c>
      <c r="M57" s="23">
        <f>2403137992.55</f>
        <v>2403137992.55</v>
      </c>
      <c r="N57" s="23">
        <f>122002707.05</f>
        <v>122002707.05</v>
      </c>
      <c r="O57" s="23">
        <f>49989387.6</f>
        <v>49989387.6</v>
      </c>
      <c r="P57" s="23">
        <f>41467306.75</f>
        <v>41467306.75</v>
      </c>
      <c r="Q57" s="23">
        <f>8522080.85</f>
        <v>8522080.85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4992196949.12</f>
        <v>4992196949.12</v>
      </c>
      <c r="G78" s="21">
        <f>1220228307.65</f>
        <v>1220228307.65</v>
      </c>
      <c r="H78" s="21">
        <f>61293292.72</f>
        <v>61293292.72</v>
      </c>
      <c r="I78" s="21">
        <f>300760000.63</f>
        <v>300760000.63</v>
      </c>
      <c r="J78" s="21">
        <f>839505139.69</f>
        <v>839505139.69</v>
      </c>
      <c r="K78" s="21">
        <f>18669874.61</f>
        <v>18669874.61</v>
      </c>
      <c r="L78" s="21">
        <f>3771968641.47</f>
        <v>3771968641.47</v>
      </c>
    </row>
    <row r="79" spans="2:12" ht="33.75" customHeight="1">
      <c r="B79" s="47" t="s">
        <v>52</v>
      </c>
      <c r="C79" s="48"/>
      <c r="D79" s="48"/>
      <c r="E79" s="49"/>
      <c r="F79" s="24">
        <f>1474396.75</f>
        <v>1474396.75</v>
      </c>
      <c r="G79" s="24">
        <f>1474396.75</f>
        <v>1474396.75</v>
      </c>
      <c r="H79" s="24">
        <f>1474396.75</f>
        <v>1474396.75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47" t="s">
        <v>53</v>
      </c>
      <c r="C80" s="48"/>
      <c r="D80" s="48"/>
      <c r="E80" s="49"/>
      <c r="F80" s="24">
        <f>773465931.46</f>
        <v>773465931.46</v>
      </c>
      <c r="G80" s="24">
        <f>64268368.04</f>
        <v>64268368.04</v>
      </c>
      <c r="H80" s="24">
        <f>4465704.68</f>
        <v>4465704.68</v>
      </c>
      <c r="I80" s="24">
        <f>921251</f>
        <v>921251</v>
      </c>
      <c r="J80" s="24">
        <f>56441713.36</f>
        <v>56441713.36</v>
      </c>
      <c r="K80" s="24">
        <f>2439699</f>
        <v>2439699</v>
      </c>
      <c r="L80" s="24">
        <f>709197563.42</f>
        <v>709197563.42</v>
      </c>
    </row>
    <row r="81" spans="2:12" ht="22.5" customHeight="1">
      <c r="B81" s="47" t="s">
        <v>54</v>
      </c>
      <c r="C81" s="48"/>
      <c r="D81" s="48"/>
      <c r="E81" s="49"/>
      <c r="F81" s="24">
        <f>91604271.93</f>
        <v>91604271.93</v>
      </c>
      <c r="G81" s="24">
        <f>48275968.17</f>
        <v>48275968.17</v>
      </c>
      <c r="H81" s="24">
        <f>0</f>
        <v>0</v>
      </c>
      <c r="I81" s="24">
        <f>2295945.82</f>
        <v>2295945.82</v>
      </c>
      <c r="J81" s="24">
        <f>45980022.35</f>
        <v>45980022.35</v>
      </c>
      <c r="K81" s="24">
        <f>0</f>
        <v>0</v>
      </c>
      <c r="L81" s="24">
        <f>43328303.76</f>
        <v>43328303.76</v>
      </c>
    </row>
    <row r="82" spans="2:12" ht="33.75" customHeight="1">
      <c r="B82" s="47" t="s">
        <v>55</v>
      </c>
      <c r="C82" s="48"/>
      <c r="D82" s="48"/>
      <c r="E82" s="49"/>
      <c r="F82" s="24">
        <f>10989937.18</f>
        <v>10989937.18</v>
      </c>
      <c r="G82" s="24">
        <f>10558230.57</f>
        <v>10558230.57</v>
      </c>
      <c r="H82" s="24">
        <f>0</f>
        <v>0</v>
      </c>
      <c r="I82" s="24">
        <f>0</f>
        <v>0</v>
      </c>
      <c r="J82" s="24">
        <f>10558230.57</f>
        <v>10558230.57</v>
      </c>
      <c r="K82" s="24">
        <f>0</f>
        <v>0</v>
      </c>
      <c r="L82" s="24">
        <f>431706.61</f>
        <v>431706.61</v>
      </c>
    </row>
    <row r="83" spans="2:12" ht="33.75" customHeight="1">
      <c r="B83" s="47" t="s">
        <v>56</v>
      </c>
      <c r="C83" s="48"/>
      <c r="D83" s="48"/>
      <c r="E83" s="49"/>
      <c r="F83" s="24">
        <f>16253954.19</f>
        <v>16253954.19</v>
      </c>
      <c r="G83" s="24">
        <f>9998146.24</f>
        <v>9998146.24</v>
      </c>
      <c r="H83" s="24">
        <f>0</f>
        <v>0</v>
      </c>
      <c r="I83" s="24">
        <f>0</f>
        <v>0</v>
      </c>
      <c r="J83" s="24">
        <f>9998146.24</f>
        <v>9998146.24</v>
      </c>
      <c r="K83" s="24">
        <f>0</f>
        <v>0</v>
      </c>
      <c r="L83" s="24">
        <f>6255807.95</f>
        <v>6255807.95</v>
      </c>
    </row>
    <row r="84" spans="2:12" ht="33" customHeight="1">
      <c r="B84" s="50" t="s">
        <v>57</v>
      </c>
      <c r="C84" s="51"/>
      <c r="D84" s="51"/>
      <c r="E84" s="52"/>
      <c r="F84" s="21">
        <f>1846016.4</f>
        <v>1846016.4</v>
      </c>
      <c r="G84" s="21">
        <f>1139380</f>
        <v>1139380</v>
      </c>
      <c r="H84" s="21">
        <f>0</f>
        <v>0</v>
      </c>
      <c r="I84" s="21">
        <f>0</f>
        <v>0</v>
      </c>
      <c r="J84" s="21">
        <f>1139380</f>
        <v>1139380</v>
      </c>
      <c r="K84" s="21">
        <f>0</f>
        <v>0</v>
      </c>
      <c r="L84" s="21">
        <f>706636.4</f>
        <v>706636.4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2644</f>
        <v>2644</v>
      </c>
      <c r="H90" s="55"/>
      <c r="I90" s="56">
        <f>19490068449.56</f>
        <v>19490068449.56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162</f>
        <v>162</v>
      </c>
      <c r="H91" s="62"/>
      <c r="I91" s="63">
        <f>-717958188.68</f>
        <v>-717958188.68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2020-11-27T08:28:33Z</dcterms:modified>
  <cp:category/>
  <cp:version/>
  <cp:contentType/>
  <cp:contentStatus/>
</cp:coreProperties>
</file>