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1125" yWindow="825" windowWidth="27870" windowHeight="12555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podst'!$A$2:$AC$85</definedName>
    <definedName name="_xlnm._FilterDatabase" localSheetId="1" hidden="1">'pow podst'!$A$2:$AB$33</definedName>
    <definedName name="_xlnm._FilterDatabase" localSheetId="3" hidden="1">'pow rez'!$A$2:$AB$32</definedName>
    <definedName name="_xlnm.Print_Area" localSheetId="2">'gm podst'!$A$1:$X$92</definedName>
    <definedName name="_xlnm.Print_Area" localSheetId="4">'gm rez'!$A$1:$X$59</definedName>
    <definedName name="_xlnm.Print_Area" localSheetId="1">'pow podst'!$A$1:$W$39</definedName>
    <definedName name="_xlnm.Print_Area" localSheetId="3">'pow rez'!$A$1:$W$32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M81" i="5" l="1"/>
  <c r="L81" i="5"/>
  <c r="M29" i="5" l="1"/>
  <c r="AB29" i="5" s="1"/>
  <c r="N88" i="5" l="1"/>
  <c r="K8" i="4" l="1"/>
  <c r="L8" i="4" s="1"/>
  <c r="AA8" i="4" l="1"/>
  <c r="R8" i="4"/>
  <c r="X8" i="4" s="1"/>
  <c r="Y8" i="4"/>
  <c r="Z8" i="4" s="1"/>
  <c r="Y70" i="5"/>
  <c r="Z70" i="5"/>
  <c r="AA70" i="5" s="1"/>
  <c r="AB70" i="5"/>
  <c r="Y71" i="5"/>
  <c r="Z71" i="5"/>
  <c r="AA71" i="5" s="1"/>
  <c r="AB71" i="5"/>
  <c r="Y73" i="5"/>
  <c r="Z73" i="5"/>
  <c r="AA73" i="5" s="1"/>
  <c r="AB73" i="5"/>
  <c r="Y76" i="5"/>
  <c r="Z76" i="5"/>
  <c r="AA76" i="5" s="1"/>
  <c r="AB76" i="5"/>
  <c r="Y78" i="5"/>
  <c r="Z78" i="5"/>
  <c r="AA78" i="5" s="1"/>
  <c r="AB78" i="5"/>
  <c r="Y79" i="5"/>
  <c r="Z79" i="5"/>
  <c r="AA79" i="5" s="1"/>
  <c r="AB79" i="5"/>
  <c r="K51" i="6" l="1"/>
  <c r="R30" i="4"/>
  <c r="P82" i="5"/>
  <c r="K82" i="5"/>
  <c r="J30" i="3"/>
  <c r="H30" i="3"/>
  <c r="Y9" i="3" l="1"/>
  <c r="Z9" i="3" s="1"/>
  <c r="L6" i="6"/>
  <c r="M6" i="6" s="1"/>
  <c r="AB6" i="6" s="1"/>
  <c r="AB13" i="6"/>
  <c r="Z13" i="6"/>
  <c r="AA13" i="6" s="1"/>
  <c r="Y13" i="6"/>
  <c r="Y4" i="6"/>
  <c r="Y5" i="6"/>
  <c r="Y7" i="6"/>
  <c r="Y8" i="6"/>
  <c r="Y10" i="6"/>
  <c r="Y11" i="6"/>
  <c r="Y14" i="6"/>
  <c r="Y15" i="6"/>
  <c r="Y16" i="6"/>
  <c r="Y17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18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L9" i="6"/>
  <c r="L72" i="5"/>
  <c r="L69" i="5"/>
  <c r="Y6" i="6" l="1"/>
  <c r="Z6" i="6"/>
  <c r="AA6" i="6" s="1"/>
  <c r="Z69" i="5"/>
  <c r="AA69" i="5" s="1"/>
  <c r="S69" i="5"/>
  <c r="Y69" i="5" s="1"/>
  <c r="Z72" i="5"/>
  <c r="AA72" i="5" s="1"/>
  <c r="M9" i="6"/>
  <c r="AB9" i="6" s="1"/>
  <c r="Y9" i="6"/>
  <c r="Z9" i="6"/>
  <c r="AA9" i="6" s="1"/>
  <c r="AA26" i="3"/>
  <c r="AA27" i="3"/>
  <c r="AA28" i="3"/>
  <c r="Y26" i="3"/>
  <c r="Z26" i="3" s="1"/>
  <c r="Y27" i="3"/>
  <c r="Z27" i="3" s="1"/>
  <c r="Y28" i="3"/>
  <c r="Z28" i="3" s="1"/>
  <c r="Y29" i="3"/>
  <c r="Z29" i="3" s="1"/>
  <c r="X26" i="3"/>
  <c r="X27" i="3"/>
  <c r="X28" i="3"/>
  <c r="M72" i="5" l="1"/>
  <c r="AB72" i="5" s="1"/>
  <c r="M69" i="5"/>
  <c r="AB69" i="5" s="1"/>
  <c r="L12" i="6" l="1"/>
  <c r="K4" i="4"/>
  <c r="L4" i="4" s="1"/>
  <c r="L51" i="5"/>
  <c r="M51" i="5" s="1"/>
  <c r="L32" i="5"/>
  <c r="L80" i="5"/>
  <c r="L39" i="5"/>
  <c r="M39" i="5" s="1"/>
  <c r="L38" i="5"/>
  <c r="M38" i="5" s="1"/>
  <c r="L77" i="5"/>
  <c r="Z80" i="5" l="1"/>
  <c r="AA80" i="5" s="1"/>
  <c r="Y80" i="5"/>
  <c r="Z77" i="5"/>
  <c r="AA77" i="5" s="1"/>
  <c r="AA4" i="4"/>
  <c r="Y4" i="4"/>
  <c r="Z4" i="4" s="1"/>
  <c r="X4" i="4"/>
  <c r="Y12" i="6"/>
  <c r="M12" i="6"/>
  <c r="AB12" i="6" s="1"/>
  <c r="Z12" i="6"/>
  <c r="AA12" i="6" s="1"/>
  <c r="M80" i="5"/>
  <c r="AB80" i="5" s="1"/>
  <c r="S51" i="5"/>
  <c r="M32" i="5"/>
  <c r="S32" i="5"/>
  <c r="M77" i="5"/>
  <c r="AB77" i="5" s="1"/>
  <c r="S77" i="5"/>
  <c r="Y77" i="5" s="1"/>
  <c r="S38" i="5"/>
  <c r="S39" i="5"/>
  <c r="L75" i="5"/>
  <c r="S72" i="5"/>
  <c r="Y72" i="5" s="1"/>
  <c r="L74" i="5"/>
  <c r="L82" i="5" l="1"/>
  <c r="Z74" i="5"/>
  <c r="AA74" i="5" s="1"/>
  <c r="Z75" i="5"/>
  <c r="AA75" i="5" s="1"/>
  <c r="M75" i="5"/>
  <c r="AB75" i="5" s="1"/>
  <c r="S75" i="5"/>
  <c r="Y75" i="5" s="1"/>
  <c r="S74" i="5"/>
  <c r="Y74" i="5" s="1"/>
  <c r="M74" i="5"/>
  <c r="AB74" i="5" s="1"/>
  <c r="K18" i="3"/>
  <c r="K30" i="3" s="1"/>
  <c r="L18" i="3" l="1"/>
  <c r="E12" i="7"/>
  <c r="R18" i="3"/>
  <c r="X5" i="4"/>
  <c r="Y5" i="4"/>
  <c r="Z5" i="4" s="1"/>
  <c r="AA5" i="4"/>
  <c r="X6" i="4"/>
  <c r="Y6" i="4"/>
  <c r="Z6" i="4" s="1"/>
  <c r="AA6" i="4"/>
  <c r="X7" i="4"/>
  <c r="Y7" i="4"/>
  <c r="Z7" i="4" s="1"/>
  <c r="AA7" i="4"/>
  <c r="X9" i="4"/>
  <c r="Y9" i="4"/>
  <c r="Z9" i="4" s="1"/>
  <c r="AA9" i="4"/>
  <c r="X10" i="4"/>
  <c r="Y10" i="4"/>
  <c r="Z10" i="4" s="1"/>
  <c r="AA10" i="4"/>
  <c r="X11" i="4"/>
  <c r="Y11" i="4"/>
  <c r="Z11" i="4" s="1"/>
  <c r="AA11" i="4"/>
  <c r="X12" i="4"/>
  <c r="Y12" i="4"/>
  <c r="Z12" i="4" s="1"/>
  <c r="AA12" i="4"/>
  <c r="X13" i="4"/>
  <c r="Y13" i="4"/>
  <c r="Z13" i="4" s="1"/>
  <c r="AA13" i="4"/>
  <c r="X14" i="4"/>
  <c r="Y14" i="4"/>
  <c r="Z14" i="4" s="1"/>
  <c r="AA14" i="4"/>
  <c r="X15" i="4"/>
  <c r="Y15" i="4"/>
  <c r="Z15" i="4" s="1"/>
  <c r="AA15" i="4"/>
  <c r="X16" i="4"/>
  <c r="Y16" i="4"/>
  <c r="Z16" i="4" s="1"/>
  <c r="AA16" i="4"/>
  <c r="X17" i="4"/>
  <c r="Y17" i="4"/>
  <c r="Z17" i="4" s="1"/>
  <c r="AA17" i="4"/>
  <c r="X18" i="4"/>
  <c r="Y18" i="4"/>
  <c r="Z18" i="4" s="1"/>
  <c r="AA18" i="4"/>
  <c r="X19" i="4"/>
  <c r="Y19" i="4"/>
  <c r="Z19" i="4" s="1"/>
  <c r="AA19" i="4"/>
  <c r="X20" i="4"/>
  <c r="Y20" i="4"/>
  <c r="Z20" i="4" s="1"/>
  <c r="AA20" i="4"/>
  <c r="X21" i="4"/>
  <c r="Y21" i="4"/>
  <c r="Z21" i="4" s="1"/>
  <c r="AA21" i="4"/>
  <c r="X22" i="4"/>
  <c r="Y22" i="4"/>
  <c r="Z22" i="4" s="1"/>
  <c r="AA22" i="4"/>
  <c r="X23" i="4"/>
  <c r="Y23" i="4"/>
  <c r="Z23" i="4" s="1"/>
  <c r="AA23" i="4"/>
  <c r="X24" i="4"/>
  <c r="Y24" i="4"/>
  <c r="Z24" i="4" s="1"/>
  <c r="AA24" i="4"/>
  <c r="X25" i="4"/>
  <c r="Y25" i="4"/>
  <c r="Z25" i="4" s="1"/>
  <c r="AA25" i="4"/>
  <c r="X26" i="4"/>
  <c r="Y26" i="4"/>
  <c r="Z26" i="4" s="1"/>
  <c r="AA26" i="4"/>
  <c r="X27" i="4"/>
  <c r="Y27" i="4"/>
  <c r="Z27" i="4" s="1"/>
  <c r="AA27" i="4"/>
  <c r="X28" i="4"/>
  <c r="Y28" i="4"/>
  <c r="Z28" i="4" s="1"/>
  <c r="AA28" i="4"/>
  <c r="X29" i="4"/>
  <c r="Y29" i="4"/>
  <c r="Z29" i="4" s="1"/>
  <c r="AA29" i="4"/>
  <c r="AA3" i="4"/>
  <c r="Y3" i="4"/>
  <c r="Z3" i="4" s="1"/>
  <c r="X3" i="4"/>
  <c r="M51" i="6" l="1"/>
  <c r="L51" i="6"/>
  <c r="X12" i="3" l="1"/>
  <c r="Y12" i="3"/>
  <c r="Z12" i="3" s="1"/>
  <c r="AA12" i="3"/>
  <c r="X13" i="3"/>
  <c r="Y13" i="3"/>
  <c r="Z13" i="3" s="1"/>
  <c r="AA13" i="3"/>
  <c r="X14" i="3"/>
  <c r="Y14" i="3"/>
  <c r="Z14" i="3" s="1"/>
  <c r="AA14" i="3"/>
  <c r="X15" i="3"/>
  <c r="Y15" i="3"/>
  <c r="Z15" i="3" s="1"/>
  <c r="AA15" i="3"/>
  <c r="X16" i="3"/>
  <c r="Y16" i="3"/>
  <c r="Z16" i="3" s="1"/>
  <c r="AA16" i="3"/>
  <c r="X17" i="3"/>
  <c r="Y17" i="3"/>
  <c r="Z17" i="3" s="1"/>
  <c r="AA17" i="3"/>
  <c r="X18" i="3"/>
  <c r="Y18" i="3"/>
  <c r="Z18" i="3" s="1"/>
  <c r="AA18" i="3"/>
  <c r="X19" i="3"/>
  <c r="Y19" i="3"/>
  <c r="Z19" i="3" s="1"/>
  <c r="AA19" i="3"/>
  <c r="X20" i="3"/>
  <c r="Y20" i="3"/>
  <c r="Z20" i="3" s="1"/>
  <c r="AA20" i="3"/>
  <c r="X21" i="3"/>
  <c r="Y21" i="3"/>
  <c r="Z21" i="3" s="1"/>
  <c r="AA21" i="3"/>
  <c r="X22" i="3"/>
  <c r="Y22" i="3"/>
  <c r="Z22" i="3" s="1"/>
  <c r="AA22" i="3"/>
  <c r="X23" i="3"/>
  <c r="Y23" i="3"/>
  <c r="Z23" i="3" s="1"/>
  <c r="AA23" i="3"/>
  <c r="X24" i="3"/>
  <c r="Y24" i="3"/>
  <c r="Z24" i="3" s="1"/>
  <c r="AA24" i="3"/>
  <c r="X25" i="3"/>
  <c r="Y25" i="3"/>
  <c r="Z25" i="3" s="1"/>
  <c r="AA25" i="3"/>
  <c r="AA29" i="3" l="1"/>
  <c r="X29" i="3"/>
  <c r="S51" i="6" l="1"/>
  <c r="O82" i="5"/>
  <c r="T51" i="6" l="1"/>
  <c r="Y28" i="5" l="1"/>
  <c r="Z28" i="5"/>
  <c r="AA28" i="5" s="1"/>
  <c r="AB28" i="5"/>
  <c r="Y29" i="5"/>
  <c r="Z29" i="5"/>
  <c r="AA29" i="5" s="1"/>
  <c r="Y30" i="5"/>
  <c r="Z30" i="5"/>
  <c r="AA30" i="5" s="1"/>
  <c r="AB30" i="5"/>
  <c r="Y31" i="5"/>
  <c r="Z31" i="5"/>
  <c r="AA31" i="5" s="1"/>
  <c r="AB31" i="5"/>
  <c r="Y32" i="5"/>
  <c r="Z32" i="5"/>
  <c r="AA32" i="5" s="1"/>
  <c r="AB32" i="5"/>
  <c r="Y33" i="5"/>
  <c r="Z33" i="5"/>
  <c r="AA33" i="5" s="1"/>
  <c r="AB33" i="5"/>
  <c r="Y34" i="5"/>
  <c r="Z34" i="5"/>
  <c r="AA34" i="5" s="1"/>
  <c r="AB34" i="5"/>
  <c r="Y35" i="5"/>
  <c r="Z35" i="5"/>
  <c r="AA35" i="5" s="1"/>
  <c r="AB35" i="5"/>
  <c r="Y36" i="5"/>
  <c r="Z36" i="5"/>
  <c r="AA36" i="5" s="1"/>
  <c r="AB36" i="5"/>
  <c r="Y37" i="5"/>
  <c r="Z37" i="5"/>
  <c r="AA37" i="5" s="1"/>
  <c r="AB37" i="5"/>
  <c r="Y38" i="5"/>
  <c r="Z38" i="5"/>
  <c r="AA38" i="5" s="1"/>
  <c r="AB38" i="5"/>
  <c r="Y39" i="5"/>
  <c r="Z39" i="5"/>
  <c r="AA39" i="5" s="1"/>
  <c r="AB39" i="5"/>
  <c r="Y40" i="5"/>
  <c r="Z40" i="5"/>
  <c r="AA40" i="5" s="1"/>
  <c r="AB40" i="5"/>
  <c r="Y41" i="5"/>
  <c r="Z41" i="5"/>
  <c r="AA41" i="5" s="1"/>
  <c r="AB41" i="5"/>
  <c r="Y42" i="5"/>
  <c r="Z42" i="5"/>
  <c r="AA42" i="5" s="1"/>
  <c r="AB42" i="5"/>
  <c r="Y43" i="5"/>
  <c r="Z43" i="5"/>
  <c r="AA43" i="5" s="1"/>
  <c r="AB43" i="5"/>
  <c r="Y44" i="5"/>
  <c r="Z44" i="5"/>
  <c r="AA44" i="5" s="1"/>
  <c r="AB44" i="5"/>
  <c r="Y45" i="5"/>
  <c r="Z45" i="5"/>
  <c r="AA45" i="5" s="1"/>
  <c r="AB45" i="5"/>
  <c r="P51" i="6" l="1"/>
  <c r="Q51" i="6"/>
  <c r="R51" i="6"/>
  <c r="U51" i="6"/>
  <c r="V51" i="6"/>
  <c r="W51" i="6"/>
  <c r="X51" i="6"/>
  <c r="P52" i="6"/>
  <c r="Q52" i="6"/>
  <c r="R52" i="6"/>
  <c r="S52" i="6"/>
  <c r="T52" i="6"/>
  <c r="U52" i="6"/>
  <c r="V52" i="6"/>
  <c r="W52" i="6"/>
  <c r="X52" i="6"/>
  <c r="P53" i="6"/>
  <c r="Q53" i="6"/>
  <c r="R53" i="6"/>
  <c r="S53" i="6"/>
  <c r="T53" i="6"/>
  <c r="U53" i="6"/>
  <c r="V53" i="6"/>
  <c r="W53" i="6"/>
  <c r="X53" i="6"/>
  <c r="L52" i="6"/>
  <c r="M52" i="6"/>
  <c r="L53" i="6"/>
  <c r="M53" i="6"/>
  <c r="O30" i="4"/>
  <c r="P30" i="4"/>
  <c r="Q30" i="4"/>
  <c r="S30" i="4"/>
  <c r="T30" i="4"/>
  <c r="U30" i="4"/>
  <c r="V30" i="4"/>
  <c r="W30" i="4"/>
  <c r="O31" i="4"/>
  <c r="P31" i="4"/>
  <c r="Q31" i="4"/>
  <c r="R31" i="4"/>
  <c r="S31" i="4"/>
  <c r="T31" i="4"/>
  <c r="U31" i="4"/>
  <c r="V31" i="4"/>
  <c r="W31" i="4"/>
  <c r="O32" i="4"/>
  <c r="P32" i="4"/>
  <c r="Q32" i="4"/>
  <c r="R32" i="4"/>
  <c r="S32" i="4"/>
  <c r="T32" i="4"/>
  <c r="U32" i="4"/>
  <c r="V32" i="4"/>
  <c r="W32" i="4"/>
  <c r="K30" i="4"/>
  <c r="L30" i="4"/>
  <c r="K31" i="4"/>
  <c r="L31" i="4"/>
  <c r="K32" i="4"/>
  <c r="L32" i="4"/>
  <c r="Q82" i="5"/>
  <c r="R82" i="5"/>
  <c r="S82" i="5"/>
  <c r="T82" i="5"/>
  <c r="U82" i="5"/>
  <c r="V82" i="5"/>
  <c r="W82" i="5"/>
  <c r="X82" i="5"/>
  <c r="P83" i="5"/>
  <c r="Q83" i="5"/>
  <c r="R83" i="5"/>
  <c r="S83" i="5"/>
  <c r="T83" i="5"/>
  <c r="U83" i="5"/>
  <c r="V83" i="5"/>
  <c r="W83" i="5"/>
  <c r="X83" i="5"/>
  <c r="P84" i="5"/>
  <c r="Q84" i="5"/>
  <c r="R84" i="5"/>
  <c r="S84" i="5"/>
  <c r="T84" i="5"/>
  <c r="U84" i="5"/>
  <c r="V84" i="5"/>
  <c r="W84" i="5"/>
  <c r="X84" i="5"/>
  <c r="P85" i="5"/>
  <c r="Q85" i="5"/>
  <c r="R85" i="5"/>
  <c r="S85" i="5"/>
  <c r="T85" i="5"/>
  <c r="U85" i="5"/>
  <c r="V85" i="5"/>
  <c r="W85" i="5"/>
  <c r="X85" i="5"/>
  <c r="M82" i="5"/>
  <c r="L83" i="5"/>
  <c r="M83" i="5"/>
  <c r="L84" i="5"/>
  <c r="M84" i="5"/>
  <c r="L85" i="5"/>
  <c r="M85" i="5"/>
  <c r="O30" i="3"/>
  <c r="P30" i="3"/>
  <c r="Q30" i="3"/>
  <c r="R30" i="3"/>
  <c r="S30" i="3"/>
  <c r="T30" i="3"/>
  <c r="U30" i="3"/>
  <c r="V30" i="3"/>
  <c r="W30" i="3"/>
  <c r="O31" i="3"/>
  <c r="P31" i="3"/>
  <c r="Q31" i="3"/>
  <c r="R31" i="3"/>
  <c r="S31" i="3"/>
  <c r="T31" i="3"/>
  <c r="U31" i="3"/>
  <c r="V31" i="3"/>
  <c r="W31" i="3"/>
  <c r="O32" i="3"/>
  <c r="P32" i="3"/>
  <c r="Q32" i="3"/>
  <c r="R32" i="3"/>
  <c r="S32" i="3"/>
  <c r="T32" i="3"/>
  <c r="U32" i="3"/>
  <c r="V32" i="3"/>
  <c r="W32" i="3"/>
  <c r="O33" i="3"/>
  <c r="P33" i="3"/>
  <c r="Q33" i="3"/>
  <c r="R33" i="3"/>
  <c r="S33" i="3"/>
  <c r="T33" i="3"/>
  <c r="U33" i="3"/>
  <c r="V33" i="3"/>
  <c r="W33" i="3"/>
  <c r="L30" i="3"/>
  <c r="K31" i="3"/>
  <c r="L31" i="3"/>
  <c r="K32" i="3"/>
  <c r="L32" i="3"/>
  <c r="K33" i="3"/>
  <c r="L33" i="3"/>
  <c r="Z4" i="6"/>
  <c r="AA4" i="6" s="1"/>
  <c r="AB4" i="6"/>
  <c r="Z5" i="6"/>
  <c r="AA5" i="6" s="1"/>
  <c r="AB5" i="6"/>
  <c r="Z7" i="6"/>
  <c r="AA7" i="6" s="1"/>
  <c r="AB7" i="6"/>
  <c r="Z8" i="6"/>
  <c r="AA8" i="6" s="1"/>
  <c r="AB8" i="6"/>
  <c r="Z10" i="6"/>
  <c r="AA10" i="6" s="1"/>
  <c r="AB10" i="6"/>
  <c r="Z11" i="6"/>
  <c r="AA11" i="6" s="1"/>
  <c r="AB11" i="6"/>
  <c r="Z14" i="6"/>
  <c r="AA14" i="6" s="1"/>
  <c r="AB14" i="6"/>
  <c r="Z15" i="6"/>
  <c r="AA15" i="6" s="1"/>
  <c r="AB15" i="6"/>
  <c r="Z16" i="6"/>
  <c r="AA16" i="6" s="1"/>
  <c r="AB16" i="6"/>
  <c r="Z17" i="6"/>
  <c r="AA17" i="6" s="1"/>
  <c r="AB17" i="6"/>
  <c r="Z19" i="6"/>
  <c r="AA19" i="6" s="1"/>
  <c r="AB19" i="6"/>
  <c r="Z20" i="6"/>
  <c r="AA20" i="6" s="1"/>
  <c r="AB20" i="6"/>
  <c r="Z21" i="6"/>
  <c r="AA21" i="6" s="1"/>
  <c r="AB21" i="6"/>
  <c r="Z22" i="6"/>
  <c r="AA22" i="6" s="1"/>
  <c r="AB22" i="6"/>
  <c r="Z23" i="6"/>
  <c r="AA23" i="6" s="1"/>
  <c r="AB23" i="6"/>
  <c r="Z24" i="6"/>
  <c r="AA24" i="6" s="1"/>
  <c r="AB24" i="6"/>
  <c r="Z25" i="6"/>
  <c r="AA25" i="6" s="1"/>
  <c r="AB25" i="6"/>
  <c r="Z26" i="6"/>
  <c r="AA26" i="6" s="1"/>
  <c r="AB26" i="6"/>
  <c r="Z27" i="6"/>
  <c r="AA27" i="6" s="1"/>
  <c r="AB27" i="6"/>
  <c r="Z28" i="6"/>
  <c r="AA28" i="6" s="1"/>
  <c r="AB28" i="6"/>
  <c r="Z29" i="6"/>
  <c r="AA29" i="6" s="1"/>
  <c r="AB29" i="6"/>
  <c r="Z30" i="6"/>
  <c r="AA30" i="6" s="1"/>
  <c r="AB30" i="6"/>
  <c r="Z31" i="6"/>
  <c r="AA31" i="6" s="1"/>
  <c r="AB31" i="6"/>
  <c r="Z32" i="6"/>
  <c r="AA32" i="6" s="1"/>
  <c r="AB32" i="6"/>
  <c r="Z33" i="6"/>
  <c r="AA33" i="6" s="1"/>
  <c r="AB33" i="6"/>
  <c r="Z34" i="6"/>
  <c r="AA34" i="6" s="1"/>
  <c r="AB34" i="6"/>
  <c r="Z35" i="6"/>
  <c r="AA35" i="6" s="1"/>
  <c r="AB35" i="6"/>
  <c r="Z18" i="6"/>
  <c r="AA18" i="6" s="1"/>
  <c r="AB18" i="6"/>
  <c r="Z36" i="6"/>
  <c r="AA36" i="6" s="1"/>
  <c r="AB36" i="6"/>
  <c r="Z37" i="6"/>
  <c r="AA37" i="6" s="1"/>
  <c r="AB37" i="6"/>
  <c r="Z38" i="6"/>
  <c r="AA38" i="6" s="1"/>
  <c r="AB38" i="6"/>
  <c r="Z39" i="6"/>
  <c r="AA39" i="6" s="1"/>
  <c r="AB39" i="6"/>
  <c r="Z40" i="6"/>
  <c r="AA40" i="6" s="1"/>
  <c r="AB40" i="6"/>
  <c r="Z41" i="6"/>
  <c r="AA41" i="6" s="1"/>
  <c r="AB41" i="6"/>
  <c r="Z42" i="6"/>
  <c r="AA42" i="6" s="1"/>
  <c r="AB42" i="6"/>
  <c r="Z43" i="6"/>
  <c r="AA43" i="6" s="1"/>
  <c r="AB43" i="6"/>
  <c r="Z44" i="6"/>
  <c r="AA44" i="6" s="1"/>
  <c r="AB44" i="6"/>
  <c r="Z45" i="6"/>
  <c r="AA45" i="6" s="1"/>
  <c r="AB45" i="6"/>
  <c r="Z46" i="6"/>
  <c r="AA46" i="6" s="1"/>
  <c r="AB46" i="6"/>
  <c r="Z47" i="6"/>
  <c r="AA47" i="6" s="1"/>
  <c r="AB47" i="6"/>
  <c r="Z48" i="6"/>
  <c r="AA48" i="6" s="1"/>
  <c r="AB48" i="6"/>
  <c r="Z49" i="6"/>
  <c r="AA49" i="6" s="1"/>
  <c r="AB49" i="6"/>
  <c r="Z50" i="6"/>
  <c r="AA50" i="6" s="1"/>
  <c r="AB50" i="6"/>
  <c r="AB3" i="6"/>
  <c r="Z3" i="6"/>
  <c r="AA3" i="6" s="1"/>
  <c r="Y3" i="6"/>
  <c r="X4" i="3"/>
  <c r="Y4" i="3"/>
  <c r="Z4" i="3" s="1"/>
  <c r="AA4" i="3"/>
  <c r="X5" i="3"/>
  <c r="Y5" i="3"/>
  <c r="Z5" i="3" s="1"/>
  <c r="AA5" i="3"/>
  <c r="X6" i="3"/>
  <c r="Y6" i="3"/>
  <c r="Z6" i="3" s="1"/>
  <c r="AA6" i="3"/>
  <c r="X7" i="3"/>
  <c r="Y7" i="3"/>
  <c r="Z7" i="3" s="1"/>
  <c r="AA7" i="3"/>
  <c r="X8" i="3"/>
  <c r="Y8" i="3"/>
  <c r="Z8" i="3" s="1"/>
  <c r="AA8" i="3"/>
  <c r="X9" i="3"/>
  <c r="AA9" i="3"/>
  <c r="X10" i="3"/>
  <c r="Y10" i="3"/>
  <c r="Z10" i="3" s="1"/>
  <c r="AA10" i="3"/>
  <c r="X11" i="3"/>
  <c r="Y11" i="3"/>
  <c r="Z11" i="3" s="1"/>
  <c r="AA11" i="3"/>
  <c r="AA3" i="3"/>
  <c r="Y3" i="3"/>
  <c r="Z3" i="3" s="1"/>
  <c r="X3" i="3"/>
  <c r="Y4" i="5"/>
  <c r="Z4" i="5"/>
  <c r="AA4" i="5" s="1"/>
  <c r="AB4" i="5"/>
  <c r="Y5" i="5"/>
  <c r="Z5" i="5"/>
  <c r="AA5" i="5" s="1"/>
  <c r="AB5" i="5"/>
  <c r="Y6" i="5"/>
  <c r="Z6" i="5"/>
  <c r="AA6" i="5" s="1"/>
  <c r="AB6" i="5"/>
  <c r="Y7" i="5"/>
  <c r="Z7" i="5"/>
  <c r="AA7" i="5" s="1"/>
  <c r="AB7" i="5"/>
  <c r="Y8" i="5"/>
  <c r="Z8" i="5"/>
  <c r="AA8" i="5" s="1"/>
  <c r="AB8" i="5"/>
  <c r="Y9" i="5"/>
  <c r="Z9" i="5"/>
  <c r="AA9" i="5" s="1"/>
  <c r="AB9" i="5"/>
  <c r="Y10" i="5"/>
  <c r="Z10" i="5"/>
  <c r="AA10" i="5" s="1"/>
  <c r="AB10" i="5"/>
  <c r="Y11" i="5"/>
  <c r="Z11" i="5"/>
  <c r="AA11" i="5" s="1"/>
  <c r="AB11" i="5"/>
  <c r="Y12" i="5"/>
  <c r="Z12" i="5"/>
  <c r="AA12" i="5" s="1"/>
  <c r="AB12" i="5"/>
  <c r="Y13" i="5"/>
  <c r="Z13" i="5"/>
  <c r="AA13" i="5" s="1"/>
  <c r="AB13" i="5"/>
  <c r="Y14" i="5"/>
  <c r="Z14" i="5"/>
  <c r="AA14" i="5" s="1"/>
  <c r="AB14" i="5"/>
  <c r="Y15" i="5"/>
  <c r="Z15" i="5"/>
  <c r="AA15" i="5" s="1"/>
  <c r="AB15" i="5"/>
  <c r="Y16" i="5"/>
  <c r="Z16" i="5"/>
  <c r="AA16" i="5" s="1"/>
  <c r="AB16" i="5"/>
  <c r="Y17" i="5"/>
  <c r="Z17" i="5"/>
  <c r="AA17" i="5" s="1"/>
  <c r="AB17" i="5"/>
  <c r="Y18" i="5"/>
  <c r="Z18" i="5"/>
  <c r="AA18" i="5" s="1"/>
  <c r="AB18" i="5"/>
  <c r="Y19" i="5"/>
  <c r="Z19" i="5"/>
  <c r="AA19" i="5" s="1"/>
  <c r="AB19" i="5"/>
  <c r="Y20" i="5"/>
  <c r="Z20" i="5"/>
  <c r="AA20" i="5" s="1"/>
  <c r="AB20" i="5"/>
  <c r="Y21" i="5"/>
  <c r="Z21" i="5"/>
  <c r="AA21" i="5" s="1"/>
  <c r="AB21" i="5"/>
  <c r="Y22" i="5"/>
  <c r="Z22" i="5"/>
  <c r="AA22" i="5" s="1"/>
  <c r="AB22" i="5"/>
  <c r="Y23" i="5"/>
  <c r="Z23" i="5"/>
  <c r="AA23" i="5" s="1"/>
  <c r="AB23" i="5"/>
  <c r="Y24" i="5"/>
  <c r="Z24" i="5"/>
  <c r="AA24" i="5" s="1"/>
  <c r="AB24" i="5"/>
  <c r="Y25" i="5"/>
  <c r="Z25" i="5"/>
  <c r="AA25" i="5" s="1"/>
  <c r="AB25" i="5"/>
  <c r="Y26" i="5"/>
  <c r="Z26" i="5"/>
  <c r="AA26" i="5" s="1"/>
  <c r="AB26" i="5"/>
  <c r="Y27" i="5"/>
  <c r="Z27" i="5"/>
  <c r="AA27" i="5" s="1"/>
  <c r="AB27" i="5"/>
  <c r="Y46" i="5"/>
  <c r="Z46" i="5"/>
  <c r="AA46" i="5" s="1"/>
  <c r="AB46" i="5"/>
  <c r="Y47" i="5"/>
  <c r="Z47" i="5"/>
  <c r="AA47" i="5" s="1"/>
  <c r="AB47" i="5"/>
  <c r="Y48" i="5"/>
  <c r="Z48" i="5"/>
  <c r="AA48" i="5" s="1"/>
  <c r="AB48" i="5"/>
  <c r="Y49" i="5"/>
  <c r="Z49" i="5"/>
  <c r="AA49" i="5" s="1"/>
  <c r="AB49" i="5"/>
  <c r="Y50" i="5"/>
  <c r="Z50" i="5"/>
  <c r="AA50" i="5" s="1"/>
  <c r="AB50" i="5"/>
  <c r="Y51" i="5"/>
  <c r="Z51" i="5"/>
  <c r="AA51" i="5" s="1"/>
  <c r="AB51" i="5"/>
  <c r="Y52" i="5"/>
  <c r="Z52" i="5"/>
  <c r="AA52" i="5" s="1"/>
  <c r="AB52" i="5"/>
  <c r="Y53" i="5"/>
  <c r="Z53" i="5"/>
  <c r="AA53" i="5" s="1"/>
  <c r="AB53" i="5"/>
  <c r="Y54" i="5"/>
  <c r="Z54" i="5"/>
  <c r="AA54" i="5" s="1"/>
  <c r="AB54" i="5"/>
  <c r="Y55" i="5"/>
  <c r="Z55" i="5"/>
  <c r="AA55" i="5" s="1"/>
  <c r="AB55" i="5"/>
  <c r="Y56" i="5"/>
  <c r="Z56" i="5"/>
  <c r="AA56" i="5" s="1"/>
  <c r="AB56" i="5"/>
  <c r="Y57" i="5"/>
  <c r="Z57" i="5"/>
  <c r="AA57" i="5" s="1"/>
  <c r="AB57" i="5"/>
  <c r="Y58" i="5"/>
  <c r="Z58" i="5"/>
  <c r="AA58" i="5" s="1"/>
  <c r="AB58" i="5"/>
  <c r="Y59" i="5"/>
  <c r="Z59" i="5"/>
  <c r="AA59" i="5" s="1"/>
  <c r="AB59" i="5"/>
  <c r="Y60" i="5"/>
  <c r="Z60" i="5"/>
  <c r="AA60" i="5" s="1"/>
  <c r="AB60" i="5"/>
  <c r="Y61" i="5"/>
  <c r="Z61" i="5"/>
  <c r="AA61" i="5" s="1"/>
  <c r="AB61" i="5"/>
  <c r="Y62" i="5"/>
  <c r="Z62" i="5"/>
  <c r="AA62" i="5" s="1"/>
  <c r="AB62" i="5"/>
  <c r="Y63" i="5"/>
  <c r="Z63" i="5"/>
  <c r="AA63" i="5" s="1"/>
  <c r="AB63" i="5"/>
  <c r="Y64" i="5"/>
  <c r="Z64" i="5"/>
  <c r="AA64" i="5" s="1"/>
  <c r="AB64" i="5"/>
  <c r="Y65" i="5"/>
  <c r="Z65" i="5"/>
  <c r="AA65" i="5" s="1"/>
  <c r="AB65" i="5"/>
  <c r="Y66" i="5"/>
  <c r="Z66" i="5"/>
  <c r="AA66" i="5" s="1"/>
  <c r="AB66" i="5"/>
  <c r="Y67" i="5"/>
  <c r="Z67" i="5"/>
  <c r="AA67" i="5" s="1"/>
  <c r="AB67" i="5"/>
  <c r="Y68" i="5"/>
  <c r="Z68" i="5"/>
  <c r="AA68" i="5" s="1"/>
  <c r="AB68" i="5"/>
  <c r="Y81" i="5"/>
  <c r="Z81" i="5"/>
  <c r="AA81" i="5" s="1"/>
  <c r="AB81" i="5"/>
  <c r="AB3" i="5"/>
  <c r="Z3" i="5"/>
  <c r="AA3" i="5" s="1"/>
  <c r="Y3" i="5"/>
  <c r="N30" i="4" l="1"/>
  <c r="H16" i="7" l="1"/>
  <c r="G16" i="7"/>
  <c r="F16" i="7"/>
  <c r="I51" i="6"/>
  <c r="H31" i="4" l="1"/>
  <c r="H30" i="4"/>
  <c r="E27" i="7" l="1"/>
  <c r="B27" i="7"/>
  <c r="O51" i="6" l="1"/>
  <c r="Y51" i="6" s="1"/>
  <c r="O53" i="6"/>
  <c r="Y53" i="6" s="1"/>
  <c r="O52" i="6"/>
  <c r="Y52" i="6" s="1"/>
  <c r="K53" i="6"/>
  <c r="K52" i="6"/>
  <c r="I53" i="6"/>
  <c r="I52" i="6"/>
  <c r="N32" i="4"/>
  <c r="N31" i="4"/>
  <c r="J32" i="4"/>
  <c r="J31" i="4"/>
  <c r="J30" i="4"/>
  <c r="H32" i="4"/>
  <c r="I82" i="5"/>
  <c r="B26" i="7" l="1"/>
  <c r="B25" i="7"/>
  <c r="B24" i="7"/>
  <c r="B29" i="7"/>
  <c r="B28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N27" i="7"/>
  <c r="M27" i="7"/>
  <c r="L27" i="7"/>
  <c r="K27" i="7"/>
  <c r="J27" i="7"/>
  <c r="I27" i="7"/>
  <c r="H27" i="7"/>
  <c r="F27" i="7"/>
  <c r="D27" i="7"/>
  <c r="C27" i="7"/>
  <c r="G27" i="7" l="1"/>
  <c r="O26" i="7"/>
  <c r="N26" i="7"/>
  <c r="M26" i="7"/>
  <c r="L26" i="7"/>
  <c r="K26" i="7"/>
  <c r="J26" i="7"/>
  <c r="I26" i="7"/>
  <c r="H26" i="7"/>
  <c r="G26" i="7"/>
  <c r="F26" i="7"/>
  <c r="E26" i="7"/>
  <c r="C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D26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 l="1"/>
  <c r="P24" i="7" s="1"/>
  <c r="B19" i="7" l="1"/>
  <c r="B18" i="7"/>
  <c r="B17" i="7"/>
  <c r="B15" i="7"/>
  <c r="B14" i="7"/>
  <c r="B13" i="7"/>
  <c r="O19" i="7"/>
  <c r="N19" i="7"/>
  <c r="M19" i="7"/>
  <c r="L19" i="7"/>
  <c r="K19" i="7"/>
  <c r="J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19" i="7"/>
  <c r="C18" i="7"/>
  <c r="C17" i="7"/>
  <c r="P28" i="7" l="1"/>
  <c r="C15" i="7"/>
  <c r="C14" i="7"/>
  <c r="C13" i="7"/>
  <c r="P29" i="7" l="1"/>
  <c r="Q28" i="7"/>
  <c r="Q26" i="7"/>
  <c r="P26" i="7"/>
  <c r="Q25" i="7"/>
  <c r="P25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O22" i="7"/>
  <c r="N22" i="7"/>
  <c r="M22" i="7"/>
  <c r="L22" i="7"/>
  <c r="K22" i="7"/>
  <c r="J22" i="7"/>
  <c r="H22" i="7"/>
  <c r="F22" i="7"/>
  <c r="E22" i="7"/>
  <c r="D22" i="7"/>
  <c r="C22" i="7"/>
  <c r="B22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N33" i="3"/>
  <c r="N32" i="3"/>
  <c r="N31" i="3"/>
  <c r="J33" i="3"/>
  <c r="J32" i="3"/>
  <c r="J31" i="3"/>
  <c r="H32" i="3"/>
  <c r="H31" i="3"/>
  <c r="O85" i="5"/>
  <c r="O84" i="5"/>
  <c r="O83" i="5"/>
  <c r="K85" i="5"/>
  <c r="K84" i="5"/>
  <c r="K83" i="5"/>
  <c r="I84" i="5"/>
  <c r="I83" i="5"/>
  <c r="P19" i="7"/>
  <c r="P18" i="7"/>
  <c r="Q17" i="7"/>
  <c r="P17" i="7"/>
  <c r="Q15" i="7"/>
  <c r="P15" i="7"/>
  <c r="P14" i="7"/>
  <c r="Q13" i="7"/>
  <c r="P13" i="7"/>
  <c r="AB52" i="6" l="1"/>
  <c r="AB85" i="5"/>
  <c r="AB84" i="5"/>
  <c r="Y83" i="5"/>
  <c r="Z83" i="5"/>
  <c r="AA83" i="5" s="1"/>
  <c r="Z85" i="5"/>
  <c r="AA85" i="5" s="1"/>
  <c r="AB83" i="5"/>
  <c r="Z84" i="5"/>
  <c r="AA84" i="5" s="1"/>
  <c r="Z52" i="6"/>
  <c r="AA52" i="6" s="1"/>
  <c r="AA32" i="3"/>
  <c r="Y32" i="3"/>
  <c r="X33" i="3"/>
  <c r="Y33" i="3"/>
  <c r="AA33" i="3"/>
  <c r="Y31" i="4"/>
  <c r="D34" i="7"/>
  <c r="H34" i="7"/>
  <c r="L34" i="7"/>
  <c r="C34" i="7"/>
  <c r="K34" i="7"/>
  <c r="O34" i="7"/>
  <c r="E34" i="7"/>
  <c r="M34" i="7"/>
  <c r="B34" i="7"/>
  <c r="F34" i="7"/>
  <c r="J34" i="7"/>
  <c r="N34" i="7"/>
  <c r="AA31" i="4"/>
  <c r="P32" i="7"/>
  <c r="Q31" i="7"/>
  <c r="P31" i="7"/>
  <c r="P22" i="7"/>
  <c r="P21" i="7"/>
  <c r="Q21" i="7"/>
  <c r="X31" i="4"/>
  <c r="X31" i="3" l="1"/>
  <c r="Y31" i="3"/>
  <c r="P34" i="7"/>
  <c r="AA31" i="3"/>
  <c r="O23" i="7"/>
  <c r="N23" i="7"/>
  <c r="N35" i="7" s="1"/>
  <c r="M23" i="7"/>
  <c r="M35" i="7" s="1"/>
  <c r="L23" i="7"/>
  <c r="L35" i="7" s="1"/>
  <c r="K23" i="7"/>
  <c r="K35" i="7" s="1"/>
  <c r="J23" i="7"/>
  <c r="J35" i="7" s="1"/>
  <c r="H23" i="7"/>
  <c r="H35" i="7" s="1"/>
  <c r="G23" i="7"/>
  <c r="G35" i="7" s="1"/>
  <c r="F23" i="7"/>
  <c r="F35" i="7" s="1"/>
  <c r="E23" i="7"/>
  <c r="E35" i="7" s="1"/>
  <c r="D23" i="7"/>
  <c r="D35" i="7" s="1"/>
  <c r="C23" i="7"/>
  <c r="C35" i="7" s="1"/>
  <c r="B23" i="7"/>
  <c r="B35" i="7" s="1"/>
  <c r="I85" i="5"/>
  <c r="H33" i="3"/>
  <c r="AB53" i="6" l="1"/>
  <c r="Z51" i="6"/>
  <c r="AA51" i="6" s="1"/>
  <c r="AB51" i="6"/>
  <c r="Z53" i="6"/>
  <c r="AA53" i="6" s="1"/>
  <c r="Q29" i="7"/>
  <c r="O32" i="7"/>
  <c r="Q32" i="7" s="1"/>
  <c r="G30" i="7"/>
  <c r="K30" i="7"/>
  <c r="O30" i="7"/>
  <c r="H30" i="7"/>
  <c r="L30" i="7"/>
  <c r="Q24" i="7"/>
  <c r="P35" i="7"/>
  <c r="P27" i="7"/>
  <c r="Q27" i="7"/>
  <c r="J30" i="7"/>
  <c r="E30" i="7"/>
  <c r="I30" i="7"/>
  <c r="M30" i="7"/>
  <c r="F30" i="7"/>
  <c r="N30" i="7"/>
  <c r="C30" i="7"/>
  <c r="D30" i="7"/>
  <c r="B30" i="7"/>
  <c r="B16" i="7"/>
  <c r="B12" i="7"/>
  <c r="O16" i="7"/>
  <c r="N16" i="7"/>
  <c r="M16" i="7"/>
  <c r="L16" i="7"/>
  <c r="K16" i="7"/>
  <c r="J16" i="7"/>
  <c r="O12" i="7"/>
  <c r="N12" i="7"/>
  <c r="M12" i="7"/>
  <c r="L12" i="7"/>
  <c r="K12" i="7"/>
  <c r="J12" i="7"/>
  <c r="H12" i="7"/>
  <c r="Y30" i="4" l="1"/>
  <c r="N20" i="7"/>
  <c r="N33" i="7" s="1"/>
  <c r="J20" i="7"/>
  <c r="J33" i="7" s="1"/>
  <c r="M20" i="7"/>
  <c r="M33" i="7" s="1"/>
  <c r="O35" i="7"/>
  <c r="O20" i="7"/>
  <c r="O33" i="7" s="1"/>
  <c r="H20" i="7"/>
  <c r="H33" i="7" s="1"/>
  <c r="K20" i="7"/>
  <c r="K33" i="7" s="1"/>
  <c r="Q30" i="7"/>
  <c r="P30" i="7"/>
  <c r="B20" i="7"/>
  <c r="L20" i="7"/>
  <c r="L33" i="7" s="1"/>
  <c r="AA30" i="4"/>
  <c r="X30" i="4"/>
  <c r="E16" i="7" l="1"/>
  <c r="E20" i="7" l="1"/>
  <c r="E33" i="7" s="1"/>
  <c r="G12" i="7"/>
  <c r="F12" i="7"/>
  <c r="C16" i="7"/>
  <c r="C12" i="7"/>
  <c r="B33" i="7"/>
  <c r="N30" i="3"/>
  <c r="Z82" i="5" l="1"/>
  <c r="AA82" i="5" s="1"/>
  <c r="Y30" i="3"/>
  <c r="C20" i="7"/>
  <c r="C33" i="7" s="1"/>
  <c r="F20" i="7"/>
  <c r="X32" i="4"/>
  <c r="Y32" i="4"/>
  <c r="D16" i="7"/>
  <c r="P16" i="7" s="1"/>
  <c r="AA30" i="3"/>
  <c r="AB82" i="5"/>
  <c r="D12" i="7"/>
  <c r="AA32" i="4"/>
  <c r="D20" i="7" l="1"/>
  <c r="P20" i="7" s="1"/>
  <c r="F33" i="7"/>
  <c r="P12" i="7"/>
  <c r="D33" i="7" l="1"/>
  <c r="P33" i="7" s="1"/>
  <c r="P23" i="7"/>
  <c r="Y84" i="5" l="1"/>
  <c r="G18" i="7"/>
  <c r="G22" i="7" s="1"/>
  <c r="G34" i="7" l="1"/>
  <c r="G20" i="7"/>
  <c r="Q18" i="7"/>
  <c r="G33" i="7" l="1"/>
  <c r="Y85" i="5" l="1"/>
  <c r="I19" i="7"/>
  <c r="I23" i="7" s="1"/>
  <c r="I16" i="7"/>
  <c r="Q16" i="7" s="1"/>
  <c r="Y82" i="5" l="1"/>
  <c r="I35" i="7"/>
  <c r="Q35" i="7" s="1"/>
  <c r="Q23" i="7"/>
  <c r="Q19" i="7"/>
  <c r="I14" i="7"/>
  <c r="Q14" i="7" s="1"/>
  <c r="I12" i="7"/>
  <c r="I20" i="7" s="1"/>
  <c r="X30" i="3"/>
  <c r="X32" i="3"/>
  <c r="I33" i="7" l="1"/>
  <c r="Q33" i="7" s="1"/>
  <c r="Q20" i="7"/>
  <c r="I22" i="7"/>
  <c r="Q12" i="7"/>
  <c r="I34" i="7" l="1"/>
  <c r="Q34" i="7" s="1"/>
  <c r="Q22" i="7"/>
</calcChain>
</file>

<file path=xl/comments1.xml><?xml version="1.0" encoding="utf-8"?>
<comments xmlns="http://schemas.openxmlformats.org/spreadsheetml/2006/main">
  <authors>
    <author>Jerzy Pitera</author>
  </authors>
  <commentLis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5 339 756,00 zł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3 559 840,25 zł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2 669 878 zł.</t>
        </r>
      </text>
    </comment>
  </commentList>
</comments>
</file>

<file path=xl/comments2.xml><?xml version="1.0" encoding="utf-8"?>
<comments xmlns="http://schemas.openxmlformats.org/spreadsheetml/2006/main">
  <authors>
    <author>Jerzy Pitera</author>
  </authors>
  <commentList>
    <comment ref="L81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1 512 555,00 zł</t>
        </r>
      </text>
    </comment>
    <comment ref="M81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1 008 370,36 zł</t>
        </r>
      </text>
    </comment>
    <comment ref="S81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1 512 555,00 zł</t>
        </r>
      </text>
    </comment>
  </commentList>
</comments>
</file>

<file path=xl/comments3.xml><?xml version="1.0" encoding="utf-8"?>
<comments xmlns="http://schemas.openxmlformats.org/spreadsheetml/2006/main">
  <authors>
    <author>Jerzy Pitera</author>
  </authors>
  <commentLis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1 282 794 zł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1 282 795,44 zł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1 282 794 zł</t>
        </r>
      </text>
    </comment>
  </commentList>
</comments>
</file>

<file path=xl/comments4.xml><?xml version="1.0" encoding="utf-8"?>
<comments xmlns="http://schemas.openxmlformats.org/spreadsheetml/2006/main">
  <authors>
    <author>Jerzy Pitera</author>
  </authors>
  <commentList>
    <comment ref="L50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528.500,00 zł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528 500,00 zł</t>
        </r>
      </text>
    </comment>
    <comment ref="S50" authorId="0" shapeId="0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 528.500,00 zł</t>
        </r>
      </text>
    </comment>
  </commentList>
</comments>
</file>

<file path=xl/sharedStrings.xml><?xml version="1.0" encoding="utf-8"?>
<sst xmlns="http://schemas.openxmlformats.org/spreadsheetml/2006/main" count="1392" uniqueCount="618">
  <si>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</si>
  <si>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</si>
  <si>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</si>
  <si>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</si>
  <si>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</si>
  <si>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</si>
  <si>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</si>
  <si>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</si>
  <si>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</si>
  <si>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</si>
  <si>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</si>
  <si>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</si>
  <si>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</si>
  <si>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</si>
  <si>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</si>
  <si>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</si>
  <si>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</si>
  <si>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</si>
  <si>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</si>
  <si>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</si>
  <si>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</si>
  <si>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</si>
  <si>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</si>
  <si>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</si>
  <si>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</si>
  <si>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</si>
  <si>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</si>
  <si>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</si>
  <si>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</si>
  <si>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</si>
  <si>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</si>
  <si>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</si>
  <si>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</si>
  <si>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</si>
  <si>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</si>
  <si>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</si>
  <si>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</si>
  <si>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</si>
  <si>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</si>
  <si>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</si>
  <si>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</si>
  <si>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</si>
  <si>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</si>
  <si>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</si>
  <si>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</si>
  <si>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</si>
  <si>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</si>
  <si>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</si>
  <si>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stalowowolski</t>
  </si>
  <si>
    <t>rzeszowski</t>
  </si>
  <si>
    <t>łańcucki</t>
  </si>
  <si>
    <t>ropczycko-sędziszowski</t>
  </si>
  <si>
    <t>jarosławski</t>
  </si>
  <si>
    <t>kwota gminy/powiaty</t>
  </si>
  <si>
    <t>Rezerwa</t>
  </si>
  <si>
    <t>różnica</t>
  </si>
  <si>
    <t>pełna wartość dofinansowania</t>
  </si>
  <si>
    <t>Lista zadań rekomendowanych do dofinansowania w ramach Rządowego Funduszu Rozwoju Dróg</t>
  </si>
  <si>
    <t>różnica ostatnie zadanie</t>
  </si>
  <si>
    <t>wartość ostatnie zadanie</t>
  </si>
  <si>
    <t>róznica pomiędzy zadaniem a 75%</t>
  </si>
  <si>
    <t>krośnieński</t>
  </si>
  <si>
    <t>dębicki</t>
  </si>
  <si>
    <t>lubaczowski</t>
  </si>
  <si>
    <t>150/20/1</t>
  </si>
  <si>
    <t>K</t>
  </si>
  <si>
    <t>Gmina Krasne</t>
  </si>
  <si>
    <t>1816092</t>
  </si>
  <si>
    <t>Budowa drogi Malawa Zagóra w miejscowości Malawa Gmina Krasne</t>
  </si>
  <si>
    <t>B</t>
  </si>
  <si>
    <t>65/20/2</t>
  </si>
  <si>
    <t>Gmina Łańcut</t>
  </si>
  <si>
    <t>1810042</t>
  </si>
  <si>
    <t>Budowa drogi gminnej publicznej "Albigowa - Granice" w miejscowości Albigowa</t>
  </si>
  <si>
    <t>7/20/2</t>
  </si>
  <si>
    <t>Gmina Sędziszów Małopolski</t>
  </si>
  <si>
    <t>1815043</t>
  </si>
  <si>
    <t>Budowa ulicy 1KZ, rozbudowa ulicy M. Konopnickiej i Armii Krajowej w Sędziszowie Małopolskim</t>
  </si>
  <si>
    <t>214/21</t>
  </si>
  <si>
    <t>Miasto Stalowa Wola</t>
  </si>
  <si>
    <t>powiat stalowowolski</t>
  </si>
  <si>
    <t>Przebudowa drogi gminnej nr 101001R o długości 1,659 km ul. Działkowa w Stalowej Woli</t>
  </si>
  <si>
    <t>P</t>
  </si>
  <si>
    <t>204/21</t>
  </si>
  <si>
    <t>Przebudowa drogi gminnej nr 100986R o km od 0+016,5 do 0+553,0 - ul. Gen. L. Okulickiego w Stalowej Woli</t>
  </si>
  <si>
    <t>10/21</t>
  </si>
  <si>
    <t>Gmina Nowa Dęba</t>
  </si>
  <si>
    <t>Powiat Tarnobrzeski</t>
  </si>
  <si>
    <t>Budowa drogi dojazdowej do Tarnobrzeskiej Specjalnej Strefy Ekonomicznej ulicy Śmiśniewicza w Nowej Dębie</t>
  </si>
  <si>
    <t>141/21</t>
  </si>
  <si>
    <t>Gmina Sędziszów Młp.</t>
  </si>
  <si>
    <t>powiat ropczycko-sędziszowski</t>
  </si>
  <si>
    <t>Rozbudowa oraz budowa drogi gminnej wraz z niezbędną infrastrukturą w miejscowości Góra Ropczycka (za cmentarzem)</t>
  </si>
  <si>
    <t>88/21</t>
  </si>
  <si>
    <t>Miasto i Gmina Kańczuga</t>
  </si>
  <si>
    <t>powiat przeworski</t>
  </si>
  <si>
    <t>Budowa - rozbudowa dróg gminnych publicznych nr G110740R Pantalowice - Siedleczka w km 0+078 - 1+200 i Nr G110789R Pantalowice - Rondo w km 0+031 - 0+629 miejscowości Pantalowice w gminie Kańczuga wraz z budową i przebudową infrastruktury technicznej</t>
  </si>
  <si>
    <t>73/21</t>
  </si>
  <si>
    <t>Miasto Dębica</t>
  </si>
  <si>
    <t>powiat dębicki</t>
  </si>
  <si>
    <t>Przebudowa dróg gminnych nr 105887 (ul. Mościckiego) i 105888 (ul. Metalowców) w Dębicy</t>
  </si>
  <si>
    <t>152/21</t>
  </si>
  <si>
    <t>Gmina Nowa Sarzyna</t>
  </si>
  <si>
    <t>Powiat Leżajski</t>
  </si>
  <si>
    <t>Rozbudowa i przebudowa drogi gminnej nr 104702R w miejscowościach Łętownia i Wólka Łętowska</t>
  </si>
  <si>
    <t>174/21</t>
  </si>
  <si>
    <t>Gmina Radomyśl nad Sanem</t>
  </si>
  <si>
    <t>Przebudowa drogi gminnej nr 101304R Witkowice - Chwałowice - Łążek na odcinku Chwałowice - Łążek Chwałowski w km 1+000 - 5+658</t>
  </si>
  <si>
    <t>109/21</t>
  </si>
  <si>
    <t>Miasto Krosno</t>
  </si>
  <si>
    <t>mnp</t>
  </si>
  <si>
    <t>Rozbudowa drogi gminnej nr 119502R ul. Sportowej w Krośnie</t>
  </si>
  <si>
    <t>59/22</t>
  </si>
  <si>
    <t>Gmina Trzebownisko</t>
  </si>
  <si>
    <t>Rozbudowa drogi gminnej 108815 wraz z infrastrukturą techniczną, budowlami i urządzeniami budowlanymi  w miejscowości Zaczernie. Gmina Trzebownisko oraz na odcinku drogi położonej na działce nr ewid. 188/2 (188) zlokalizowanej na terenie miasta Rzeszowa obręb 0229 Pogwizdów, leżącej w ciągu drogi gminnej 108815 wraz z rozbiórką istniejącego i budową nowego mostu na rzece Czarna w miejscowości Zaczernie gmina Trzebownisko</t>
  </si>
  <si>
    <t>164/22</t>
  </si>
  <si>
    <t>Gmina Miasto Krosno</t>
  </si>
  <si>
    <t>Rozbudowa drogi gminnej nr 119636R - ulicy I. J. Paderewskiego w Krośnie wraz z rozbiórką i budową obiektu mostowego przez potok Lubatówka</t>
  </si>
  <si>
    <t>39/22</t>
  </si>
  <si>
    <t>ropczycko -sędziszowski</t>
  </si>
  <si>
    <t>Rozbudowa i przebudowa drogi gminnej nr 107605R w Czarnej Sędziszowskiej od skrzyżowania z drogą wojewódzką nr 987 do drogi powiatowej nr 1330R w Boreczku (0+000 - 4+370,30)</t>
  </si>
  <si>
    <t>58/22</t>
  </si>
  <si>
    <t>Rozbudowa drogi gminnej 108811 wraz z infrastruktura techniczną, budowlami i urządzeniami budowlanymi oraz rozbiórką istniejącego i budowę nowego mostu nad potokiem Szuwarka w miejscowości Jasionka gmina Trzebownisko</t>
  </si>
  <si>
    <t>61/22</t>
  </si>
  <si>
    <t>Gmina Pawłosiów</t>
  </si>
  <si>
    <t>Przebudowa drogi gminnej nr 111602R Tywonia - Wierzbna km 0+996 - 1+995</t>
  </si>
  <si>
    <t>15/22</t>
  </si>
  <si>
    <t>Gmina Wojaszówka</t>
  </si>
  <si>
    <t>Rozbudowa, przebudowa, ciągu drogi gminnej Nr 115154R oraz drogi wewnętrznej dz. Nr ewid. 753/41 i Nr 753/27  miejscowości Łęki Strzyżowskie wraz z budową mostu przez rzekę Wisłok w miejscowości Łęki Strzyżowskie</t>
  </si>
  <si>
    <t>68/22</t>
  </si>
  <si>
    <t>Gmina Ostrów</t>
  </si>
  <si>
    <t>Przebudowa drogi gminnej nr 107457R Zagrody - Huta Przedborska w miejscowości Kamionka, Gmina Ostrów</t>
  </si>
  <si>
    <t>143/22</t>
  </si>
  <si>
    <t>Gmina Stalowa Wola</t>
  </si>
  <si>
    <t>Rozbudowa wraz z budową nowego odcinka drogi gminnej nr G101032R - ul. Spacerowej oraz przebudowa skrzyżowania z drogą wojewódzką (starodrożem DK77) - ul. Energetyków w Stalowej Woli</t>
  </si>
  <si>
    <t>106/22</t>
  </si>
  <si>
    <t>Gmina Miejska Jarosław</t>
  </si>
  <si>
    <t>Przebudowa drogi gminnej klasy Z nr 111318R ul. Przemysłowa w Jarosławiu od km 0+000,00 do km 0+897,00</t>
  </si>
  <si>
    <t>181/22</t>
  </si>
  <si>
    <t>Gmina Lubaczów</t>
  </si>
  <si>
    <t>Budowa drogi dojazdowej i dróg osiedlowych wraz z infrastrukturą (kanalizacja deszczowa, oświetlenie uliczne, kanał technologiczny) w Dąbkowie</t>
  </si>
  <si>
    <t>124/22</t>
  </si>
  <si>
    <t>Gmina Dębica</t>
  </si>
  <si>
    <t>Przebudowa drogi wewnętrznej gminnej w Km 0+000,00 - 0+310,70 oraz budowa drogi wewnętrznej gminnej w Km 0+000,00 - 0+331,30 w m. Pustynia</t>
  </si>
  <si>
    <t>127/22</t>
  </si>
  <si>
    <t>Przebudowa drogi gminnej nr 106353R w Km 0+014,27 - 0+942,75 w m. Podgrodzie</t>
  </si>
  <si>
    <t>76/23</t>
  </si>
  <si>
    <t>W</t>
  </si>
  <si>
    <t>Krośnieński</t>
  </si>
  <si>
    <t>Rozbudowa drogi gminnej Nr 115192R i drogi nr ewid. Dz. 1360 w miejscowości Odrzykoń wraz z budową mostu przez rzekę Wisłok w systemie zaprojektuj wybuduj</t>
  </si>
  <si>
    <t>69/23</t>
  </si>
  <si>
    <t>N</t>
  </si>
  <si>
    <t>Gmina Olszanica</t>
  </si>
  <si>
    <t>Leski</t>
  </si>
  <si>
    <t>Przebudowa drogi gminnej nr 118318R o długości 0,643 km w miejscowości Uherce Mineralne - w zakresie budowy chodnika</t>
  </si>
  <si>
    <t>129/23</t>
  </si>
  <si>
    <t>Gmina i Miasto Ulanów</t>
  </si>
  <si>
    <t>Niżański</t>
  </si>
  <si>
    <t>Budowa mostu na rzece San wraz z przebudowa drogi gminnej ul. Św. Wojciecha w miejscowości Bieliny w km 1+256 - 2+406</t>
  </si>
  <si>
    <t>94/23</t>
  </si>
  <si>
    <t>Gmina Baranów Sandomierski</t>
  </si>
  <si>
    <t>Tarnobrzeski</t>
  </si>
  <si>
    <t>Przebudowa drogi gminnej nr 100012R ulica Mielecka w miejscowości Skopanie i Baranów Sandomierski w km 0+000,00 - 1+809,90</t>
  </si>
  <si>
    <t>117/23</t>
  </si>
  <si>
    <t>Gmina Harasiuki</t>
  </si>
  <si>
    <t>Przebudowa drogi gminnej Nr 102103R w miejscowości Maziarnia od km 0+000 do km 0+699,95</t>
  </si>
  <si>
    <t>133/23</t>
  </si>
  <si>
    <t>Gmina Tryńcza</t>
  </si>
  <si>
    <t>Przeworski</t>
  </si>
  <si>
    <t>Przebudowa drogi gminnej nr 111007R Gniewczyna Łańcucka - Gniewczyna Tryniecka</t>
  </si>
  <si>
    <t>36/23</t>
  </si>
  <si>
    <t>Gmina Fredropol</t>
  </si>
  <si>
    <t>Przemyski</t>
  </si>
  <si>
    <t>Przebudowa drogi gminnej nr 116110R Fredropol - Os. Młodowice - Kupiatycze w km 1+800 - 2+636</t>
  </si>
  <si>
    <t>57/23</t>
  </si>
  <si>
    <t>Gmina Chłopice</t>
  </si>
  <si>
    <t>Jarosławski</t>
  </si>
  <si>
    <t>Rozbudowa drogi gminnej klasy technicznej D Nr 111458R poprzez budowę chodnika w miejscowości Dobkowice od mostu do parkingu przy stadionie sportowym, od km 0+115 do km 0+521</t>
  </si>
  <si>
    <t>59/23</t>
  </si>
  <si>
    <t>Łańcucki</t>
  </si>
  <si>
    <t>Budowa drogi gminnej publicznej Rogóżno - Gać w km 0+000 - 1+085 w miejscowościach Kosina i Rogóźno</t>
  </si>
  <si>
    <t>110/23</t>
  </si>
  <si>
    <t>Gmina i Miasto Nisko</t>
  </si>
  <si>
    <t>Przebudowa drogi gminnej publicznej nr 102567R ul. Akacjowej w msc. Racławice w km od 0+000,00 do 0+885,20</t>
  </si>
  <si>
    <t>115/23</t>
  </si>
  <si>
    <t>Gmina Pruchnik</t>
  </si>
  <si>
    <t>Przebudowa drogi gminnej Nr 111679R od km 0+000 do km 0+398 w miejscowości Kramarzówka</t>
  </si>
  <si>
    <t>103/23</t>
  </si>
  <si>
    <t>Lubaczowski</t>
  </si>
  <si>
    <t>Przebudowa drogi gminnej nr 105109R Piastowo - przez wieś km 0+000 - km 0+385</t>
  </si>
  <si>
    <t>142/23</t>
  </si>
  <si>
    <t>Gmina Gać</t>
  </si>
  <si>
    <t>Przebudowa drogi gminnej publicznej nr 110569R Gać - Sietesz "koło Siupika" w km od 0+000 do 0+330</t>
  </si>
  <si>
    <t>89/23</t>
  </si>
  <si>
    <t>Gmina Ustrzyki Dolne</t>
  </si>
  <si>
    <t>Bieszczadzki</t>
  </si>
  <si>
    <t>Remont drogi gminnej nr 119233R w km 0+000 do 0+964 w miejscowości Ustrzyki Dolne ul. Kolejowa</t>
  </si>
  <si>
    <t>R</t>
  </si>
  <si>
    <t>150/23</t>
  </si>
  <si>
    <t>Rozbudowa drogi gminnej klasy "L" Nr 111320R ul. Pełkińskiej w Jarosławiu od km 0+936,90 do km 1+935,90</t>
  </si>
  <si>
    <t>124/23</t>
  </si>
  <si>
    <t>Gmina Jarosław</t>
  </si>
  <si>
    <t>Przebudowa drogi gminnej Nr 111523R Morawsko w kierunku Łowiec km 0+000 - 1+087 wraz z niebędną infrastrukturą techniczną w miejscowości Morawsko</t>
  </si>
  <si>
    <t>54/23</t>
  </si>
  <si>
    <t>Rozbudowa drogi gminnej publicznej nr G110710R Niżatyce - Żuklin w miejscowości Niżatyce</t>
  </si>
  <si>
    <t>8/23</t>
  </si>
  <si>
    <t>Gmina Brzostek</t>
  </si>
  <si>
    <t>Dębicki</t>
  </si>
  <si>
    <t>Rozbudowa odcinka drogi gminnej o nr 106135R Przeczyca-Skurowa wraz z infrastrukturą towarzyszącą</t>
  </si>
  <si>
    <t>113/23</t>
  </si>
  <si>
    <t>Gmina Skołyszyn</t>
  </si>
  <si>
    <t>Jasielski</t>
  </si>
  <si>
    <t>Przebudowa drogi gminnej nr 113681R w km 0+273 - 0+472,5 polegająca na wykonaniu chodnika wraz infrastrukturą towarzyszącą oraz remontem mostu w ciągu tej drogi w km 0+472,5 - 0+506,5 w miejscowości Święcany, Gmina Skołyszyn</t>
  </si>
  <si>
    <t>5/23</t>
  </si>
  <si>
    <t>Gmina Głogów Małopolski</t>
  </si>
  <si>
    <t>Rzeszowski</t>
  </si>
  <si>
    <t>Przebudowa i rozbudowa drogi gminnej nr 108402R od 0+142,42 do 2+672,70 w miejscowości Przewrotne</t>
  </si>
  <si>
    <t>163/23</t>
  </si>
  <si>
    <t>Gmina Świlcza</t>
  </si>
  <si>
    <t>Przebudowa drogi gminnej 108758R na odcinku od km 0+000,00 do km 1+164,00 w miejscowości Trzciana</t>
  </si>
  <si>
    <t>34/23</t>
  </si>
  <si>
    <t>Gmina Besko</t>
  </si>
  <si>
    <t>Sanocki</t>
  </si>
  <si>
    <t>Przebudowa drogi gminnej nr 117204R ul. Górska w Besku długości 0,9 km</t>
  </si>
  <si>
    <t>125/23</t>
  </si>
  <si>
    <t>Przebudowa drogi gminnej 111525 - ul. Jana Pawła II w m. Tuczempy poprzez budowę chodnika</t>
  </si>
  <si>
    <t>121/23</t>
  </si>
  <si>
    <t>Przebudowa drogi gminnej w miejscowości Paszczyna na dz. 1162, 923/12, 923/19, 1158/2 obręb 0008 Paszczyna</t>
  </si>
  <si>
    <t>91/23</t>
  </si>
  <si>
    <t>Gmina Pysznica</t>
  </si>
  <si>
    <t>Stalowowolski</t>
  </si>
  <si>
    <t>Przebudowa drogi gminnej nr 101234R od km 0+000 do km 0+990 w m. Kłyżów - Krzaki</t>
  </si>
  <si>
    <t>7/23</t>
  </si>
  <si>
    <t>Gmina Orły</t>
  </si>
  <si>
    <t>Przebudowa drogi gminnej nr 116389R w m-ci Orły od km 0+000 - 0+650</t>
  </si>
  <si>
    <t>58/23</t>
  </si>
  <si>
    <t>Budowa drogi gminnej publicznej łączącej drogę powiatową nr 1502R Dąbrówki - Wola Dalsza - Głuchów z drogą wewnętrzną nr 12 drogi krajowej nr 94 w miejscowości Głuchów</t>
  </si>
  <si>
    <t>137/23</t>
  </si>
  <si>
    <t>Gmina Jeżowe</t>
  </si>
  <si>
    <t>Przebudowa drogi gminnej "Poddaństwo" Nr 102301R od km 0+000 do km 0+999 w miejscowości Jeżowe - Gmina Jeżowe</t>
  </si>
  <si>
    <t>93/23</t>
  </si>
  <si>
    <t>Przebudowa drogi gminnej nr 100097R - ul. Zakładowa w miejscowości Knapy  wraz ze skrzyżowaniem z drogą powiatową nr 1124R relacji Knapy - Zachwiejów - Zarównie" - ul. Kolejowa</t>
  </si>
  <si>
    <t>86/23</t>
  </si>
  <si>
    <t>Gmina Żyraków</t>
  </si>
  <si>
    <t>Przebudowa drogi gminnej w km 0+005,00 - 0+424,00 w miejscowości Straszęcin</t>
  </si>
  <si>
    <t>107/23</t>
  </si>
  <si>
    <t>Miasto Tarnobrzeg</t>
  </si>
  <si>
    <t>Tarnobrzeg</t>
  </si>
  <si>
    <t>Przebudowa drogi gminnej nr G122139R (ul. Rusinowskiego) w Tarnobrzegu w km od 0+004 do 0+214</t>
  </si>
  <si>
    <t>56/23</t>
  </si>
  <si>
    <t>Przebudowa drogi gminnej nr 111451R w miejscowości Jankowice od km 0+000 do km 1+395</t>
  </si>
  <si>
    <t>66/23</t>
  </si>
  <si>
    <t>Gmina Krzywcza</t>
  </si>
  <si>
    <t>Przebudowa drogi gminnej nr 116218R od km 0+000 - 1+255 w miejscowości Ruszelczycach</t>
  </si>
  <si>
    <t>35/23</t>
  </si>
  <si>
    <t>Przebudowa drogi gminnej na dz. nr ew. 2056 i 2055/6 w Nowych Sadach w km 0+000 - 0+999</t>
  </si>
  <si>
    <t>3/23</t>
  </si>
  <si>
    <t>Gmina Dydnia</t>
  </si>
  <si>
    <t>Brzozowski</t>
  </si>
  <si>
    <t>Przebudowa drogi gminnej nr 117360R Witryłów-granica gminy /Łodzina/ KM 0+000 do KM 0+998 na działkach nr 631, 643, 733, 699/3, 353/4</t>
  </si>
  <si>
    <t>105/23</t>
  </si>
  <si>
    <t>Przebudowa drogi gminnej nr 118314R w km 0+920 - 1+720 w miejscowości Uherce Mineralne</t>
  </si>
  <si>
    <t>147/23</t>
  </si>
  <si>
    <t>Gmina Niebylec</t>
  </si>
  <si>
    <t>Strzyżowski</t>
  </si>
  <si>
    <t>Remont drogi gminnej nr 112227R Lutcza - Szopówka w km 0+000 - 0+560  miejscowości Lutcza</t>
  </si>
  <si>
    <t>159/23</t>
  </si>
  <si>
    <t>Gmina Radymno</t>
  </si>
  <si>
    <t>Remont drogi gminnej publicznej nr 111709R Michałówka - Duńkowice w km 2+033 - 4+338 i 4+344 - 4+610 w miejscowości Duńkowice</t>
  </si>
  <si>
    <t>131/23</t>
  </si>
  <si>
    <t>Remont drogi w miejscowości Wólka Tanewska Dz. ewid. Nr 1539 w km 0+000 - 1+052</t>
  </si>
  <si>
    <t>53/23</t>
  </si>
  <si>
    <t>Remont drogi gminnej Nr G110760R Sietesz Cegielnia - Szkoła Podstawowa w km 1+180 - 1+874 (dł 694 m) zlokalizowanej na działce nr ewid. 1860 w Sieteszy obręb 0012</t>
  </si>
  <si>
    <t>10/23</t>
  </si>
  <si>
    <t>Gmina Komańcza</t>
  </si>
  <si>
    <t>Remont drogi nr 117314R w miejscowości Radoszyce o długości 0,37 km</t>
  </si>
  <si>
    <t>9/23</t>
  </si>
  <si>
    <t>Budowa drogi gminnej 2KDD w m. Brzostek i cz. m. Zawadka Brzostecka</t>
  </si>
  <si>
    <t>165/23</t>
  </si>
  <si>
    <t>Rozbudowa i przebudowa drogi gminnej nr G100997R - Al. Jana Pawła II - ul. Osiedlowa w Stalowej Woli</t>
  </si>
  <si>
    <t>49/23</t>
  </si>
  <si>
    <t>Gmina Iwierzyce</t>
  </si>
  <si>
    <t>Ropczycko-Sędziszowski</t>
  </si>
  <si>
    <t>Rozbudowa drogi gminnej nr 107424R Bystrzyca - Cmentarz wraz z niezbędną infrastrukturą techniczną w m. Bystrzyca (km 0+003 - 0+915)</t>
  </si>
  <si>
    <t>12.2019 - 05.2023</t>
  </si>
  <si>
    <t>08.2020 - 11.2023</t>
  </si>
  <si>
    <t>09.2020 - 09.2024</t>
  </si>
  <si>
    <t>03.2021-06.2023</t>
  </si>
  <si>
    <t>03.2021-03.2023</t>
  </si>
  <si>
    <t>07.2021-10.2023</t>
  </si>
  <si>
    <t>08.2021-07.2023</t>
  </si>
  <si>
    <t>08.2021-10.2023</t>
  </si>
  <si>
    <t>09.2021-11.2023</t>
  </si>
  <si>
    <t>04.2021-09.2023</t>
  </si>
  <si>
    <t>11.2021-09.2023</t>
  </si>
  <si>
    <t>12.2021-03.2023</t>
  </si>
  <si>
    <t>06.2022 - 09.2023</t>
  </si>
  <si>
    <t>07.2022 -09.2023</t>
  </si>
  <si>
    <t>10.2022 - 02.2025</t>
  </si>
  <si>
    <t>04.2022 - 07.2023</t>
  </si>
  <si>
    <t>05.2022 - 01.2024</t>
  </si>
  <si>
    <t>08.2022 - 09.2023</t>
  </si>
  <si>
    <t>04.2022 - 07.2024</t>
  </si>
  <si>
    <t>06.2022 - 05.2024</t>
  </si>
  <si>
    <t>07.2022 - 10.2023</t>
  </si>
  <si>
    <t>08.2022 - 10.2023</t>
  </si>
  <si>
    <t>06.2023 - 11.2024</t>
  </si>
  <si>
    <t>04.2023 - 11.2023</t>
  </si>
  <si>
    <t>05.2023 - 05.2025</t>
  </si>
  <si>
    <t>06.2023 - 05.2024</t>
  </si>
  <si>
    <t>04.2023 - 08.2023</t>
  </si>
  <si>
    <t>06.2023 - 07.2023</t>
  </si>
  <si>
    <t>03.2023 - 02.2024</t>
  </si>
  <si>
    <t>04.2023 - 12.2023</t>
  </si>
  <si>
    <t>03.2023 - 10.2023</t>
  </si>
  <si>
    <t>06.2023 - 10.2023</t>
  </si>
  <si>
    <t>06.2023 - 11.2023</t>
  </si>
  <si>
    <t>03.2023 - 10.2024</t>
  </si>
  <si>
    <t>05.2023 - 11.2023</t>
  </si>
  <si>
    <t>05.2023 -10.2023</t>
  </si>
  <si>
    <t>04.2023 - 03.2024</t>
  </si>
  <si>
    <t>05.2023 - 09.2023</t>
  </si>
  <si>
    <t>06.2023 - 09.2024</t>
  </si>
  <si>
    <t>05.2023 - 10.2023</t>
  </si>
  <si>
    <t>06.2023 - 08.2023</t>
  </si>
  <si>
    <t>04.2023 - 09.2023</t>
  </si>
  <si>
    <t>03.2023 - 12.2023</t>
  </si>
  <si>
    <t>04.2023 - 05.2023</t>
  </si>
  <si>
    <t>04.2023 - 10.2023</t>
  </si>
  <si>
    <t>08.2023 - 07.2024</t>
  </si>
  <si>
    <t>09.2023 - 04.2027</t>
  </si>
  <si>
    <t>123/23</t>
  </si>
  <si>
    <t>Gmina Miasta Sanoka</t>
  </si>
  <si>
    <t>Rozbudowa drogi gminnej Nr G117059R ul. Głowackiego wraz z remontem obiektu mostowego w Sanoku</t>
  </si>
  <si>
    <t>164/23</t>
  </si>
  <si>
    <t xml:space="preserve">Rozbudowa i przebudowa drogi gminnej nr G101003R - ul. Wyszyńskiego w Stalowej Woli </t>
  </si>
  <si>
    <t>90/23</t>
  </si>
  <si>
    <t>Rozbudowa drogi gminnej nr 108561R Krasne Osiedle na odcinku od km 0+000,00 do km 0+808,12 w miejscowości Krasne</t>
  </si>
  <si>
    <t>114/23</t>
  </si>
  <si>
    <t>Rozbudowa drogi gminnej klasy "D" nr 111658R ul. Jasna w Pruchniku wraz z niezbędną infrastrukturą techniczną budowlami i urządzeniami budowlanymi</t>
  </si>
  <si>
    <t>63/23</t>
  </si>
  <si>
    <t>Gmina Przecław</t>
  </si>
  <si>
    <t>Mielecki</t>
  </si>
  <si>
    <t>Rozbudowa drogi gminnej L000023 Rzemień  (Rejowiec I) wraz z budową mini ronda na skrzyżowaniu z drogą powiatową nr 1172R, budową instalacji oświetlenia i odwodnienia drogi, kanału technologicznego oraz z niezbędną przebudową istniejącej infrastruktury</t>
  </si>
  <si>
    <t>96/23</t>
  </si>
  <si>
    <t>Gmina Miasto Leżajsk</t>
  </si>
  <si>
    <t>Leżajski</t>
  </si>
  <si>
    <t>Przebudowa drogi gminnej nr 104515R ul. Warszawska i ul. Plac Mariacki w km 0+266,80 - 0+815,20 wraz z pzebudową skrzyżowania ul. Mickiewicza, ul. Klasztornej, ul. Plac Mariacki i ul. T. Michałka na skrzyżowanie typu rondo w Leżajsku</t>
  </si>
  <si>
    <t>143/23</t>
  </si>
  <si>
    <t>Przebudowa drogi gminnej publicznej nr 110557R Gać - Ostrów w km od 0+000 do 0+305</t>
  </si>
  <si>
    <t>160/23</t>
  </si>
  <si>
    <t>Gmina Krzeszów</t>
  </si>
  <si>
    <t>Przebudowa drogi gminnej Nr 102772R w miejscowości Koziarnia</t>
  </si>
  <si>
    <t>149/23</t>
  </si>
  <si>
    <t>Przebudowa drogi gminnej klasy "D" Nr 111296R ul. Elektrowniana w Jarosławiu wraz z niezbędną infrastrukturą techniczną, budowlami i urządzeniami budowlanymi od km 0+127,00 do km 1+126,00</t>
  </si>
  <si>
    <t>154/23</t>
  </si>
  <si>
    <t>Przebudowa drogi gminnej publicznej nr 102344R od km 0+007 do km 0+487 w m. Jeżowe</t>
  </si>
  <si>
    <t>20/23</t>
  </si>
  <si>
    <t>Miasto Radymno</t>
  </si>
  <si>
    <t>Przebudowa drogi gminnej ul. Plażowej w miejscowości Radymno</t>
  </si>
  <si>
    <t>21/23</t>
  </si>
  <si>
    <t>Przebudowa drogi gminnej ul. Sienkiewicza w miejscowości Radymno</t>
  </si>
  <si>
    <t>52/23</t>
  </si>
  <si>
    <t>Gmina Mielec</t>
  </si>
  <si>
    <t>Przebudowa drogi gminnej publicznej nr 103405R Trześń - Wola Chorzelowska - Szydłowiec w km 0+000 - 0+264,30 w miejscowości Trześń</t>
  </si>
  <si>
    <t>38/23</t>
  </si>
  <si>
    <t>Gmina Stubno</t>
  </si>
  <si>
    <t>Przebudowa drogi wewnętrznej w km 0+000 - 0+990 położonej w miejscowości Hruszowice</t>
  </si>
  <si>
    <t>78/23</t>
  </si>
  <si>
    <t>Gmina Zaklików</t>
  </si>
  <si>
    <t>Przebudowa drogi gminnej nr 101406R Antoniówka - Łysaków w m. Dąbrowa w km 0+000,0 do km 0+988,2</t>
  </si>
  <si>
    <t>45/23</t>
  </si>
  <si>
    <t>Gmina Zaleszany</t>
  </si>
  <si>
    <t>Przebudowa drogi gminnej nr 101509R na dz. Ew. nr 676/1, 676/2 i 899/12 od km 0+000 do km 0+512 i od km 0+540 do km 0+996 ul. Akacjowa w miejscowości Turbia</t>
  </si>
  <si>
    <t>88/23</t>
  </si>
  <si>
    <t>Przebudowa drogi gminnej w miejscowości Brzegi Dolne w km 0+123,46 do 0+874 oraz w km 0+000 do 0+090,23</t>
  </si>
  <si>
    <t>26/23</t>
  </si>
  <si>
    <t>Gmina Chorkówka</t>
  </si>
  <si>
    <t>Przebudowa drogi gminnej publicznej nr 114410R Poraj w km 0+350 do 1+269 w miejscowości Poraj</t>
  </si>
  <si>
    <t>60/23</t>
  </si>
  <si>
    <t>Gmina Sanok</t>
  </si>
  <si>
    <t>Przebudowa drogi gminnej nr 117371R w miejscowości Zabłotce w km 0+000,00 - 0+584,10 na terenie Gminy Sanok</t>
  </si>
  <si>
    <t>71/23</t>
  </si>
  <si>
    <t>Gmina Solina</t>
  </si>
  <si>
    <t>Przebudowa drogi wewnętrznej przy ulicy Kościelnej i Spokojnej w miejscowości Wołkowyja</t>
  </si>
  <si>
    <t>148/23</t>
  </si>
  <si>
    <t>Gmina Tarnowiec</t>
  </si>
  <si>
    <t xml:space="preserve">Przebudowa drogi gminnej nr 113764R dz. nr 204, 226 m. Łubienko wraz z wykonaniem knalizacji deszczowej i oświetlenia drogi </t>
  </si>
  <si>
    <t>41/23</t>
  </si>
  <si>
    <t>Gmina Dębowiec</t>
  </si>
  <si>
    <t>Przebudowa drogi gminnej Nr 113256R Dębowiec k. Piekarni w miejscowości Dębowiec</t>
  </si>
  <si>
    <t>104/23</t>
  </si>
  <si>
    <t>Przebudowa drogi gminnej nr 105129R Opaka - sklep km 0+000 - km 0+200</t>
  </si>
  <si>
    <t>28/23</t>
  </si>
  <si>
    <t>Gmina Przeworsk</t>
  </si>
  <si>
    <t>Remont drogi gminnej w km 0+000 - 2+500 w miejscowości Urzejowice</t>
  </si>
  <si>
    <t>17/23</t>
  </si>
  <si>
    <t>Gmina Lubenia</t>
  </si>
  <si>
    <t>Remont drogi gminnej nr 108605R Siedliska -Broniakówka na odcinku od km 0+809 do km 2+626</t>
  </si>
  <si>
    <t>61/23</t>
  </si>
  <si>
    <t>Gmina Osiek Jasielski</t>
  </si>
  <si>
    <t>Remont drogi gminnej Nr 113577R, dz. nr ewid. 1779 w km 0+000 - 0+301 oraz dz. nr ewid. 1780 w km 0+310 - 1+697 w miejscowości Pielgrzymka</t>
  </si>
  <si>
    <t>72/23</t>
  </si>
  <si>
    <t>Remont drogi gminnej publicznej nr 118436R w miejscowości Wołkowyja</t>
  </si>
  <si>
    <t>87/23</t>
  </si>
  <si>
    <t>Budowa drogi gminnej o długości 556,6 m wraz z infrastrukturą techniczną w miejscowości Żyraków</t>
  </si>
  <si>
    <t>50/23</t>
  </si>
  <si>
    <t>Rozbudowa publicznej drogi gminnej nr 107428R w m. Wiśniowa wraz z niezbędną infrastrukturą techniczną, budowlami i urządzeniami budowlanymi</t>
  </si>
  <si>
    <t>139/23</t>
  </si>
  <si>
    <t>Gmina Nowy Żmigród</t>
  </si>
  <si>
    <t>Rozbudowa drogi gminnej ul. Węgierska Mała od km 0+004,16 do km 0+226,72 wraz z niezbędną infrastrukturą i przebudową sieci uzbrojenia terenu w m. Nowy Żmigród</t>
  </si>
  <si>
    <t>64/23</t>
  </si>
  <si>
    <t>Gmina Brzozów</t>
  </si>
  <si>
    <t>Przebudowa drogi gminnej nr 115526R ul. Poniatowskiego w Brzozowie w kilometrażu 0+000,00 - 0+258,00</t>
  </si>
  <si>
    <t>102/23</t>
  </si>
  <si>
    <t>Przebudowa drogi gminnej nr 107621R relacji Bukowina las Majdan - Klęczany w mijescowości Klęczany (0+000 - 0+919)</t>
  </si>
  <si>
    <t>70/23</t>
  </si>
  <si>
    <t>Rozbudowa drogi gminnej Nr G116997R ul. Jagodowa w Sanoku</t>
  </si>
  <si>
    <t>22/23</t>
  </si>
  <si>
    <t>Gmina Jasło</t>
  </si>
  <si>
    <t>Przebudowa drogi wewnętrznej nr ew. 362, 369/5, 369/8, 1403/8 w miejscowości Niegłowice w km 0+000 - 0+537,5</t>
  </si>
  <si>
    <t>51/23</t>
  </si>
  <si>
    <t>Przebudowa drogi gminnej nr 103432R Wola Mielecka - Rzędzianowice / graniczna / na odcinku ok 535 m</t>
  </si>
  <si>
    <t>162/23</t>
  </si>
  <si>
    <t>Przebudowa drogi gminnej nr 137414R od km 0+000 do km 0+477 wraz z przebudową skrzyżowania z drogą powiatową nr 2150R w miejscowości Bratkowice</t>
  </si>
  <si>
    <t>106/23</t>
  </si>
  <si>
    <t>Przebudowa drogi gminnej - ulicy M. Konopnickiej (nr G122131R) w km od 0+013 do km 0+297 w Tarnobrzegu</t>
  </si>
  <si>
    <t>55/23</t>
  </si>
  <si>
    <t>Przebudowa drogi wewnętrznej dz. nr ewid. 139/2 w m. Tarnowiec wraz z wykonaniem kanalizacji deszczowej i oświetlenia drogi</t>
  </si>
  <si>
    <t>126/23</t>
  </si>
  <si>
    <t>Gmina Dzikowiec</t>
  </si>
  <si>
    <t>Kolbuszowski</t>
  </si>
  <si>
    <t>Przebudowa drogi gminnej nr 104312R Dzikowiec - Osiedle w miejscowości Dzikowiec</t>
  </si>
  <si>
    <t>43/23</t>
  </si>
  <si>
    <t>Przebudowa drogi gminnej 101524R ul. Floriańska i ul. Ogrodowa w miejscowości Pilchów na dz. ew. nr 645, 474</t>
  </si>
  <si>
    <t>77/23</t>
  </si>
  <si>
    <t>Przebudowa i modernizacja drogi gminnej Nr 101410R Gielnia - Łysaków w m. Gielnia w km 0+506 do km 1+496</t>
  </si>
  <si>
    <t>27/23</t>
  </si>
  <si>
    <t>Przebudowa drogi gminnej publicznej nr 114707R Kopytowa - Toki w km 0+000 do 0+970 w m. Kopytowa</t>
  </si>
  <si>
    <t>118/23</t>
  </si>
  <si>
    <t>Przebudowa drogi gminnej Nr 102107R Łazory PCB od km 0+706,5 do km 1+563</t>
  </si>
  <si>
    <t>46/23</t>
  </si>
  <si>
    <t>Gmina Rokietnica</t>
  </si>
  <si>
    <t>Przebudowa drogi wewnętrznej dz. nr 1321, 2306 w miejscowości Czelatyce od km 0+000 do km 0+690</t>
  </si>
  <si>
    <t>155/23</t>
  </si>
  <si>
    <t>Gmina Tuszów Narodowy</t>
  </si>
  <si>
    <t>Przebudowa drogi gminnej publicznej nr 103611R w m. Tuszów Narodowy</t>
  </si>
  <si>
    <t>156/23</t>
  </si>
  <si>
    <t>Remont drogi gminnej Nr: 103602R relacji Jaślany - Borki Nizińskie w miejscowości Jaślany i Borki Nizińskie</t>
  </si>
  <si>
    <t>19/23</t>
  </si>
  <si>
    <t>Gmina Leżajsk</t>
  </si>
  <si>
    <t>Remont drogi gminnej nr 104676R na dz. Ew. 3277, 3191 i 792 w km 0+072 - 2+080 w miejscowości Wierzawice</t>
  </si>
  <si>
    <t>152/23</t>
  </si>
  <si>
    <t>Remont drogi gminnej Nr 112221R Konieczkowa - Kąty w km 0+000 - 0+422 i w km 1+795 - 2+365 w miejscowościach Konieczkowa i Lutcza</t>
  </si>
  <si>
    <t>109/23</t>
  </si>
  <si>
    <t>Budowa drogi gminnej wzdłuż cieku Borowina w km od 0+000,00 do 1+993,80 na osiedlu Nisko - Podwolina w Nisku</t>
  </si>
  <si>
    <t>146/23</t>
  </si>
  <si>
    <t>Rozbudowa drogi gminnej nr 119634R ul. Malinowa Góra w Krośnie</t>
  </si>
  <si>
    <t>144/23</t>
  </si>
  <si>
    <t>Gmina Miejska Lubaczów</t>
  </si>
  <si>
    <t>Przebudowa i rozbudowa drogi gminnej nr 104969R ul. Starzyny w Lubaczowie</t>
  </si>
  <si>
    <t>4/23</t>
  </si>
  <si>
    <t>Gmina Pilzno</t>
  </si>
  <si>
    <t>Rozbudowa drogi gminnej nr 106602R - ul. Kościuszki w km od 0+000,00 do 0+395,35</t>
  </si>
  <si>
    <t>37/23</t>
  </si>
  <si>
    <t>Gmina Grębów</t>
  </si>
  <si>
    <t>Rozbudowa części drogi gminnej nr 100226R w Jamnicy</t>
  </si>
  <si>
    <t>12/23</t>
  </si>
  <si>
    <t>Gmina Białobrzegi</t>
  </si>
  <si>
    <t>Budowa drogi wewnętrznej 2 KDW w miejscowości Dębina - km 0+000 - 0+527,6</t>
  </si>
  <si>
    <t>127/23</t>
  </si>
  <si>
    <t>Rozbudowa drogi gminnej w miejscowości Dzikowiec</t>
  </si>
  <si>
    <t>07.2023 - 05.2024</t>
  </si>
  <si>
    <t>05.2023 - 10.2024</t>
  </si>
  <si>
    <t>05.2023 - 04.2024</t>
  </si>
  <si>
    <t>04.2023 - 09.2024</t>
  </si>
  <si>
    <t>07.2023 - 06.2024</t>
  </si>
  <si>
    <t>05.2023 - 08.2023</t>
  </si>
  <si>
    <t>06.2023 - 09.2023</t>
  </si>
  <si>
    <t>03.2023 - 07.2023</t>
  </si>
  <si>
    <t>09.2023 - 08.2024</t>
  </si>
  <si>
    <t>08.2023 - 08.2023</t>
  </si>
  <si>
    <t>04.2023 - 06.2024</t>
  </si>
  <si>
    <t>01.2023 -12.2023</t>
  </si>
  <si>
    <t>05.2023 -11.2023</t>
  </si>
  <si>
    <t>04.2023 - 11.2025</t>
  </si>
  <si>
    <t>03.2023 - 11.2024</t>
  </si>
  <si>
    <t>07.2023 - 10.2024</t>
  </si>
  <si>
    <t>43/21</t>
  </si>
  <si>
    <t>Powiat Jarosławski</t>
  </si>
  <si>
    <t>Przebudowa drogi powiatowej Nr 1778R Pruchnik - Kramarzówka - Helusz w km 0+000 - 8+365</t>
  </si>
  <si>
    <t>36/21</t>
  </si>
  <si>
    <t>Przebudowa drogi powiatowej Nr 1770R Kidałowice - Rokietnica w km 2+522 - 4+931 i 5+656 - 11+185</t>
  </si>
  <si>
    <t>5/21</t>
  </si>
  <si>
    <t>Powiat Bieszczadzki</t>
  </si>
  <si>
    <t>Przebudowa drogi powiatowej nr 2224R Rozpucie-Ropienka w km 4+600 - 11+105 w m .Ropienka i Zawadka</t>
  </si>
  <si>
    <t>24/21</t>
  </si>
  <si>
    <t>Powiat Lubaczowski</t>
  </si>
  <si>
    <t>Przebudowa drogi powiatowej nr 1657R Cieszanów - Nowe Brusno w km 0+000 - 1+800 wraz z infrastrukturą techniczną</t>
  </si>
  <si>
    <t>24/22</t>
  </si>
  <si>
    <t>Powiat Sanocki</t>
  </si>
  <si>
    <t>Przebudowa drogi powiatowej nr 2257R Tarnawa - Kalnica w km od 2+761,40 do 7+100,00 wraz z obiektem mostowym przez rz. Kalniczkę w km 3+700,65</t>
  </si>
  <si>
    <t>14/22</t>
  </si>
  <si>
    <t>Powiat Przeworski</t>
  </si>
  <si>
    <t>Przebudowa drogi powiatowej nr 1252R Cieplice Górne - Cieplice Dolne w km 0+000 - 7+020 wraz z niezbędną infrastrukturą techniczną.</t>
  </si>
  <si>
    <t>18/22</t>
  </si>
  <si>
    <t>Przebudowa odcinka drogi powiatowej nr 1259R Gniewczyna (gr.pow.) Grodzisko - Giedlarowa w km 6+660 - 10+450</t>
  </si>
  <si>
    <t>16/22</t>
  </si>
  <si>
    <t>Powiat Stalowowolski</t>
  </si>
  <si>
    <t>Przebudowa drogi powiatowej nr 1006R Radomyśl - Skowierzyn w m. Radomyśl n/Sanem od km 0+000 do km 1+646,32</t>
  </si>
  <si>
    <t>54/22</t>
  </si>
  <si>
    <t>Przebudowa drogi powiatowej Nr 1704R Wiązownica - Radawa - Wola Mołodycka w km 0+007 - 0+834,78, 0+983,1 - 8+487, 8+535 - 11+080 i drogi Nr 1707 Wiązownica - Piwoda - Olchowa w km 1+068 - 2+248</t>
  </si>
  <si>
    <t>Przebudowa drogi powiatowej nr 1818R w km 0+018 do km 1+398</t>
  </si>
  <si>
    <t>39/23</t>
  </si>
  <si>
    <t>Powiat Niżański</t>
  </si>
  <si>
    <t>Przebudowa drogi powiatowej Nr 1049R DK19 - Szyperki - Jarocin na odcinku DK19 - Huta Deręgowska i Huta Deręgowska - Szyperki</t>
  </si>
  <si>
    <t>48/23</t>
  </si>
  <si>
    <t>Powiat Dębicki</t>
  </si>
  <si>
    <t>Przebudowa drogi powiatowej nr 1284R Ostrów - gr. pow. - Brzeźnica w km 1+466 - 7+363 - etap II w km 1+466 - 5+212 oraz 6+150 - 7+317</t>
  </si>
  <si>
    <t>Przebudowa drogi powiatowej Nr 2204R Długie - Pakoszówka - Etap I</t>
  </si>
  <si>
    <t>Powiat Kolbuszowski</t>
  </si>
  <si>
    <t>Rozbudowa drogi powiatowej Nr 1235R Brzostowa Góra - Krzątka od km 6+400 do km 9+074 w miejscowości Krzątka</t>
  </si>
  <si>
    <t>33/23</t>
  </si>
  <si>
    <t>Powiat Ropczycko-Sędziszowski</t>
  </si>
  <si>
    <t>Rozbudowa drogi powiatowej Nr 1345R Lubzina - Okonin wraz z niezbędną infrastrukturą i przebudową sieci</t>
  </si>
  <si>
    <t>44/23</t>
  </si>
  <si>
    <t>Przebudowa/rozbudowa drogi powiatowej nr 1688R Lubaczów - Basznia w km 2+022,00 - 4+344,25</t>
  </si>
  <si>
    <t>Przebudowa odcinka drogi powiatowej nr 1250R Kuryłówka - Kolonia Polska - Cieplice (gr. pow.) w km 5+409 - 11+127</t>
  </si>
  <si>
    <t>Przebudowa drogi powiatowej Nr 1262R Hucisko - Brzóza Królewska - Biedaczów w km 0+000 - 3+172 w miejscowości Hucisko i Brzóza Królewska</t>
  </si>
  <si>
    <t>32/23</t>
  </si>
  <si>
    <t>Powiat Łańcucki</t>
  </si>
  <si>
    <t>Przebudowa drogi powiatowej nr 1523R Białobrzegi - Kosina w systemie zaprojektuj i wybuduj</t>
  </si>
  <si>
    <t>29/23</t>
  </si>
  <si>
    <t>Rozbudowa drogi powiatowej Nr 1033R Bojanów - Wilcza Wola - Kopcie w km 4+336 do km 4+760 oraz przebudowa drogi powiatowej Nr 1033R Bojanów - Wilcza Wola - Kopcie w km 7+050 do km 7+503 w miejscowości Wilcza Wola</t>
  </si>
  <si>
    <t>Powiat Rzeszowski</t>
  </si>
  <si>
    <t>Przebudowa drogi - przebudowa przejść dla pieszych w ciągu drogi powiatowej Nr 1333R w miejscowości Rudna Wielka i Bratkowice</t>
  </si>
  <si>
    <t>6/23</t>
  </si>
  <si>
    <t>Remont mostu na rzece Trzebośnica w ciągu drogi powiatowej Nr 1217R Hucisko - Nienadówka - Trzeboś Górna w km 23+351</t>
  </si>
  <si>
    <t>Remont drogi powiatowej nr 2201R Besko - Mymoń - Etap I</t>
  </si>
  <si>
    <t>Przebudowa drogi powiatowej Nr 2603R Krzywdy - Zaborczyny</t>
  </si>
  <si>
    <t>42/23</t>
  </si>
  <si>
    <t>Przebudowa odcinka drogi powiatowej Nr 1246R Kuryłówka - Tarnogród (gr. pow.) w km 0+009,84 - 8+870 łączącej województwo podkarpackie i lubelskie</t>
  </si>
  <si>
    <t>06.2021-08.2023</t>
  </si>
  <si>
    <t>09.2021-08.2023</t>
  </si>
  <si>
    <t>11.2021-05.2023</t>
  </si>
  <si>
    <t>05.2022 - 01.2025</t>
  </si>
  <si>
    <t>05.2022 - 09.2023</t>
  </si>
  <si>
    <t>08.2022 - 11.2023</t>
  </si>
  <si>
    <t>05.2022 - 07.2023</t>
  </si>
  <si>
    <t>06.2022 - 9.2023</t>
  </si>
  <si>
    <t>05.2023 - 12.2024</t>
  </si>
  <si>
    <t>04.2023 - 11.2024</t>
  </si>
  <si>
    <t>03.2023 - 06.2024</t>
  </si>
  <si>
    <t>04.2023 - 10.2024</t>
  </si>
  <si>
    <t>04.2023 - 06.2025</t>
  </si>
  <si>
    <t>08.2023 - 11.2024</t>
  </si>
  <si>
    <t>03.2023 - 11.2023</t>
  </si>
  <si>
    <t>Powiat Mielecki</t>
  </si>
  <si>
    <t>Przebudowa drogi powiatowej Nr 1169R relacji Podleszany - Ruda - Zasów w km 0+300 - 1+000, 7+220 - 9+780 i 12+500 - 13+740 polegająca na budowie chodnika w granicach isteniejącego pasa drogowego w miejscowości Podleszany, Ruda i Dąbrówka Wisłocka</t>
  </si>
  <si>
    <t>Przebudowa drogi powiatowej nr 1256R ulica Jana Pawła II i Piskorowice - Pigany - Sieniawa</t>
  </si>
  <si>
    <t>30/23</t>
  </si>
  <si>
    <t>Przebudowa drogi powiatowej nr 1375R Stobierna (gr. Powiatu) - Medynia Głogowska</t>
  </si>
  <si>
    <t>2/23</t>
  </si>
  <si>
    <t>Przebudowa drogi powiatowej nr 1031R Stany - Maziarnia - Nisko od km 3+612,81 do km 5+880,19 w m. Maziarnia i Kołodzieje</t>
  </si>
  <si>
    <t>Przebudowa drogi powiatowej Nr 1337R Sędziszów Małopolski - Bystrzyca - Wielopole Skrzyńskie w miejscowości Wiercany i Olimpów</t>
  </si>
  <si>
    <t>13/23</t>
  </si>
  <si>
    <t>Przebudowa drogi powiatowej Nr 1090R relacji Trześń - Grębów w zakresie budowy ścieżki rowerowej pomiędzy miejscowościami Zabrnie i Grębów</t>
  </si>
  <si>
    <t>31/23</t>
  </si>
  <si>
    <t>Przebudowa drogi powiatowej nr 1521R Czarna - Wola Dalsza w miejscowości Wola Dalsza</t>
  </si>
  <si>
    <t>16/23</t>
  </si>
  <si>
    <t>Przebudowa drogi powiatowej Nr 1090R relacji Trześń - Grębów w zakresie budowy chodnika od skrzyżowania z drogą gminną ul. Leśna do sklepu GS w miejscowości Sokolniki</t>
  </si>
  <si>
    <t>Przebudowa drogi powiatowej nr 2300R Jasień - Jałowe - Bandrów Narodowy w km 6+019 - 6+460 i 6+720 - 8+700 w miejscowości Bandrów Narodowy</t>
  </si>
  <si>
    <t>Przebudowa drogi - przebudowa przejść dla pieszych w ciągu drogi powiatowej Nr 1396R w miejscowości Malawa</t>
  </si>
  <si>
    <t>Remont drogi powiatowej nr 2211R Pobiedno - Dudyńce w km 0+051 - km 0+325 oraz w km 1+065 - km 2+643</t>
  </si>
  <si>
    <t>Remont drogi powiatowej nr 2305 Smolnik - Zatwarnica w km 9+250 - 9+860 w miejscowości Chmiel</t>
  </si>
  <si>
    <t>Rozbudowa drogi powiatowej nr 1569R Gorliczyna - Przeworsk w km 3+494 - 4+318</t>
  </si>
  <si>
    <t>23/23</t>
  </si>
  <si>
    <t>Powiat Jasielski</t>
  </si>
  <si>
    <t>Budowa nowego odcinka drogi powiatowej Jasło ul. Żniwna - Wolica</t>
  </si>
  <si>
    <t>Przebudowa drogi powiatowej Nr 1162R Mielec - Rzochów - Przyłęk - Ostrowy Tuszowskie - Podtrąba w km 13+140 do 14+708 w miejscowości Ostrowy Tuszowskie</t>
  </si>
  <si>
    <t>Gmina Miejska Przemyśl</t>
  </si>
  <si>
    <t>Przebudowa nawierzchni jezdni i chodników ulicy Św. Brata Alberta i Wybrzeża Marszałka F. Focha w Przemyślu</t>
  </si>
  <si>
    <t>Przebudowa nawierzchni jezdni i chodników ulicy Z. Krasińskiego w Przemyślu</t>
  </si>
  <si>
    <t>40/23</t>
  </si>
  <si>
    <t>Przebudowa drogi powiatowej Nr 1077R Rudnik nad Sanem - Kończyce</t>
  </si>
  <si>
    <t>47/23</t>
  </si>
  <si>
    <t>Przebudowa drogi powiatowej nr 1169R Zasów - gr. pow. - Ruda w km 0+002 - 2+282 w m. Zasów</t>
  </si>
  <si>
    <t>Remont drogi powiatowej nr 1309R Strzegocice - Słotowa - gr. pow. - Lubcza w km 0+000 - 4+400 - etap II w km 2+320 - 4+400 w miejscowości Słotowa</t>
  </si>
  <si>
    <t>Remont drogi powiatowej nr P1420R Jawornik Polski - Dylągówka w km 0+000 - 1+741</t>
  </si>
  <si>
    <t>24/23</t>
  </si>
  <si>
    <t>Przebudowa drogi powiatowej Nr 1829R Jareniówka - Jabłonica - gr. Wojew. - Czermna w km 6+450 - 7+420 w miejscowościach Bączal Dolny i Bączal Górny</t>
  </si>
  <si>
    <t>Przebudowa drogi powiatowej Nr 1873R Osobnica - Dębowiec w km 2+329 - 4+507 w miejscowościach Łazy Dębowieckie i Dębowiec</t>
  </si>
  <si>
    <t>11/23</t>
  </si>
  <si>
    <t>Powiat Krośnieński</t>
  </si>
  <si>
    <t>Przebudowa drogi powiatowej nr 1999R Dukla - Lubatowa w km od 3+330 do 3+870 w m. Jasionka</t>
  </si>
  <si>
    <t>Remont drogi powiatowej nr 2001R Rogi - Lubatówka - Lubatowa w km 1+750 do 2+610, 2+905 do 3+815 w m. Rogi, Lubatówka</t>
  </si>
  <si>
    <t>Przebudowa drogi powiatowej nr 1649R Cewków - Moszczanica - Gr. województwa w km 5+500 - 7+229</t>
  </si>
  <si>
    <t>25/23</t>
  </si>
  <si>
    <t>Przebudowa drogi powiatowej nr 2299R droga przez wieś Hoszowczyk w km 0+000 - 1+704 w miejscowości Hoszowczyk</t>
  </si>
  <si>
    <t>05.2023 - 09.2024</t>
  </si>
  <si>
    <t>07.2023 - 09.2024</t>
  </si>
  <si>
    <t>07.2023 - 10.2023</t>
  </si>
  <si>
    <t>Powiat Przemyski</t>
  </si>
  <si>
    <t>Budowa łącznika do drogi wojewódzkiej 884 wraz z przebudową drogi powiatowej nr 2083R w m. Krzywcza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</si>
  <si>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sierpień 2022</t>
    </r>
  </si>
  <si>
    <t>Województwo: Podkarpackie</t>
  </si>
  <si>
    <t>Przebudowa drogi gminnej nr 111012R w m. Głogowiec</t>
  </si>
  <si>
    <t xml:space="preserve">Powiat Stalowowolski </t>
  </si>
  <si>
    <t xml:space="preserve">Gmina i Miasto Rudnik nad Sanem </t>
  </si>
  <si>
    <t xml:space="preserve">Gmina Jarocin </t>
  </si>
  <si>
    <t>Gmina Kolbuszowa</t>
  </si>
  <si>
    <t>Przebudowa drogi gminnej nr 1040100R ul. Skowrońskiego w Kolbuszowej, na od. 0+064 km oraz 0+139</t>
  </si>
  <si>
    <t>79*</t>
  </si>
  <si>
    <t>27*</t>
  </si>
  <si>
    <t>Przebudowa drogi gminnej wewnętrznej miejscowość Domostawa wraz z przebudową zjazdu publicznego z drogi powiatowej nr 1036R</t>
  </si>
  <si>
    <t>Rozbudowa drogi powiatowej nr 2502R ul. Dąbrowskiego w Stalowej Woli – etap 2 od km 0 + 492,32 do km 0 + 888,88</t>
  </si>
  <si>
    <t>Przebudowa drogi gminnej Nr 102736R w km 0 + 008,3 + 389,3 – ul. Generała Władysława Sikorskiego w Rudniku nad Sanem</t>
  </si>
  <si>
    <t>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</si>
</sst>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theme="5" tint="-0.249977111117893"/>
      <name val="Arial"/>
      <family val="2"/>
      <charset val="238"/>
    </font>
    <font>
      <sz val="10"/>
      <color theme="5"/>
      <name val="Arial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5"/>
      <name val="Arial"/>
      <family val="2"/>
      <charset val="238"/>
    </font>
    <font>
      <sz val="11"/>
      <color theme="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4" fontId="9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166" fontId="12" fillId="5" borderId="23" xfId="0" applyNumberFormat="1" applyFont="1" applyFill="1" applyBorder="1" applyAlignment="1">
      <alignment vertical="center"/>
    </xf>
    <xf numFmtId="166" fontId="18" fillId="5" borderId="23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167" fontId="20" fillId="0" borderId="1" xfId="0" applyNumberFormat="1" applyFont="1" applyFill="1" applyBorder="1" applyAlignment="1">
      <alignment vertical="center"/>
    </xf>
    <xf numFmtId="167" fontId="20" fillId="0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166" fontId="18" fillId="3" borderId="1" xfId="0" applyNumberFormat="1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vertical="center"/>
    </xf>
    <xf numFmtId="166" fontId="13" fillId="6" borderId="1" xfId="0" applyNumberFormat="1" applyFont="1" applyFill="1" applyBorder="1" applyAlignment="1">
      <alignment vertical="center"/>
    </xf>
    <xf numFmtId="166" fontId="12" fillId="3" borderId="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2" fillId="4" borderId="22" xfId="0" applyNumberFormat="1" applyFont="1" applyFill="1" applyBorder="1" applyAlignment="1">
      <alignment vertical="center"/>
    </xf>
    <xf numFmtId="0" fontId="18" fillId="3" borderId="3" xfId="0" applyNumberFormat="1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vertical="center"/>
    </xf>
    <xf numFmtId="0" fontId="12" fillId="4" borderId="3" xfId="0" applyNumberFormat="1" applyFont="1" applyFill="1" applyBorder="1" applyAlignment="1">
      <alignment vertical="center"/>
    </xf>
    <xf numFmtId="0" fontId="13" fillId="6" borderId="3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left" vertical="center" indent="2"/>
    </xf>
    <xf numFmtId="166" fontId="18" fillId="3" borderId="2" xfId="0" applyNumberFormat="1" applyFont="1" applyFill="1" applyBorder="1" applyAlignment="1">
      <alignment vertical="center"/>
    </xf>
    <xf numFmtId="166" fontId="12" fillId="3" borderId="2" xfId="0" applyNumberFormat="1" applyFont="1" applyFill="1" applyBorder="1" applyAlignment="1">
      <alignment vertical="center"/>
    </xf>
    <xf numFmtId="166" fontId="12" fillId="4" borderId="2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166" fontId="18" fillId="3" borderId="3" xfId="0" applyNumberFormat="1" applyFont="1" applyFill="1" applyBorder="1" applyAlignment="1">
      <alignment vertical="center"/>
    </xf>
    <xf numFmtId="166" fontId="12" fillId="3" borderId="3" xfId="0" applyNumberFormat="1" applyFont="1" applyFill="1" applyBorder="1" applyAlignment="1">
      <alignment vertical="center"/>
    </xf>
    <xf numFmtId="166" fontId="12" fillId="4" borderId="3" xfId="0" applyNumberFormat="1" applyFont="1" applyFill="1" applyBorder="1" applyAlignment="1">
      <alignment vertical="center"/>
    </xf>
    <xf numFmtId="166" fontId="13" fillId="6" borderId="3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6" fontId="12" fillId="5" borderId="28" xfId="0" applyNumberFormat="1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NumberFormat="1" applyFont="1" applyFill="1" applyBorder="1" applyAlignment="1">
      <alignment vertical="center"/>
    </xf>
    <xf numFmtId="166" fontId="12" fillId="0" borderId="33" xfId="0" applyNumberFormat="1" applyFont="1" applyFill="1" applyBorder="1" applyAlignment="1">
      <alignment vertical="center"/>
    </xf>
    <xf numFmtId="166" fontId="12" fillId="0" borderId="34" xfId="0" applyNumberFormat="1" applyFont="1" applyFill="1" applyBorder="1" applyAlignment="1">
      <alignment vertical="center"/>
    </xf>
    <xf numFmtId="166" fontId="12" fillId="5" borderId="35" xfId="0" applyNumberFormat="1" applyFont="1" applyFill="1" applyBorder="1" applyAlignment="1">
      <alignment vertical="center"/>
    </xf>
    <xf numFmtId="166" fontId="12" fillId="0" borderId="32" xfId="0" applyNumberFormat="1" applyFont="1" applyFill="1" applyBorder="1" applyAlignment="1">
      <alignment vertical="center"/>
    </xf>
    <xf numFmtId="166" fontId="12" fillId="0" borderId="36" xfId="0" applyNumberFormat="1" applyFont="1" applyFill="1" applyBorder="1" applyAlignment="1">
      <alignment vertical="center"/>
    </xf>
    <xf numFmtId="0" fontId="18" fillId="0" borderId="37" xfId="0" applyFont="1" applyFill="1" applyBorder="1" applyAlignment="1">
      <alignment horizontal="left" vertical="center" wrapText="1" indent="2"/>
    </xf>
    <xf numFmtId="0" fontId="12" fillId="0" borderId="37" xfId="0" applyFont="1" applyFill="1" applyBorder="1" applyAlignment="1">
      <alignment horizontal="left" vertical="center" indent="2"/>
    </xf>
    <xf numFmtId="0" fontId="18" fillId="0" borderId="39" xfId="0" applyFont="1" applyFill="1" applyBorder="1" applyAlignment="1">
      <alignment horizontal="left" vertical="center" indent="2"/>
    </xf>
    <xf numFmtId="166" fontId="18" fillId="5" borderId="43" xfId="0" applyNumberFormat="1" applyFont="1" applyFill="1" applyBorder="1" applyAlignment="1">
      <alignment vertical="center"/>
    </xf>
    <xf numFmtId="0" fontId="19" fillId="3" borderId="31" xfId="0" applyFont="1" applyFill="1" applyBorder="1" applyAlignment="1">
      <alignment vertical="center"/>
    </xf>
    <xf numFmtId="0" fontId="19" fillId="3" borderId="32" xfId="0" applyNumberFormat="1" applyFont="1" applyFill="1" applyBorder="1" applyAlignment="1">
      <alignment vertical="center"/>
    </xf>
    <xf numFmtId="166" fontId="19" fillId="3" borderId="33" xfId="0" applyNumberFormat="1" applyFont="1" applyFill="1" applyBorder="1" applyAlignment="1">
      <alignment vertical="center"/>
    </xf>
    <xf numFmtId="166" fontId="19" fillId="3" borderId="34" xfId="0" applyNumberFormat="1" applyFont="1" applyFill="1" applyBorder="1" applyAlignment="1">
      <alignment vertical="center"/>
    </xf>
    <xf numFmtId="166" fontId="19" fillId="5" borderId="35" xfId="0" applyNumberFormat="1" applyFont="1" applyFill="1" applyBorder="1" applyAlignment="1">
      <alignment vertical="center"/>
    </xf>
    <xf numFmtId="166" fontId="19" fillId="3" borderId="32" xfId="0" applyNumberFormat="1" applyFont="1" applyFill="1" applyBorder="1" applyAlignment="1">
      <alignment vertical="center"/>
    </xf>
    <xf numFmtId="166" fontId="19" fillId="3" borderId="36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left" vertical="center" wrapText="1" indent="2"/>
    </xf>
    <xf numFmtId="166" fontId="18" fillId="3" borderId="38" xfId="0" applyNumberFormat="1" applyFont="1" applyFill="1" applyBorder="1" applyAlignment="1">
      <alignment vertical="center"/>
    </xf>
    <xf numFmtId="0" fontId="12" fillId="3" borderId="37" xfId="0" applyFont="1" applyFill="1" applyBorder="1" applyAlignment="1">
      <alignment horizontal="left" vertical="center" indent="2"/>
    </xf>
    <xf numFmtId="166" fontId="12" fillId="3" borderId="38" xfId="0" applyNumberFormat="1" applyFont="1" applyFill="1" applyBorder="1" applyAlignment="1">
      <alignment vertical="center"/>
    </xf>
    <xf numFmtId="0" fontId="18" fillId="3" borderId="39" xfId="0" applyFont="1" applyFill="1" applyBorder="1" applyAlignment="1">
      <alignment horizontal="left" vertical="center" indent="2"/>
    </xf>
    <xf numFmtId="0" fontId="18" fillId="3" borderId="40" xfId="0" applyNumberFormat="1" applyFont="1" applyFill="1" applyBorder="1" applyAlignment="1">
      <alignment vertical="center"/>
    </xf>
    <xf numFmtId="166" fontId="18" fillId="3" borderId="41" xfId="0" applyNumberFormat="1" applyFont="1" applyFill="1" applyBorder="1" applyAlignment="1">
      <alignment vertical="center"/>
    </xf>
    <xf numFmtId="166" fontId="18" fillId="3" borderId="42" xfId="0" applyNumberFormat="1" applyFont="1" applyFill="1" applyBorder="1" applyAlignment="1">
      <alignment vertical="center"/>
    </xf>
    <xf numFmtId="166" fontId="18" fillId="3" borderId="40" xfId="0" applyNumberFormat="1" applyFont="1" applyFill="1" applyBorder="1" applyAlignment="1">
      <alignment vertical="center"/>
    </xf>
    <xf numFmtId="166" fontId="18" fillId="3" borderId="44" xfId="0" applyNumberFormat="1" applyFont="1" applyFill="1" applyBorder="1" applyAlignment="1">
      <alignment vertical="center"/>
    </xf>
    <xf numFmtId="0" fontId="12" fillId="4" borderId="28" xfId="0" applyFont="1" applyFill="1" applyBorder="1" applyAlignment="1">
      <alignment vertical="center"/>
    </xf>
    <xf numFmtId="0" fontId="12" fillId="4" borderId="29" xfId="0" applyNumberFormat="1" applyFont="1" applyFill="1" applyBorder="1" applyAlignment="1">
      <alignment vertical="center"/>
    </xf>
    <xf numFmtId="166" fontId="12" fillId="4" borderId="5" xfId="0" applyNumberFormat="1" applyFont="1" applyFill="1" applyBorder="1" applyAlignment="1">
      <alignment vertical="center"/>
    </xf>
    <xf numFmtId="166" fontId="12" fillId="4" borderId="8" xfId="0" applyNumberFormat="1" applyFont="1" applyFill="1" applyBorder="1" applyAlignment="1">
      <alignment vertical="center"/>
    </xf>
    <xf numFmtId="166" fontId="12" fillId="4" borderId="29" xfId="0" applyNumberFormat="1" applyFont="1" applyFill="1" applyBorder="1" applyAlignment="1">
      <alignment vertical="center"/>
    </xf>
    <xf numFmtId="166" fontId="12" fillId="4" borderId="30" xfId="0" applyNumberFormat="1" applyFont="1" applyFill="1" applyBorder="1" applyAlignment="1">
      <alignment vertical="center"/>
    </xf>
    <xf numFmtId="0" fontId="18" fillId="4" borderId="25" xfId="0" applyFont="1" applyFill="1" applyBorder="1" applyAlignment="1">
      <alignment horizontal="left" vertical="center" indent="2"/>
    </xf>
    <xf numFmtId="0" fontId="18" fillId="4" borderId="26" xfId="0" applyNumberFormat="1" applyFont="1" applyFill="1" applyBorder="1" applyAlignment="1">
      <alignment vertical="center"/>
    </xf>
    <xf numFmtId="166" fontId="18" fillId="4" borderId="4" xfId="0" applyNumberFormat="1" applyFont="1" applyFill="1" applyBorder="1" applyAlignment="1">
      <alignment vertical="center"/>
    </xf>
    <xf numFmtId="166" fontId="18" fillId="4" borderId="7" xfId="0" applyNumberFormat="1" applyFont="1" applyFill="1" applyBorder="1" applyAlignment="1">
      <alignment vertical="center"/>
    </xf>
    <xf numFmtId="166" fontId="18" fillId="5" borderId="25" xfId="0" applyNumberFormat="1" applyFont="1" applyFill="1" applyBorder="1" applyAlignment="1">
      <alignment vertical="center"/>
    </xf>
    <xf numFmtId="166" fontId="18" fillId="4" borderId="26" xfId="0" applyNumberFormat="1" applyFont="1" applyFill="1" applyBorder="1" applyAlignment="1">
      <alignment vertical="center"/>
    </xf>
    <xf numFmtId="166" fontId="18" fillId="4" borderId="27" xfId="0" applyNumberFormat="1" applyFont="1" applyFill="1" applyBorder="1" applyAlignment="1">
      <alignment vertical="center"/>
    </xf>
    <xf numFmtId="0" fontId="12" fillId="6" borderId="31" xfId="0" applyFont="1" applyFill="1" applyBorder="1" applyAlignment="1">
      <alignment vertical="center"/>
    </xf>
    <xf numFmtId="0" fontId="13" fillId="6" borderId="32" xfId="0" applyNumberFormat="1" applyFont="1" applyFill="1" applyBorder="1" applyAlignment="1">
      <alignment vertical="center"/>
    </xf>
    <xf numFmtId="166" fontId="13" fillId="6" borderId="33" xfId="0" applyNumberFormat="1" applyFont="1" applyFill="1" applyBorder="1" applyAlignment="1">
      <alignment vertical="center"/>
    </xf>
    <xf numFmtId="166" fontId="13" fillId="6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6" borderId="32" xfId="0" applyNumberFormat="1" applyFont="1" applyFill="1" applyBorder="1" applyAlignment="1">
      <alignment vertical="center"/>
    </xf>
    <xf numFmtId="166" fontId="13" fillId="6" borderId="36" xfId="0" applyNumberFormat="1" applyFont="1" applyFill="1" applyBorder="1" applyAlignment="1">
      <alignment vertical="center"/>
    </xf>
    <xf numFmtId="0" fontId="12" fillId="6" borderId="37" xfId="0" applyFont="1" applyFill="1" applyBorder="1" applyAlignment="1">
      <alignment horizontal="left" vertical="center" indent="2"/>
    </xf>
    <xf numFmtId="166" fontId="13" fillId="6" borderId="38" xfId="0" applyNumberFormat="1" applyFont="1" applyFill="1" applyBorder="1" applyAlignment="1">
      <alignment vertical="center"/>
    </xf>
    <xf numFmtId="0" fontId="18" fillId="6" borderId="39" xfId="0" applyFont="1" applyFill="1" applyBorder="1" applyAlignment="1">
      <alignment horizontal="left" vertical="center" indent="2"/>
    </xf>
    <xf numFmtId="0" fontId="18" fillId="6" borderId="40" xfId="0" applyNumberFormat="1" applyFont="1" applyFill="1" applyBorder="1" applyAlignment="1">
      <alignment vertical="center"/>
    </xf>
    <xf numFmtId="166" fontId="18" fillId="6" borderId="41" xfId="0" applyNumberFormat="1" applyFont="1" applyFill="1" applyBorder="1" applyAlignment="1">
      <alignment vertical="center"/>
    </xf>
    <xf numFmtId="166" fontId="18" fillId="6" borderId="42" xfId="0" applyNumberFormat="1" applyFont="1" applyFill="1" applyBorder="1" applyAlignment="1">
      <alignment vertical="center"/>
    </xf>
    <xf numFmtId="166" fontId="18" fillId="6" borderId="40" xfId="0" applyNumberFormat="1" applyFont="1" applyFill="1" applyBorder="1" applyAlignment="1">
      <alignment vertical="center"/>
    </xf>
    <xf numFmtId="166" fontId="18" fillId="6" borderId="44" xfId="0" applyNumberFormat="1" applyFont="1" applyFill="1" applyBorder="1" applyAlignment="1">
      <alignment vertical="center"/>
    </xf>
    <xf numFmtId="0" fontId="18" fillId="2" borderId="3" xfId="0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0" fontId="18" fillId="2" borderId="40" xfId="0" applyNumberFormat="1" applyFont="1" applyFill="1" applyBorder="1" applyAlignment="1">
      <alignment vertical="center"/>
    </xf>
    <xf numFmtId="166" fontId="18" fillId="2" borderId="41" xfId="0" applyNumberFormat="1" applyFont="1" applyFill="1" applyBorder="1" applyAlignment="1">
      <alignment vertical="center"/>
    </xf>
    <xf numFmtId="166" fontId="18" fillId="2" borderId="42" xfId="0" applyNumberFormat="1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vertical="center"/>
    </xf>
    <xf numFmtId="166" fontId="18" fillId="2" borderId="38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166" fontId="12" fillId="2" borderId="38" xfId="0" applyNumberFormat="1" applyFont="1" applyFill="1" applyBorder="1" applyAlignment="1">
      <alignment vertical="center"/>
    </xf>
    <xf numFmtId="166" fontId="18" fillId="2" borderId="40" xfId="0" applyNumberFormat="1" applyFont="1" applyFill="1" applyBorder="1" applyAlignment="1">
      <alignment vertical="center"/>
    </xf>
    <xf numFmtId="166" fontId="18" fillId="2" borderId="44" xfId="0" applyNumberFormat="1" applyFont="1" applyFill="1" applyBorder="1" applyAlignment="1">
      <alignment vertical="center"/>
    </xf>
    <xf numFmtId="166" fontId="12" fillId="2" borderId="32" xfId="0" applyNumberFormat="1" applyFont="1" applyFill="1" applyBorder="1" applyAlignment="1">
      <alignment vertical="center"/>
    </xf>
    <xf numFmtId="166" fontId="12" fillId="2" borderId="33" xfId="0" applyNumberFormat="1" applyFont="1" applyFill="1" applyBorder="1" applyAlignment="1">
      <alignment vertical="center"/>
    </xf>
    <xf numFmtId="166" fontId="12" fillId="2" borderId="36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vertical="center"/>
    </xf>
    <xf numFmtId="0" fontId="25" fillId="0" borderId="0" xfId="0" applyFont="1"/>
    <xf numFmtId="4" fontId="28" fillId="0" borderId="1" xfId="0" applyNumberFormat="1" applyFont="1" applyFill="1" applyBorder="1" applyAlignment="1">
      <alignment vertical="center"/>
    </xf>
    <xf numFmtId="4" fontId="28" fillId="0" borderId="2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5" fontId="28" fillId="0" borderId="1" xfId="0" applyNumberFormat="1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167" fontId="28" fillId="0" borderId="1" xfId="0" applyNumberFormat="1" applyFont="1" applyFill="1" applyBorder="1" applyAlignment="1">
      <alignment horizontal="right" vertical="center"/>
    </xf>
    <xf numFmtId="4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Border="1" applyAlignment="1">
      <alignment horizontal="center" vertical="center"/>
    </xf>
    <xf numFmtId="9" fontId="17" fillId="0" borderId="0" xfId="2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0" fillId="0" borderId="0" xfId="0" applyNumberFormat="1"/>
    <xf numFmtId="0" fontId="25" fillId="0" borderId="0" xfId="0" applyFont="1" applyFill="1"/>
    <xf numFmtId="4" fontId="20" fillId="0" borderId="0" xfId="0" applyNumberFormat="1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horizontal="right" vertical="center"/>
    </xf>
    <xf numFmtId="9" fontId="20" fillId="0" borderId="0" xfId="0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vertical="center"/>
    </xf>
    <xf numFmtId="166" fontId="18" fillId="0" borderId="41" xfId="0" applyNumberFormat="1" applyFont="1" applyFill="1" applyBorder="1" applyAlignment="1">
      <alignment vertical="center"/>
    </xf>
    <xf numFmtId="4" fontId="9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66" fontId="1" fillId="0" borderId="0" xfId="0" applyNumberFormat="1" applyFont="1"/>
    <xf numFmtId="0" fontId="30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 wrapText="1" shrinkToFit="1"/>
    </xf>
    <xf numFmtId="4" fontId="20" fillId="0" borderId="1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4" fontId="28" fillId="0" borderId="2" xfId="0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4" fontId="32" fillId="0" borderId="1" xfId="0" applyNumberFormat="1" applyFont="1" applyFill="1" applyBorder="1" applyAlignment="1">
      <alignment vertical="center"/>
    </xf>
    <xf numFmtId="4" fontId="32" fillId="0" borderId="2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4" fontId="25" fillId="0" borderId="0" xfId="0" applyNumberFormat="1" applyFont="1" applyFill="1"/>
    <xf numFmtId="4" fontId="25" fillId="0" borderId="0" xfId="0" applyNumberFormat="1" applyFont="1"/>
    <xf numFmtId="4" fontId="17" fillId="0" borderId="0" xfId="0" applyNumberFormat="1" applyFont="1"/>
    <xf numFmtId="4" fontId="0" fillId="0" borderId="0" xfId="0" applyNumberFormat="1" applyFill="1" applyBorder="1"/>
    <xf numFmtId="0" fontId="33" fillId="0" borderId="0" xfId="1" applyFont="1" applyFill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>
      <alignment horizontal="center" vertical="center"/>
    </xf>
    <xf numFmtId="4" fontId="34" fillId="0" borderId="0" xfId="0" applyNumberFormat="1" applyFont="1"/>
    <xf numFmtId="0" fontId="34" fillId="0" borderId="0" xfId="0" applyFont="1"/>
    <xf numFmtId="0" fontId="35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9" fontId="34" fillId="0" borderId="0" xfId="2" applyFont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0" fontId="28" fillId="0" borderId="1" xfId="0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9" fontId="25" fillId="0" borderId="0" xfId="2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 shrinkToFit="1"/>
    </xf>
    <xf numFmtId="4" fontId="24" fillId="0" borderId="0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167" fontId="32" fillId="0" borderId="1" xfId="0" applyNumberFormat="1" applyFont="1" applyFill="1" applyBorder="1" applyAlignment="1">
      <alignment horizontal="right" vertical="center"/>
    </xf>
    <xf numFmtId="4" fontId="32" fillId="0" borderId="1" xfId="0" applyNumberFormat="1" applyFont="1" applyFill="1" applyBorder="1" applyAlignment="1">
      <alignment horizontal="right" vertical="center"/>
    </xf>
    <xf numFmtId="4" fontId="32" fillId="0" borderId="2" xfId="0" applyNumberFormat="1" applyFont="1" applyFill="1" applyBorder="1" applyAlignment="1">
      <alignment horizontal="right" vertical="center"/>
    </xf>
    <xf numFmtId="4" fontId="32" fillId="0" borderId="1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7" fillId="0" borderId="0" xfId="0" applyFont="1" applyFill="1"/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4" fontId="17" fillId="7" borderId="0" xfId="0" applyNumberFormat="1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30" fillId="7" borderId="0" xfId="0" applyFont="1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0" fontId="25" fillId="7" borderId="0" xfId="0" applyFont="1" applyFill="1"/>
    <xf numFmtId="0" fontId="17" fillId="0" borderId="0" xfId="0" applyFont="1" applyFill="1" applyAlignment="1">
      <alignment wrapText="1" shrinkToFit="1"/>
    </xf>
    <xf numFmtId="0" fontId="32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4" fontId="38" fillId="0" borderId="2" xfId="0" applyNumberFormat="1" applyFont="1" applyFill="1" applyBorder="1" applyAlignment="1">
      <alignment vertical="center"/>
    </xf>
    <xf numFmtId="4" fontId="38" fillId="0" borderId="1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9" fontId="39" fillId="0" borderId="0" xfId="2" applyFont="1" applyAlignment="1">
      <alignment horizontal="center" vertical="center"/>
    </xf>
    <xf numFmtId="4" fontId="39" fillId="0" borderId="0" xfId="0" applyNumberFormat="1" applyFont="1" applyAlignment="1">
      <alignment horizontal="center" vertical="center"/>
    </xf>
    <xf numFmtId="0" fontId="3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/>
    </xf>
    <xf numFmtId="9" fontId="17" fillId="8" borderId="0" xfId="2" applyFont="1" applyFill="1" applyAlignment="1">
      <alignment horizontal="center" vertical="center"/>
    </xf>
    <xf numFmtId="4" fontId="17" fillId="8" borderId="0" xfId="0" applyNumberFormat="1" applyFont="1" applyFill="1" applyAlignment="1">
      <alignment horizontal="center" vertical="center"/>
    </xf>
    <xf numFmtId="0" fontId="30" fillId="8" borderId="0" xfId="0" applyFont="1" applyFill="1" applyBorder="1" applyAlignment="1">
      <alignment vertical="center"/>
    </xf>
    <xf numFmtId="0" fontId="17" fillId="8" borderId="0" xfId="0" applyFont="1" applyFill="1" applyAlignment="1">
      <alignment vertical="center"/>
    </xf>
    <xf numFmtId="0" fontId="34" fillId="8" borderId="0" xfId="0" applyFont="1" applyFill="1" applyAlignment="1">
      <alignment horizontal="center" vertical="center"/>
    </xf>
    <xf numFmtId="9" fontId="34" fillId="8" borderId="0" xfId="2" applyFont="1" applyFill="1" applyAlignment="1">
      <alignment horizontal="center" vertical="center"/>
    </xf>
    <xf numFmtId="4" fontId="34" fillId="8" borderId="0" xfId="0" applyNumberFormat="1" applyFont="1" applyFill="1" applyAlignment="1">
      <alignment horizontal="center" vertical="center"/>
    </xf>
    <xf numFmtId="4" fontId="34" fillId="8" borderId="0" xfId="0" applyNumberFormat="1" applyFont="1" applyFill="1"/>
    <xf numFmtId="0" fontId="34" fillId="8" borderId="0" xfId="0" applyFont="1" applyFill="1"/>
    <xf numFmtId="49" fontId="38" fillId="0" borderId="1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167" fontId="38" fillId="0" borderId="1" xfId="0" applyNumberFormat="1" applyFont="1" applyFill="1" applyBorder="1" applyAlignment="1">
      <alignment vertical="center"/>
    </xf>
    <xf numFmtId="165" fontId="38" fillId="0" borderId="1" xfId="0" applyNumberFormat="1" applyFont="1" applyFill="1" applyBorder="1" applyAlignment="1">
      <alignment horizontal="center" vertical="center" wrapText="1"/>
    </xf>
    <xf numFmtId="9" fontId="38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9" fontId="2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 wrapText="1"/>
    </xf>
    <xf numFmtId="43" fontId="0" fillId="0" borderId="0" xfId="6" applyFont="1" applyFill="1"/>
    <xf numFmtId="4" fontId="22" fillId="0" borderId="1" xfId="0" applyNumberFormat="1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9" fontId="0" fillId="0" borderId="0" xfId="0" applyNumberFormat="1" applyFill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 shrinkToFit="1"/>
    </xf>
    <xf numFmtId="0" fontId="21" fillId="0" borderId="9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7">
    <cellStyle name="Dziesiętny" xfId="6" builtinId="3"/>
    <cellStyle name="Dziesiętny 2" xfId="4"/>
    <cellStyle name="Normalny" xfId="0" builtinId="0"/>
    <cellStyle name="Normalny 2" xfId="3"/>
    <cellStyle name="Normalny 2 2" xfId="5"/>
    <cellStyle name="Normalny 3" xfId="1"/>
    <cellStyle name="Procentowy 2" xfId="2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X42"/>
  <sheetViews>
    <sheetView tabSelected="1" view="pageBreakPreview" topLeftCell="A19" zoomScale="90" zoomScaleNormal="100" zoomScaleSheetLayoutView="90" workbookViewId="0">
      <selection activeCell="E31" sqref="E31"/>
    </sheetView>
  </sheetViews>
  <sheetFormatPr defaultRowHeight="15" x14ac:dyDescent="0.25"/>
  <cols>
    <col min="1" max="1" width="32.140625" style="13" customWidth="1"/>
    <col min="2" max="2" width="10.7109375" style="13" customWidth="1"/>
    <col min="3" max="5" width="20.7109375" style="13" customWidth="1"/>
    <col min="6" max="15" width="15.7109375" style="13" customWidth="1"/>
    <col min="16" max="16" width="9.140625" style="13"/>
    <col min="17" max="17" width="11.7109375" style="13" bestFit="1" customWidth="1"/>
    <col min="18" max="18" width="12" style="3" bestFit="1" customWidth="1"/>
    <col min="19" max="19" width="9.140625" style="3"/>
    <col min="20" max="20" width="11" style="3" bestFit="1" customWidth="1"/>
    <col min="21" max="21" width="17.85546875" style="3" customWidth="1"/>
    <col min="22" max="22" width="13.7109375" style="3" bestFit="1" customWidth="1"/>
    <col min="23" max="16384" width="9.140625" style="3"/>
  </cols>
  <sheetData>
    <row r="1" spans="1:24" s="9" customFormat="1" ht="30" customHeight="1" thickBot="1" x14ac:dyDescent="0.35">
      <c r="A1" s="6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8"/>
    </row>
    <row r="2" spans="1:24" x14ac:dyDescent="0.25">
      <c r="A2" s="10"/>
      <c r="B2" s="10"/>
      <c r="C2" s="10"/>
      <c r="D2" s="10"/>
      <c r="E2" s="10"/>
      <c r="F2" s="302" t="s">
        <v>18</v>
      </c>
      <c r="G2" s="303"/>
      <c r="H2" s="303"/>
      <c r="I2" s="303"/>
      <c r="J2" s="303"/>
      <c r="K2" s="303"/>
      <c r="L2" s="303"/>
      <c r="M2" s="303"/>
      <c r="N2" s="304"/>
      <c r="O2" s="10"/>
      <c r="P2" s="10"/>
      <c r="Q2" s="10"/>
      <c r="R2" s="11"/>
      <c r="S2" s="11"/>
      <c r="T2" s="11"/>
      <c r="U2" s="11"/>
      <c r="V2" s="11"/>
      <c r="W2" s="11"/>
      <c r="X2" s="11"/>
    </row>
    <row r="3" spans="1:24" x14ac:dyDescent="0.25">
      <c r="A3" s="12"/>
      <c r="B3" s="10"/>
      <c r="C3" s="10"/>
      <c r="D3" s="10"/>
      <c r="E3" s="10"/>
      <c r="F3" s="305"/>
      <c r="G3" s="306"/>
      <c r="H3" s="306"/>
      <c r="I3" s="306"/>
      <c r="J3" s="306"/>
      <c r="K3" s="306"/>
      <c r="L3" s="306"/>
      <c r="M3" s="306"/>
      <c r="N3" s="307"/>
      <c r="X3" s="11"/>
    </row>
    <row r="4" spans="1:24" x14ac:dyDescent="0.25">
      <c r="A4" s="243" t="s">
        <v>604</v>
      </c>
      <c r="B4" s="244"/>
      <c r="C4" s="244"/>
      <c r="D4" s="15"/>
      <c r="E4" s="15"/>
      <c r="F4" s="305"/>
      <c r="G4" s="306"/>
      <c r="H4" s="306"/>
      <c r="I4" s="306"/>
      <c r="J4" s="306"/>
      <c r="K4" s="306"/>
      <c r="L4" s="306"/>
      <c r="M4" s="306"/>
      <c r="N4" s="307"/>
      <c r="X4" s="16"/>
    </row>
    <row r="5" spans="1:24" x14ac:dyDescent="0.25">
      <c r="A5" s="244"/>
      <c r="B5" s="244"/>
      <c r="C5" s="244"/>
      <c r="D5" s="15"/>
      <c r="E5" s="15"/>
      <c r="F5" s="305"/>
      <c r="G5" s="306"/>
      <c r="H5" s="306"/>
      <c r="I5" s="306"/>
      <c r="J5" s="306"/>
      <c r="K5" s="306"/>
      <c r="L5" s="306"/>
      <c r="M5" s="306"/>
      <c r="N5" s="307"/>
      <c r="X5" s="11"/>
    </row>
    <row r="6" spans="1:24" x14ac:dyDescent="0.25">
      <c r="A6" s="243" t="s">
        <v>605</v>
      </c>
      <c r="B6" s="244"/>
      <c r="C6" s="244"/>
      <c r="D6" s="15"/>
      <c r="E6" s="15"/>
      <c r="F6" s="305"/>
      <c r="G6" s="306"/>
      <c r="H6" s="306"/>
      <c r="I6" s="306"/>
      <c r="J6" s="306"/>
      <c r="K6" s="306"/>
      <c r="L6" s="306"/>
      <c r="M6" s="306"/>
      <c r="N6" s="307"/>
      <c r="X6" s="16"/>
    </row>
    <row r="7" spans="1:24" ht="15.75" thickBot="1" x14ac:dyDescent="0.3">
      <c r="A7" s="244"/>
      <c r="B7" s="244"/>
      <c r="C7" s="244"/>
      <c r="D7" s="15"/>
      <c r="E7" s="15"/>
      <c r="F7" s="308" t="s">
        <v>19</v>
      </c>
      <c r="G7" s="309"/>
      <c r="H7" s="309"/>
      <c r="I7" s="309"/>
      <c r="J7" s="309"/>
      <c r="K7" s="309"/>
      <c r="L7" s="309"/>
      <c r="M7" s="309"/>
      <c r="N7" s="310"/>
      <c r="X7" s="11"/>
    </row>
    <row r="8" spans="1:24" x14ac:dyDescent="0.25">
      <c r="A8" s="15"/>
      <c r="B8" s="15"/>
      <c r="C8" s="15"/>
      <c r="D8" s="15"/>
      <c r="E8" s="15"/>
      <c r="F8" s="17"/>
      <c r="G8" s="17"/>
      <c r="H8" s="17"/>
      <c r="I8" s="190"/>
      <c r="J8" s="191"/>
      <c r="K8" s="17"/>
      <c r="L8" s="17"/>
      <c r="M8" s="17"/>
      <c r="N8" s="17"/>
      <c r="X8" s="11"/>
    </row>
    <row r="9" spans="1:24" ht="20.100000000000001" customHeight="1" thickBot="1" x14ac:dyDescent="0.3">
      <c r="A9" s="14" t="s">
        <v>0</v>
      </c>
      <c r="B9" s="15"/>
      <c r="C9" s="15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X9" s="11"/>
    </row>
    <row r="10" spans="1:24" ht="20.100000000000001" customHeight="1" x14ac:dyDescent="0.25">
      <c r="A10" s="311" t="s">
        <v>1</v>
      </c>
      <c r="B10" s="313" t="s">
        <v>36</v>
      </c>
      <c r="C10" s="315" t="s">
        <v>20</v>
      </c>
      <c r="D10" s="317" t="s">
        <v>21</v>
      </c>
      <c r="E10" s="319" t="s">
        <v>22</v>
      </c>
      <c r="F10" s="63"/>
      <c r="G10" s="50"/>
      <c r="H10" s="51"/>
      <c r="I10" s="50"/>
      <c r="J10" s="51" t="s">
        <v>12</v>
      </c>
      <c r="K10" s="50"/>
      <c r="L10" s="50"/>
      <c r="M10" s="50"/>
      <c r="N10" s="51"/>
      <c r="O10" s="52"/>
      <c r="P10" s="30"/>
      <c r="Q10" s="30"/>
      <c r="R10" s="2"/>
      <c r="S10" s="2"/>
      <c r="T10" s="2"/>
      <c r="U10" s="2"/>
      <c r="X10" s="11"/>
    </row>
    <row r="11" spans="1:24" s="1" customFormat="1" ht="20.100000000000001" customHeight="1" thickBot="1" x14ac:dyDescent="0.3">
      <c r="A11" s="312"/>
      <c r="B11" s="314"/>
      <c r="C11" s="316"/>
      <c r="D11" s="318"/>
      <c r="E11" s="320"/>
      <c r="F11" s="69">
        <v>2019</v>
      </c>
      <c r="G11" s="70">
        <v>2020</v>
      </c>
      <c r="H11" s="70">
        <v>2021</v>
      </c>
      <c r="I11" s="70">
        <v>2022</v>
      </c>
      <c r="J11" s="70">
        <v>2023</v>
      </c>
      <c r="K11" s="70">
        <v>2024</v>
      </c>
      <c r="L11" s="70">
        <v>2025</v>
      </c>
      <c r="M11" s="70">
        <v>2026</v>
      </c>
      <c r="N11" s="70">
        <v>2027</v>
      </c>
      <c r="O11" s="71">
        <v>2028</v>
      </c>
      <c r="P11" s="17"/>
      <c r="Q11" s="17"/>
      <c r="R11" s="17"/>
      <c r="S11" s="17"/>
      <c r="T11" s="17"/>
      <c r="U11" s="17"/>
      <c r="V11" s="18"/>
      <c r="W11" s="18"/>
      <c r="X11" s="18"/>
    </row>
    <row r="12" spans="1:24" ht="39.950000000000003" customHeight="1" thickTop="1" x14ac:dyDescent="0.25">
      <c r="A12" s="73" t="s">
        <v>38</v>
      </c>
      <c r="B12" s="74">
        <f>COUNTA('pow podst'!K3:K29)</f>
        <v>27</v>
      </c>
      <c r="C12" s="75">
        <f>SUM('pow podst'!J3:J29)</f>
        <v>273430584.5</v>
      </c>
      <c r="D12" s="76">
        <f>SUM('pow podst'!L3:L29)</f>
        <v>122507700.75</v>
      </c>
      <c r="E12" s="77">
        <f>SUM('pow podst'!K3:K29)</f>
        <v>150922883.75</v>
      </c>
      <c r="F12" s="78">
        <f>SUM('pow podst'!N3:N29)</f>
        <v>0</v>
      </c>
      <c r="G12" s="75">
        <f>SUM('pow podst'!O3:O29)</f>
        <v>0</v>
      </c>
      <c r="H12" s="75">
        <f>SUM('pow podst'!P3:P29)</f>
        <v>2292449.4000000004</v>
      </c>
      <c r="I12" s="75">
        <f>SUM('pow podst'!Q3:Q29)</f>
        <v>35977519.5</v>
      </c>
      <c r="J12" s="75">
        <f>SUM('pow podst'!R3:R29)</f>
        <v>87924649.849999994</v>
      </c>
      <c r="K12" s="75">
        <f>SUM('pow podst'!S3:S29)</f>
        <v>22740613</v>
      </c>
      <c r="L12" s="75">
        <f>SUM('pow podst'!T3:T29)</f>
        <v>1987652</v>
      </c>
      <c r="M12" s="75">
        <f>SUM('pow podst'!U3:U29)</f>
        <v>0</v>
      </c>
      <c r="N12" s="75">
        <f>SUM('pow podst'!V3:V29)</f>
        <v>0</v>
      </c>
      <c r="O12" s="79">
        <f>SUM('pow podst'!W3:W29)</f>
        <v>0</v>
      </c>
      <c r="P12" s="19" t="b">
        <f>C12=(D12+E12)</f>
        <v>1</v>
      </c>
      <c r="Q12" s="36" t="b">
        <f>E12=SUM(F12:O12)</f>
        <v>1</v>
      </c>
      <c r="R12" s="20"/>
      <c r="S12" s="20"/>
      <c r="T12" s="21"/>
      <c r="U12" s="21"/>
      <c r="V12" s="22"/>
      <c r="W12" s="11"/>
      <c r="X12" s="11"/>
    </row>
    <row r="13" spans="1:24" ht="39.950000000000003" customHeight="1" x14ac:dyDescent="0.25">
      <c r="A13" s="80" t="s">
        <v>39</v>
      </c>
      <c r="B13" s="129">
        <f>COUNTIF('pow podst'!C3:C29,"K")</f>
        <v>9</v>
      </c>
      <c r="C13" s="130">
        <f>SUMIF('pow podst'!C3:C29,"K",'pow podst'!J3:J29)</f>
        <v>117136296.73</v>
      </c>
      <c r="D13" s="131">
        <f>SUMIF('pow podst'!C3:C29,"K",'pow podst'!L3:L29)</f>
        <v>51848132.329999998</v>
      </c>
      <c r="E13" s="40">
        <f>SUMIF('pow podst'!C3:C29,"K",'pow podst'!K3:K29)</f>
        <v>65288164.399999999</v>
      </c>
      <c r="F13" s="138">
        <f>SUMIF('pow podst'!C3:C29,"K",'pow podst'!N3:N29)</f>
        <v>0</v>
      </c>
      <c r="G13" s="130">
        <f>SUMIF('pow podst'!C3:C29,"K",'pow podst'!O3:O29)</f>
        <v>0</v>
      </c>
      <c r="H13" s="130">
        <f>SUMIF('pow podst'!C3:C29,"K",'pow podst'!P3:P29)</f>
        <v>2292449.4000000004</v>
      </c>
      <c r="I13" s="130">
        <f>SUMIF('pow podst'!C3:C29,"K",'pow podst'!Q3:Q29)</f>
        <v>35977519.5</v>
      </c>
      <c r="J13" s="130">
        <f>SUMIF('pow podst'!C3:C29,"K",'pow podst'!R3:R29)</f>
        <v>27018195.5</v>
      </c>
      <c r="K13" s="130">
        <f>SUMIF('pow podst'!C3:C29,"K",'pow podst'!S3:S29)</f>
        <v>0</v>
      </c>
      <c r="L13" s="130">
        <f>SUMIF('pow podst'!C3:C29,"K",'pow podst'!T3:T29)</f>
        <v>0</v>
      </c>
      <c r="M13" s="130">
        <f>SUMIF('pow podst'!C3:C29,"K",'pow podst'!U3:U29)</f>
        <v>0</v>
      </c>
      <c r="N13" s="130">
        <f>SUMIF('pow podst'!C3:C29,"K",'pow podst'!V3:V29)</f>
        <v>0</v>
      </c>
      <c r="O13" s="139">
        <f>SUMIF('pow podst'!C3:C29,"K",'pow podst'!W3:W29)</f>
        <v>0</v>
      </c>
      <c r="P13" s="19" t="b">
        <f t="shared" ref="P13:P22" si="0">C13=(D13+E13)</f>
        <v>1</v>
      </c>
      <c r="Q13" s="36" t="b">
        <f t="shared" ref="Q13:Q19" si="1">E13=SUM(F13:O13)</f>
        <v>1</v>
      </c>
      <c r="R13" s="20"/>
      <c r="S13" s="20"/>
      <c r="T13" s="21"/>
      <c r="U13" s="21"/>
      <c r="V13" s="22"/>
      <c r="W13" s="11"/>
      <c r="X13" s="11"/>
    </row>
    <row r="14" spans="1:24" ht="39.950000000000003" customHeight="1" x14ac:dyDescent="0.25">
      <c r="A14" s="81" t="s">
        <v>40</v>
      </c>
      <c r="B14" s="132">
        <f>COUNTIF('pow podst'!C3:C29,"N")</f>
        <v>10</v>
      </c>
      <c r="C14" s="133">
        <f>SUMIF('pow podst'!C3:C29,"N",'pow podst'!J3:J29)</f>
        <v>71474027.269999996</v>
      </c>
      <c r="D14" s="134">
        <f>SUMIF('pow podst'!C3:C29,"N",'pow podst'!L3:L29)</f>
        <v>33795195.270000003</v>
      </c>
      <c r="E14" s="39">
        <f>SUMIF('pow podst'!C3:C29,"N",'pow podst'!K3:K29)</f>
        <v>37678832</v>
      </c>
      <c r="F14" s="140">
        <f>SUMIF('pow podst'!C3:C29,"N",'pow podst'!N3:N29)</f>
        <v>0</v>
      </c>
      <c r="G14" s="133">
        <f>SUMIF('pow podst'!C3:C29,"N",'pow podst'!O3:O29)</f>
        <v>0</v>
      </c>
      <c r="H14" s="133">
        <f>SUMIF('pow podst'!C3:C29,"N",'pow podst'!P3:P29)</f>
        <v>0</v>
      </c>
      <c r="I14" s="133">
        <f>SUMIF('pow podst'!C3:C29,"N",'pow podst'!Q3:Q29)</f>
        <v>0</v>
      </c>
      <c r="J14" s="133">
        <f>SUMIF('pow podst'!C3:C29,"N",'pow podst'!R3:R29)</f>
        <v>37678832</v>
      </c>
      <c r="K14" s="133">
        <f>SUMIF('pow podst'!C3:C29,"N",'pow podst'!S3:S29)</f>
        <v>0</v>
      </c>
      <c r="L14" s="133">
        <f>SUMIF('pow podst'!C3:C29,"N",'pow podst'!T3:T29)</f>
        <v>0</v>
      </c>
      <c r="M14" s="133">
        <f>SUMIF('pow podst'!C3:C29,"N",'pow podst'!U3:U29)</f>
        <v>0</v>
      </c>
      <c r="N14" s="133">
        <f>SUMIF('pow podst'!C3:C29,"N",'pow podst'!V3:V29)</f>
        <v>0</v>
      </c>
      <c r="O14" s="141">
        <f>SUMIF('pow podst'!C3:C29,"N",'pow podst'!W3:W29)</f>
        <v>0</v>
      </c>
      <c r="P14" s="19" t="b">
        <f t="shared" si="0"/>
        <v>1</v>
      </c>
      <c r="Q14" s="36" t="b">
        <f t="shared" si="1"/>
        <v>1</v>
      </c>
      <c r="R14" s="20"/>
      <c r="S14" s="20"/>
      <c r="T14" s="21"/>
      <c r="U14" s="21"/>
      <c r="V14" s="22"/>
      <c r="W14" s="11"/>
      <c r="X14" s="11"/>
    </row>
    <row r="15" spans="1:24" ht="39.950000000000003" customHeight="1" thickBot="1" x14ac:dyDescent="0.3">
      <c r="A15" s="82" t="s">
        <v>41</v>
      </c>
      <c r="B15" s="135">
        <f>COUNTIF('pow podst'!C3:C29,"W")</f>
        <v>8</v>
      </c>
      <c r="C15" s="136">
        <f>SUMIF('pow podst'!C3:C29,"W",'pow podst'!J3:J29)</f>
        <v>84820260.5</v>
      </c>
      <c r="D15" s="137">
        <f>SUMIF('pow podst'!C3:C29,"W",'pow podst'!L3:L29)</f>
        <v>36864373.150000006</v>
      </c>
      <c r="E15" s="83">
        <f>SUMIF('pow podst'!C3:C29,"W",'pow podst'!K3:K29)</f>
        <v>47955887.350000001</v>
      </c>
      <c r="F15" s="142">
        <f>SUMIF('pow podst'!C3:C29,"W",'pow podst'!N3:N29)</f>
        <v>0</v>
      </c>
      <c r="G15" s="136">
        <f>SUMIF('pow podst'!C3:C29,"W",'pow podst'!O3:O29)</f>
        <v>0</v>
      </c>
      <c r="H15" s="136">
        <f>SUMIF('pow podst'!C3:C29,"W",'pow podst'!P3:P29)</f>
        <v>0</v>
      </c>
      <c r="I15" s="136">
        <f>SUMIF('pow podst'!C3:C29,"W",'pow podst'!Q3:Q29)</f>
        <v>0</v>
      </c>
      <c r="J15" s="136">
        <f>SUMIF('pow podst'!C3:C29,"W",'pow podst'!R3:R29)</f>
        <v>23227622.350000001</v>
      </c>
      <c r="K15" s="136">
        <f>SUMIF('pow podst'!C3:C29,"W",'pow podst'!S3:S29)</f>
        <v>22740613</v>
      </c>
      <c r="L15" s="136">
        <f>SUMIF('pow podst'!C3:C29,"W",'pow podst'!T3:T29)</f>
        <v>1987652</v>
      </c>
      <c r="M15" s="136">
        <f>SUMIF('pow podst'!C3:C29,"W",'pow podst'!U3:U29)</f>
        <v>0</v>
      </c>
      <c r="N15" s="136">
        <f>SUMIF('pow podst'!C3:C29,"W",'pow podst'!V3:V29)</f>
        <v>0</v>
      </c>
      <c r="O15" s="143">
        <f>SUMIF('pow podst'!C3:C29,"W",'pow podst'!W3:W29)</f>
        <v>0</v>
      </c>
      <c r="P15" s="19" t="b">
        <f t="shared" si="0"/>
        <v>1</v>
      </c>
      <c r="Q15" s="36" t="b">
        <f t="shared" si="1"/>
        <v>1</v>
      </c>
      <c r="R15" s="20"/>
      <c r="S15" s="20"/>
      <c r="T15" s="21"/>
      <c r="U15" s="21"/>
      <c r="V15" s="22"/>
      <c r="W15" s="11"/>
      <c r="X15" s="11"/>
    </row>
    <row r="16" spans="1:24" ht="39.950000000000003" customHeight="1" thickTop="1" x14ac:dyDescent="0.25">
      <c r="A16" s="73" t="s">
        <v>42</v>
      </c>
      <c r="B16" s="74">
        <f>COUNTA('gm podst'!L3:L81)</f>
        <v>79</v>
      </c>
      <c r="C16" s="75">
        <f>SUM('gm podst'!K3:K81)</f>
        <v>351563615.69000006</v>
      </c>
      <c r="D16" s="76">
        <f>SUM('gm podst'!M3:M81)</f>
        <v>144416042.85000002</v>
      </c>
      <c r="E16" s="77">
        <f>SUM('gm podst'!L3:L81)</f>
        <v>207147572.84000003</v>
      </c>
      <c r="F16" s="144">
        <f>SUM('gm podst'!O3:O81)</f>
        <v>0</v>
      </c>
      <c r="G16" s="145">
        <f>SUM('gm podst'!P3:P81)</f>
        <v>2567417</v>
      </c>
      <c r="H16" s="145">
        <f>SUM('gm podst'!Q3:Q81)</f>
        <v>7639785</v>
      </c>
      <c r="I16" s="145">
        <f>SUM('gm podst'!R3:R81)</f>
        <v>45890826</v>
      </c>
      <c r="J16" s="145">
        <f>SUM('gm podst'!S3:S81)</f>
        <v>93479792.890000001</v>
      </c>
      <c r="K16" s="145">
        <f>SUM('gm podst'!T3:T81)</f>
        <v>32123902.950000003</v>
      </c>
      <c r="L16" s="145">
        <f>SUM('gm podst'!U3:U81)</f>
        <v>19302244</v>
      </c>
      <c r="M16" s="145">
        <f>SUM('gm podst'!V3:V81)</f>
        <v>5229245</v>
      </c>
      <c r="N16" s="145">
        <f>SUM('gm podst'!W3:W81)</f>
        <v>914360</v>
      </c>
      <c r="O16" s="146">
        <f>SUM('gm podst'!X3:X81)</f>
        <v>0</v>
      </c>
      <c r="P16" s="19" t="b">
        <f>C16=(D16+E16)</f>
        <v>1</v>
      </c>
      <c r="Q16" s="36" t="b">
        <f>E16=SUM(F16:O16)</f>
        <v>1</v>
      </c>
      <c r="R16" s="20"/>
      <c r="S16" s="20"/>
      <c r="T16" s="21"/>
      <c r="U16" s="21"/>
      <c r="V16" s="21"/>
      <c r="W16" s="21"/>
      <c r="X16" s="21"/>
    </row>
    <row r="17" spans="1:24" ht="39.950000000000003" customHeight="1" x14ac:dyDescent="0.25">
      <c r="A17" s="80" t="s">
        <v>39</v>
      </c>
      <c r="B17" s="129">
        <f>COUNTIF('gm podst'!C3:C81,"K")</f>
        <v>24</v>
      </c>
      <c r="C17" s="130">
        <f>SUMIF('gm podst'!C3:C81,"K",'gm podst'!K3:K81)</f>
        <v>158746730.01000002</v>
      </c>
      <c r="D17" s="131">
        <f>SUMIF('gm podst'!C3:C81,"K",'gm podst'!M3:M81)</f>
        <v>61261375.010000005</v>
      </c>
      <c r="E17" s="40">
        <f>SUMIF('gm podst'!C3:C81,"K",'gm podst'!L3:L81)</f>
        <v>97485355</v>
      </c>
      <c r="F17" s="138">
        <f>SUMIF('gm podst'!C3:C81,"K",'gm podst'!O3:O81)</f>
        <v>0</v>
      </c>
      <c r="G17" s="130">
        <f>SUMIF('gm podst'!C3:C81,"K",'gm podst'!P3:P81)</f>
        <v>2567417</v>
      </c>
      <c r="H17" s="130">
        <f>SUMIF('gm podst'!C3:C81,"K",'gm podst'!Q3:Q81)</f>
        <v>7639785</v>
      </c>
      <c r="I17" s="187">
        <f>SUMIF('gm podst'!C3:C81,"K",'gm podst'!R3:R81)</f>
        <v>45890826</v>
      </c>
      <c r="J17" s="130">
        <f>SUMIF('gm podst'!C3:C81,"K",'gm podst'!S3:S81)</f>
        <v>30202189.049999997</v>
      </c>
      <c r="K17" s="130">
        <f>SUMIF('gm podst'!C3:C81,"K",'gm podst'!T3:T81)</f>
        <v>11185137.950000003</v>
      </c>
      <c r="L17" s="130">
        <f>SUMIF('gm podst'!C3:C81,"K",'gm podst'!U3:U81)</f>
        <v>0</v>
      </c>
      <c r="M17" s="130">
        <f>SUMIF('gm podst'!C3:C81,"K",'gm podst'!V3:V81)</f>
        <v>0</v>
      </c>
      <c r="N17" s="130">
        <f>SUMIF('gm podst'!C3:C81,"K",'gm podst'!W3:W81)</f>
        <v>0</v>
      </c>
      <c r="O17" s="139">
        <f>SUMIF('gm podst'!C3:C81,"K",'gm podst'!X3:X81)</f>
        <v>0</v>
      </c>
      <c r="P17" s="19" t="b">
        <f t="shared" si="0"/>
        <v>1</v>
      </c>
      <c r="Q17" s="36" t="b">
        <f t="shared" si="1"/>
        <v>1</v>
      </c>
      <c r="R17" s="20"/>
      <c r="S17" s="20"/>
      <c r="T17" s="21"/>
      <c r="U17" s="21"/>
      <c r="V17" s="21"/>
      <c r="W17" s="21"/>
      <c r="X17" s="21"/>
    </row>
    <row r="18" spans="1:24" ht="39.950000000000003" customHeight="1" x14ac:dyDescent="0.25">
      <c r="A18" s="81" t="s">
        <v>40</v>
      </c>
      <c r="B18" s="132">
        <f>COUNTIF('gm podst'!C3:C81,"N")</f>
        <v>49</v>
      </c>
      <c r="C18" s="133">
        <f>SUMIF('gm podst'!C3:C81,"N",'gm podst'!K3:K81)</f>
        <v>89337521.23999998</v>
      </c>
      <c r="D18" s="134">
        <f>SUMIF('gm podst'!C3:C81,"N",'gm podst'!M3:M81)</f>
        <v>40108016.800000004</v>
      </c>
      <c r="E18" s="39">
        <f>SUMIF('gm podst'!C3:C81,"N",'gm podst'!L3:L81)</f>
        <v>49229504.439999998</v>
      </c>
      <c r="F18" s="140">
        <f>SUMIF('gm podst'!C3:C81,"N",'gm podst'!O3:O81)</f>
        <v>0</v>
      </c>
      <c r="G18" s="133">
        <f>SUMIF('gm podst'!C3:C81,"N",'gm podst'!P3:P81)</f>
        <v>0</v>
      </c>
      <c r="H18" s="133">
        <f>SUMIF('gm podst'!C3:C81,"N",'gm podst'!Q3:Q81)</f>
        <v>0</v>
      </c>
      <c r="I18" s="188">
        <f>SUMIF('gm podst'!C3:C81,"N",'gm podst'!R3:R81)</f>
        <v>0</v>
      </c>
      <c r="J18" s="133">
        <f>SUMIF('gm podst'!C3:C81,"N",'gm podst'!S3:S81)</f>
        <v>49229504.439999998</v>
      </c>
      <c r="K18" s="133">
        <f>SUMIF('gm podst'!C3:C81,"N",'gm podst'!T3:T81)</f>
        <v>0</v>
      </c>
      <c r="L18" s="133">
        <f>SUMIF('gm podst'!C3:C81,"N",'gm podst'!U3:U81)</f>
        <v>0</v>
      </c>
      <c r="M18" s="133">
        <f>SUMIF('gm podst'!C3:C81,"N",'gm podst'!V3:V81)</f>
        <v>0</v>
      </c>
      <c r="N18" s="133">
        <f>SUMIF('gm podst'!C3:C81,"N",'gm podst'!W3:W81)</f>
        <v>0</v>
      </c>
      <c r="O18" s="141">
        <f>SUMIF('gm podst'!C3:C81,"N",'gm podst'!X3:X81)</f>
        <v>0</v>
      </c>
      <c r="P18" s="19" t="b">
        <f t="shared" si="0"/>
        <v>1</v>
      </c>
      <c r="Q18" s="36" t="b">
        <f t="shared" si="1"/>
        <v>1</v>
      </c>
      <c r="R18" s="20"/>
      <c r="S18" s="20"/>
      <c r="T18" s="21"/>
      <c r="U18" s="21"/>
      <c r="V18" s="21"/>
      <c r="W18" s="21"/>
      <c r="X18" s="21"/>
    </row>
    <row r="19" spans="1:24" ht="39.950000000000003" customHeight="1" thickBot="1" x14ac:dyDescent="0.3">
      <c r="A19" s="82" t="s">
        <v>41</v>
      </c>
      <c r="B19" s="135">
        <f>COUNTIF('gm podst'!C3:C81,"W")</f>
        <v>6</v>
      </c>
      <c r="C19" s="136">
        <f>SUMIF('gm podst'!C3:C81,"W",'gm podst'!K3:K81)</f>
        <v>103479364.44</v>
      </c>
      <c r="D19" s="137">
        <f>SUMIF('gm podst'!C3:C81,"W",'gm podst'!M3:M81)</f>
        <v>43046651.039999992</v>
      </c>
      <c r="E19" s="83">
        <f>SUMIF('gm podst'!C3:C81,"W",'gm podst'!L3:L81)</f>
        <v>60432713.399999999</v>
      </c>
      <c r="F19" s="142">
        <f>SUMIF('gm podst'!C3:C81,"W",'gm podst'!O3:O81)</f>
        <v>0</v>
      </c>
      <c r="G19" s="136">
        <f>SUMIF('gm podst'!C3:C81,"W",'gm podst'!P3:P81)</f>
        <v>0</v>
      </c>
      <c r="H19" s="136">
        <f>SUMIF('gm podst'!C3:C81,"W",'gm podst'!Q3:Q81)</f>
        <v>0</v>
      </c>
      <c r="I19" s="189">
        <f>SUMIF('gm podst'!C3:C81,"W",'gm podst'!R3:R81)</f>
        <v>0</v>
      </c>
      <c r="J19" s="136">
        <f>SUMIF('gm podst'!C3:C81,"W",'gm podst'!S3:S81)</f>
        <v>14048099.4</v>
      </c>
      <c r="K19" s="136">
        <f>SUMIF('gm podst'!C3:C81,"W",'gm podst'!T3:T81)</f>
        <v>20938765</v>
      </c>
      <c r="L19" s="136">
        <f>SUMIF('gm podst'!C3:C81,"W",'gm podst'!U3:U81)</f>
        <v>19302244</v>
      </c>
      <c r="M19" s="136">
        <f>SUMIF('gm podst'!C3:C81,"W",'gm podst'!V3:V81)</f>
        <v>5229245</v>
      </c>
      <c r="N19" s="136">
        <f>SUMIF('gm podst'!C3:C81,"W",'gm podst'!W3:W81)</f>
        <v>914360</v>
      </c>
      <c r="O19" s="143">
        <f>SUMIF('gm podst'!C3:C81,"W",'gm podst'!X3:X81)</f>
        <v>0</v>
      </c>
      <c r="P19" s="19" t="b">
        <f t="shared" si="0"/>
        <v>1</v>
      </c>
      <c r="Q19" s="36" t="b">
        <f t="shared" si="1"/>
        <v>1</v>
      </c>
      <c r="R19" s="20"/>
      <c r="S19" s="20"/>
      <c r="T19" s="21"/>
      <c r="U19" s="21"/>
      <c r="V19" s="21"/>
      <c r="W19" s="21"/>
      <c r="X19" s="21"/>
    </row>
    <row r="20" spans="1:24" s="25" customFormat="1" ht="39.950000000000003" customHeight="1" thickTop="1" x14ac:dyDescent="0.25">
      <c r="A20" s="84" t="s">
        <v>43</v>
      </c>
      <c r="B20" s="85">
        <f>B12+B16</f>
        <v>106</v>
      </c>
      <c r="C20" s="86">
        <f>C12+C16</f>
        <v>624994200.19000006</v>
      </c>
      <c r="D20" s="87">
        <f t="shared" ref="C20:O22" si="2">D12+D16</f>
        <v>266923743.60000002</v>
      </c>
      <c r="E20" s="88">
        <f t="shared" si="2"/>
        <v>358070456.59000003</v>
      </c>
      <c r="F20" s="89">
        <f t="shared" si="2"/>
        <v>0</v>
      </c>
      <c r="G20" s="86">
        <f t="shared" si="2"/>
        <v>2567417</v>
      </c>
      <c r="H20" s="86">
        <f t="shared" si="2"/>
        <v>9932234.4000000004</v>
      </c>
      <c r="I20" s="86">
        <f t="shared" si="2"/>
        <v>81868345.5</v>
      </c>
      <c r="J20" s="86">
        <f t="shared" si="2"/>
        <v>181404442.74000001</v>
      </c>
      <c r="K20" s="86">
        <f t="shared" si="2"/>
        <v>54864515.950000003</v>
      </c>
      <c r="L20" s="86">
        <f t="shared" si="2"/>
        <v>21289896</v>
      </c>
      <c r="M20" s="86">
        <f t="shared" si="2"/>
        <v>5229245</v>
      </c>
      <c r="N20" s="86">
        <f t="shared" si="2"/>
        <v>914360</v>
      </c>
      <c r="O20" s="90">
        <f t="shared" si="2"/>
        <v>0</v>
      </c>
      <c r="P20" s="19" t="b">
        <f t="shared" si="0"/>
        <v>1</v>
      </c>
      <c r="Q20" s="36" t="b">
        <f>E20=SUM(F20:O20)</f>
        <v>1</v>
      </c>
      <c r="R20" s="23"/>
      <c r="S20" s="23"/>
      <c r="T20" s="24"/>
      <c r="U20" s="24"/>
      <c r="V20" s="193"/>
      <c r="W20" s="24"/>
      <c r="X20" s="24"/>
    </row>
    <row r="21" spans="1:24" s="25" customFormat="1" ht="39.950000000000003" customHeight="1" x14ac:dyDescent="0.25">
      <c r="A21" s="91" t="s">
        <v>39</v>
      </c>
      <c r="B21" s="54">
        <f>B13+B17</f>
        <v>33</v>
      </c>
      <c r="C21" s="46">
        <f t="shared" si="2"/>
        <v>275883026.74000001</v>
      </c>
      <c r="D21" s="59">
        <f t="shared" si="2"/>
        <v>113109507.34</v>
      </c>
      <c r="E21" s="40">
        <f t="shared" si="2"/>
        <v>162773519.40000001</v>
      </c>
      <c r="F21" s="64">
        <f t="shared" si="2"/>
        <v>0</v>
      </c>
      <c r="G21" s="46">
        <f t="shared" si="2"/>
        <v>2567417</v>
      </c>
      <c r="H21" s="46">
        <f t="shared" si="2"/>
        <v>9932234.4000000004</v>
      </c>
      <c r="I21" s="46">
        <f t="shared" si="2"/>
        <v>81868345.5</v>
      </c>
      <c r="J21" s="46">
        <f t="shared" si="2"/>
        <v>57220384.549999997</v>
      </c>
      <c r="K21" s="46">
        <f t="shared" si="2"/>
        <v>11185137.950000003</v>
      </c>
      <c r="L21" s="46">
        <f t="shared" si="2"/>
        <v>0</v>
      </c>
      <c r="M21" s="46">
        <f t="shared" si="2"/>
        <v>0</v>
      </c>
      <c r="N21" s="46">
        <f t="shared" si="2"/>
        <v>0</v>
      </c>
      <c r="O21" s="92">
        <f t="shared" si="2"/>
        <v>0</v>
      </c>
      <c r="P21" s="19" t="b">
        <f t="shared" si="0"/>
        <v>1</v>
      </c>
      <c r="Q21" s="36" t="b">
        <f>E21=SUM(F21:O21)</f>
        <v>1</v>
      </c>
      <c r="R21" s="23"/>
      <c r="S21" s="23"/>
      <c r="T21" s="24"/>
      <c r="U21" s="24"/>
      <c r="V21" s="24"/>
      <c r="W21" s="24"/>
      <c r="X21" s="24"/>
    </row>
    <row r="22" spans="1:24" s="25" customFormat="1" ht="39.950000000000003" customHeight="1" x14ac:dyDescent="0.25">
      <c r="A22" s="93" t="s">
        <v>40</v>
      </c>
      <c r="B22" s="55">
        <f>B14+B18</f>
        <v>59</v>
      </c>
      <c r="C22" s="49">
        <f t="shared" si="2"/>
        <v>160811548.50999999</v>
      </c>
      <c r="D22" s="60">
        <f t="shared" si="2"/>
        <v>73903212.070000008</v>
      </c>
      <c r="E22" s="39">
        <f t="shared" si="2"/>
        <v>86908336.439999998</v>
      </c>
      <c r="F22" s="65">
        <f t="shared" si="2"/>
        <v>0</v>
      </c>
      <c r="G22" s="49">
        <f t="shared" si="2"/>
        <v>0</v>
      </c>
      <c r="H22" s="49">
        <f t="shared" si="2"/>
        <v>0</v>
      </c>
      <c r="I22" s="49">
        <f t="shared" si="2"/>
        <v>0</v>
      </c>
      <c r="J22" s="49">
        <f t="shared" si="2"/>
        <v>86908336.439999998</v>
      </c>
      <c r="K22" s="49">
        <f t="shared" si="2"/>
        <v>0</v>
      </c>
      <c r="L22" s="49">
        <f t="shared" si="2"/>
        <v>0</v>
      </c>
      <c r="M22" s="49">
        <f t="shared" si="2"/>
        <v>0</v>
      </c>
      <c r="N22" s="49">
        <f t="shared" si="2"/>
        <v>0</v>
      </c>
      <c r="O22" s="94">
        <f t="shared" si="2"/>
        <v>0</v>
      </c>
      <c r="P22" s="19" t="b">
        <f t="shared" si="0"/>
        <v>1</v>
      </c>
      <c r="Q22" s="36" t="b">
        <f>E22=SUM(F22:O22)</f>
        <v>1</v>
      </c>
      <c r="R22" s="23"/>
      <c r="S22" s="23"/>
      <c r="T22" s="24"/>
      <c r="U22" s="24"/>
      <c r="V22" s="24"/>
      <c r="W22" s="24"/>
      <c r="X22" s="24"/>
    </row>
    <row r="23" spans="1:24" s="25" customFormat="1" ht="39.950000000000003" customHeight="1" thickBot="1" x14ac:dyDescent="0.3">
      <c r="A23" s="95" t="s">
        <v>41</v>
      </c>
      <c r="B23" s="96">
        <f>B15+B19</f>
        <v>14</v>
      </c>
      <c r="C23" s="97">
        <f t="shared" ref="C23:O23" si="3">C15+C19</f>
        <v>188299624.94</v>
      </c>
      <c r="D23" s="98">
        <f t="shared" si="3"/>
        <v>79911024.189999998</v>
      </c>
      <c r="E23" s="83">
        <f t="shared" si="3"/>
        <v>108388600.75</v>
      </c>
      <c r="F23" s="99">
        <f t="shared" si="3"/>
        <v>0</v>
      </c>
      <c r="G23" s="97">
        <f t="shared" si="3"/>
        <v>0</v>
      </c>
      <c r="H23" s="97">
        <f t="shared" si="3"/>
        <v>0</v>
      </c>
      <c r="I23" s="97">
        <f t="shared" si="3"/>
        <v>0</v>
      </c>
      <c r="J23" s="97">
        <f t="shared" si="3"/>
        <v>37275721.75</v>
      </c>
      <c r="K23" s="97">
        <f t="shared" si="3"/>
        <v>43679378</v>
      </c>
      <c r="L23" s="97">
        <f t="shared" si="3"/>
        <v>21289896</v>
      </c>
      <c r="M23" s="97">
        <f t="shared" si="3"/>
        <v>5229245</v>
      </c>
      <c r="N23" s="97">
        <f t="shared" si="3"/>
        <v>914360</v>
      </c>
      <c r="O23" s="100">
        <f t="shared" si="3"/>
        <v>0</v>
      </c>
      <c r="P23" s="19" t="b">
        <f>C23=(D23+E23)</f>
        <v>1</v>
      </c>
      <c r="Q23" s="36" t="b">
        <f>E23=SUM(F23:O23)</f>
        <v>1</v>
      </c>
      <c r="R23" s="23"/>
      <c r="S23" s="23"/>
      <c r="T23" s="24"/>
      <c r="U23" s="24"/>
      <c r="V23" s="24"/>
      <c r="W23" s="24"/>
      <c r="X23" s="24"/>
    </row>
    <row r="24" spans="1:24" ht="39.950000000000003" customHeight="1" thickTop="1" x14ac:dyDescent="0.25">
      <c r="A24" s="73" t="s">
        <v>2</v>
      </c>
      <c r="B24" s="74">
        <f>COUNTA('pow rez'!K3:K29)</f>
        <v>27</v>
      </c>
      <c r="C24" s="75">
        <f>SUM('pow rez'!J3:J29)</f>
        <v>134346491.64000002</v>
      </c>
      <c r="D24" s="76">
        <f>SUM('pow rez'!L3:L29)</f>
        <v>60555778.850000009</v>
      </c>
      <c r="E24" s="77">
        <f>SUM('pow rez'!K3:K29)</f>
        <v>73790712.790000007</v>
      </c>
      <c r="F24" s="78">
        <f>SUM('pow rez'!N3:N29)</f>
        <v>0</v>
      </c>
      <c r="G24" s="75">
        <f>SUM('pow rez'!O3:O29)</f>
        <v>0</v>
      </c>
      <c r="H24" s="75">
        <f>SUM('pow rez'!P3:P29)</f>
        <v>0</v>
      </c>
      <c r="I24" s="75">
        <f>SUM('pow rez'!Q3:Q29)</f>
        <v>0</v>
      </c>
      <c r="J24" s="75">
        <f>SUM('pow rez'!R3:R29)</f>
        <v>58258200.789999999</v>
      </c>
      <c r="K24" s="75">
        <f>SUM('pow rez'!S3:S29)</f>
        <v>15532512</v>
      </c>
      <c r="L24" s="75">
        <f>SUM('pow rez'!T3:T29)</f>
        <v>0</v>
      </c>
      <c r="M24" s="75">
        <f>SUM('pow rez'!U3:U29)</f>
        <v>0</v>
      </c>
      <c r="N24" s="75">
        <f>SUM('pow rez'!V3:V29)</f>
        <v>0</v>
      </c>
      <c r="O24" s="79">
        <f>SUM('pow rez'!W3:W29)</f>
        <v>0</v>
      </c>
      <c r="P24" s="19" t="b">
        <f>C24=(D24+E24)</f>
        <v>1</v>
      </c>
      <c r="Q24" s="36" t="b">
        <f t="shared" ref="Q24:Q35" si="4">E24=SUM(F24:O24)</f>
        <v>1</v>
      </c>
      <c r="R24" s="20"/>
      <c r="S24" s="20"/>
      <c r="T24" s="21"/>
      <c r="U24" s="21"/>
      <c r="V24" s="21"/>
      <c r="W24" s="21"/>
      <c r="X24" s="21"/>
    </row>
    <row r="25" spans="1:24" ht="39.950000000000003" customHeight="1" x14ac:dyDescent="0.25">
      <c r="A25" s="81" t="s">
        <v>40</v>
      </c>
      <c r="B25" s="132">
        <f>COUNTIF('pow rez'!C3:C29,"N")</f>
        <v>21</v>
      </c>
      <c r="C25" s="133">
        <f>SUMIF('pow rez'!C3:C29,"N",'pow rez'!J3:J29)</f>
        <v>76522253.209999993</v>
      </c>
      <c r="D25" s="134">
        <f>SUMIF('pow rez'!C3:C29,"N",'pow rez'!L3:L29)</f>
        <v>33199508.420000002</v>
      </c>
      <c r="E25" s="39">
        <f>SUMIF('pow rez'!C3:C29,"N",'pow rez'!K3:K29)</f>
        <v>43322744.789999999</v>
      </c>
      <c r="F25" s="140">
        <f>SUMIF('pow rez'!C3:C29,"N",'pow rez'!N3:N29)</f>
        <v>0</v>
      </c>
      <c r="G25" s="133">
        <f>SUMIF('pow rez'!C3:C29,"N",'pow rez'!O3:O29)</f>
        <v>0</v>
      </c>
      <c r="H25" s="133">
        <f>SUMIF('pow rez'!C3:C29,"N",'pow rez'!P3:P29)</f>
        <v>0</v>
      </c>
      <c r="I25" s="133">
        <f>SUMIF('pow rez'!C3:C29,"N",'pow rez'!Q3:Q29)</f>
        <v>0</v>
      </c>
      <c r="J25" s="133">
        <f>SUMIF('pow rez'!C3:C29,"N",'pow rez'!R3:R29)</f>
        <v>43322744.789999999</v>
      </c>
      <c r="K25" s="133">
        <f>SUMIF('pow rez'!C3:C29,"N",'pow rez'!S3:S29)</f>
        <v>0</v>
      </c>
      <c r="L25" s="133">
        <f>SUMIF('pow rez'!C3:C29,"N",'pow rez'!T3:T29)</f>
        <v>0</v>
      </c>
      <c r="M25" s="133">
        <f>SUMIF('pow rez'!C3:C29,"N",'pow rez'!U3:U29)</f>
        <v>0</v>
      </c>
      <c r="N25" s="133">
        <f>SUMIF('pow rez'!C3:C29,"N",'pow rez'!V3:V29)</f>
        <v>0</v>
      </c>
      <c r="O25" s="141">
        <f>SUMIF('pow rez'!C3:C29,"N",'pow rez'!W3:W29)</f>
        <v>0</v>
      </c>
      <c r="P25" s="19" t="b">
        <f t="shared" ref="P25:P35" si="5">C25=(D25+E25)</f>
        <v>1</v>
      </c>
      <c r="Q25" s="36" t="b">
        <f t="shared" si="4"/>
        <v>1</v>
      </c>
      <c r="R25" s="20"/>
      <c r="S25" s="20"/>
      <c r="T25" s="21"/>
      <c r="U25" s="21"/>
      <c r="V25" s="21"/>
      <c r="W25" s="21"/>
      <c r="X25" s="21"/>
    </row>
    <row r="26" spans="1:24" ht="39.950000000000003" customHeight="1" thickBot="1" x14ac:dyDescent="0.3">
      <c r="A26" s="82" t="s">
        <v>41</v>
      </c>
      <c r="B26" s="135">
        <f>COUNTIF('pow rez'!C3:C29,"W")</f>
        <v>6</v>
      </c>
      <c r="C26" s="136">
        <f>SUMIF('pow rez'!C3:C29,"W",'pow rez'!J3:J29)</f>
        <v>57824238.43</v>
      </c>
      <c r="D26" s="137">
        <f>SUMIF('pow rez'!C3:C29,"W",'pow rez'!L3:L29)</f>
        <v>27356270.43</v>
      </c>
      <c r="E26" s="83">
        <f>SUMIF('pow rez'!C3:C29,"W",'pow rez'!K3:K29)</f>
        <v>30467968</v>
      </c>
      <c r="F26" s="142">
        <f>SUMIF('pow rez'!C3:C29,"W",'pow rez'!N3:N29)</f>
        <v>0</v>
      </c>
      <c r="G26" s="136">
        <f>SUMIF('pow rez'!C3:C29,"W",'pow rez'!O3:O29)</f>
        <v>0</v>
      </c>
      <c r="H26" s="136">
        <f>SUMIF('pow rez'!C3:C29,"W",'pow rez'!P3:P29)</f>
        <v>0</v>
      </c>
      <c r="I26" s="136">
        <f>SUMIF('pow rez'!C3:C29,"W",'pow rez'!Q3:Q29)</f>
        <v>0</v>
      </c>
      <c r="J26" s="136">
        <f>SUMIF('pow rez'!C3:C29,"W",'pow rez'!R3:R29)</f>
        <v>14935456</v>
      </c>
      <c r="K26" s="136">
        <f>SUMIF('pow rez'!C3:C29,"W",'pow rez'!S3:S29)</f>
        <v>15532512</v>
      </c>
      <c r="L26" s="136">
        <f>SUMIF('pow rez'!C3:C29,"W",'pow rez'!T3:T29)</f>
        <v>0</v>
      </c>
      <c r="M26" s="136">
        <f>SUMIF('pow rez'!C3:C29,"W",'pow rez'!U3:U29)</f>
        <v>0</v>
      </c>
      <c r="N26" s="136">
        <f>SUMIF('pow rez'!C3:C29,"W",'pow rez'!V3:V29)</f>
        <v>0</v>
      </c>
      <c r="O26" s="143">
        <f>SUMIF('pow rez'!C3:C29,"W",'pow rez'!W3:W29)</f>
        <v>0</v>
      </c>
      <c r="P26" s="19" t="b">
        <f t="shared" si="5"/>
        <v>1</v>
      </c>
      <c r="Q26" s="36" t="b">
        <f t="shared" si="4"/>
        <v>1</v>
      </c>
      <c r="R26" s="20"/>
      <c r="S26" s="20"/>
      <c r="T26" s="21"/>
      <c r="U26" s="21"/>
      <c r="V26" s="21"/>
      <c r="W26" s="21"/>
      <c r="X26" s="21"/>
    </row>
    <row r="27" spans="1:24" ht="39.950000000000003" customHeight="1" thickTop="1" x14ac:dyDescent="0.25">
      <c r="A27" s="73" t="s">
        <v>3</v>
      </c>
      <c r="B27" s="74">
        <f>COUNTA('gm rez'!C3:C50)</f>
        <v>48</v>
      </c>
      <c r="C27" s="75">
        <f>SUM('gm rez'!K3:K50)</f>
        <v>153481511.69999999</v>
      </c>
      <c r="D27" s="76">
        <f>SUM('gm rez'!M3:M50)</f>
        <v>71518501.609999999</v>
      </c>
      <c r="E27" s="77">
        <f>SUM('gm rez'!L3:L50)</f>
        <v>81963010.090000004</v>
      </c>
      <c r="F27" s="78">
        <f>SUM('gm rez'!O3:O50)</f>
        <v>0</v>
      </c>
      <c r="G27" s="75">
        <f>SUM('gm rez'!P3:P50)</f>
        <v>0</v>
      </c>
      <c r="H27" s="75">
        <f>SUM('gm rez'!Q3:Q50)</f>
        <v>0</v>
      </c>
      <c r="I27" s="75">
        <f>SUM('gm rez'!R3:R50)</f>
        <v>0</v>
      </c>
      <c r="J27" s="75">
        <f>SUM('gm rez'!S3:S50)</f>
        <v>51276926.090000004</v>
      </c>
      <c r="K27" s="75">
        <f>SUM('gm rez'!T3:T50)</f>
        <v>14923199</v>
      </c>
      <c r="L27" s="75">
        <f>SUM('gm rez'!U3:U50)</f>
        <v>9451362</v>
      </c>
      <c r="M27" s="75">
        <f>SUM('gm rez'!V3:V50)</f>
        <v>5250358</v>
      </c>
      <c r="N27" s="75">
        <f>SUM('gm rez'!W3:W50)</f>
        <v>1061165</v>
      </c>
      <c r="O27" s="79">
        <f>SUM('gm rez'!X3:X50)</f>
        <v>0</v>
      </c>
      <c r="P27" s="19" t="b">
        <f t="shared" si="5"/>
        <v>1</v>
      </c>
      <c r="Q27" s="36" t="b">
        <f t="shared" si="4"/>
        <v>1</v>
      </c>
      <c r="R27" s="26"/>
      <c r="S27" s="26"/>
      <c r="T27" s="27"/>
      <c r="U27" s="27"/>
      <c r="V27" s="22"/>
      <c r="W27" s="11"/>
      <c r="X27" s="11"/>
    </row>
    <row r="28" spans="1:24" ht="39.950000000000003" customHeight="1" x14ac:dyDescent="0.25">
      <c r="A28" s="81" t="s">
        <v>40</v>
      </c>
      <c r="B28" s="132">
        <f>COUNTIF('gm rez'!C3:C50,"N")</f>
        <v>40</v>
      </c>
      <c r="C28" s="133">
        <f>SUMIF('gm rez'!C3:C50,"N",'gm rez'!K3:K50)</f>
        <v>72404478.179999992</v>
      </c>
      <c r="D28" s="134">
        <f>SUMIF('gm rez'!C3:C50,"N",'gm rez'!M3:M50)</f>
        <v>32784879.09</v>
      </c>
      <c r="E28" s="39">
        <f>SUMIF('gm rez'!C3:C50,"N",'gm rez'!L3:L50)</f>
        <v>39619599.090000004</v>
      </c>
      <c r="F28" s="140">
        <f>SUMIF('gm rez'!C3:C50,"N",'gm rez'!O3:O50)</f>
        <v>0</v>
      </c>
      <c r="G28" s="133">
        <f>SUMIF('gm rez'!C3:C50,"N",'gm rez'!P3:P50)</f>
        <v>0</v>
      </c>
      <c r="H28" s="133">
        <f>SUMIF('gm rez'!C3:C50,"N",'gm rez'!Q3:Q50)</f>
        <v>0</v>
      </c>
      <c r="I28" s="133">
        <f>SUMIF('gm rez'!C3:C50,"N",'gm rez'!R3:R50)</f>
        <v>0</v>
      </c>
      <c r="J28" s="133">
        <f>SUMIF('gm rez'!C3:C50,"N",'gm rez'!S3:S50)</f>
        <v>39619599.090000004</v>
      </c>
      <c r="K28" s="133">
        <f>SUMIF('gm rez'!C3:C50,"N",'gm rez'!T3:T50)</f>
        <v>0</v>
      </c>
      <c r="L28" s="133">
        <f>SUMIF('gm rez'!C3:C50,"N",'gm rez'!U3:U50)</f>
        <v>0</v>
      </c>
      <c r="M28" s="133">
        <f>SUMIF('gm rez'!C3:C50,"N",'gm rez'!V3:V50)</f>
        <v>0</v>
      </c>
      <c r="N28" s="133">
        <f>SUMIF('gm rez'!C3:C50,"N",'gm rez'!W3:W50)</f>
        <v>0</v>
      </c>
      <c r="O28" s="141">
        <f>SUMIF('gm rez'!C3:C50,"N",'gm rez'!X3:X50)</f>
        <v>0</v>
      </c>
      <c r="P28" s="19" t="b">
        <f t="shared" si="5"/>
        <v>1</v>
      </c>
      <c r="Q28" s="36" t="b">
        <f t="shared" si="4"/>
        <v>1</v>
      </c>
      <c r="R28" s="26"/>
      <c r="S28" s="26"/>
      <c r="T28" s="27"/>
      <c r="U28" s="27"/>
      <c r="V28" s="22"/>
      <c r="W28" s="11"/>
      <c r="X28" s="11"/>
    </row>
    <row r="29" spans="1:24" ht="39.950000000000003" customHeight="1" thickBot="1" x14ac:dyDescent="0.3">
      <c r="A29" s="82" t="s">
        <v>41</v>
      </c>
      <c r="B29" s="135">
        <f>COUNTIF('gm rez'!C3:C50,"W")</f>
        <v>8</v>
      </c>
      <c r="C29" s="136">
        <f>SUMIF('gm rez'!C3:C50,"W",'gm rez'!K3:K50)</f>
        <v>81077033.519999996</v>
      </c>
      <c r="D29" s="137">
        <f>SUMIF('gm rez'!C3:C50,"W",'gm rez'!M3:M50)</f>
        <v>38733622.520000003</v>
      </c>
      <c r="E29" s="83">
        <f>SUMIF('gm rez'!C3:C50,"W",'gm rez'!L3:L50)</f>
        <v>42343411</v>
      </c>
      <c r="F29" s="142">
        <f>SUMIF('gm rez'!C3:C50,"W",'gm rez'!O3:O50)</f>
        <v>0</v>
      </c>
      <c r="G29" s="136">
        <f>SUMIF('gm rez'!C3:C50,"W",'gm rez'!P3:P50)</f>
        <v>0</v>
      </c>
      <c r="H29" s="136">
        <f>SUMIF('gm rez'!C3:C50,"W",'gm rez'!Q3:Q50)</f>
        <v>0</v>
      </c>
      <c r="I29" s="136">
        <f>SUMIF('gm rez'!C3:C50,"W",'gm rez'!R3:R50)</f>
        <v>0</v>
      </c>
      <c r="J29" s="136">
        <f>SUMIF('gm rez'!C3:C50,"W",'gm rez'!S3:S50)</f>
        <v>11657327</v>
      </c>
      <c r="K29" s="136">
        <f>SUMIF('gm rez'!C3:C50,"W",'gm rez'!T3:T50)</f>
        <v>14923199</v>
      </c>
      <c r="L29" s="136">
        <f>SUMIF('gm rez'!C3:C50,"W",'gm rez'!U3:U50)</f>
        <v>9451362</v>
      </c>
      <c r="M29" s="136">
        <f>SUMIF('gm rez'!C3:C50,"W",'gm rez'!V3:V50)</f>
        <v>5250358</v>
      </c>
      <c r="N29" s="136">
        <f>SUMIF('gm rez'!C3:C50,"W",'gm rez'!W3:W50)</f>
        <v>1061165</v>
      </c>
      <c r="O29" s="143">
        <f>SUMIF('gm rez'!C3:C50,"W",'gm rez'!X3:X50)</f>
        <v>0</v>
      </c>
      <c r="P29" s="19" t="b">
        <f t="shared" si="5"/>
        <v>1</v>
      </c>
      <c r="Q29" s="36" t="b">
        <f t="shared" si="4"/>
        <v>1</v>
      </c>
      <c r="R29" s="26"/>
      <c r="S29" s="26"/>
      <c r="T29" s="27"/>
      <c r="U29" s="27"/>
      <c r="V29" s="22"/>
      <c r="W29" s="11"/>
      <c r="X29" s="11"/>
    </row>
    <row r="30" spans="1:24" ht="39.950000000000003" customHeight="1" thickTop="1" x14ac:dyDescent="0.25">
      <c r="A30" s="101" t="s">
        <v>23</v>
      </c>
      <c r="B30" s="102">
        <f>B24+B27</f>
        <v>75</v>
      </c>
      <c r="C30" s="103">
        <f t="shared" ref="C30:O30" si="6">C24+C27</f>
        <v>287828003.34000003</v>
      </c>
      <c r="D30" s="104">
        <f t="shared" si="6"/>
        <v>132074280.46000001</v>
      </c>
      <c r="E30" s="72">
        <f t="shared" si="6"/>
        <v>155753722.88</v>
      </c>
      <c r="F30" s="105">
        <f t="shared" si="6"/>
        <v>0</v>
      </c>
      <c r="G30" s="103">
        <f t="shared" si="6"/>
        <v>0</v>
      </c>
      <c r="H30" s="103">
        <f t="shared" si="6"/>
        <v>0</v>
      </c>
      <c r="I30" s="103">
        <f t="shared" si="6"/>
        <v>0</v>
      </c>
      <c r="J30" s="103">
        <f t="shared" si="6"/>
        <v>109535126.88</v>
      </c>
      <c r="K30" s="103">
        <f t="shared" si="6"/>
        <v>30455711</v>
      </c>
      <c r="L30" s="103">
        <f t="shared" si="6"/>
        <v>9451362</v>
      </c>
      <c r="M30" s="103">
        <f t="shared" si="6"/>
        <v>5250358</v>
      </c>
      <c r="N30" s="103">
        <f t="shared" si="6"/>
        <v>1061165</v>
      </c>
      <c r="O30" s="106">
        <f t="shared" si="6"/>
        <v>0</v>
      </c>
      <c r="P30" s="19" t="b">
        <f t="shared" si="5"/>
        <v>1</v>
      </c>
      <c r="Q30" s="36" t="b">
        <f t="shared" si="4"/>
        <v>1</v>
      </c>
      <c r="R30" s="212"/>
      <c r="S30" s="212"/>
      <c r="T30" s="212"/>
      <c r="U30" s="2"/>
    </row>
    <row r="31" spans="1:24" ht="39.950000000000003" customHeight="1" x14ac:dyDescent="0.25">
      <c r="A31" s="58" t="s">
        <v>40</v>
      </c>
      <c r="B31" s="56">
        <f t="shared" ref="B31:O31" si="7">B25+B28</f>
        <v>61</v>
      </c>
      <c r="C31" s="47">
        <f t="shared" si="7"/>
        <v>148926731.38999999</v>
      </c>
      <c r="D31" s="61">
        <f t="shared" si="7"/>
        <v>65984387.510000005</v>
      </c>
      <c r="E31" s="39">
        <f t="shared" si="7"/>
        <v>82942343.879999995</v>
      </c>
      <c r="F31" s="66">
        <f t="shared" si="7"/>
        <v>0</v>
      </c>
      <c r="G31" s="47">
        <f t="shared" si="7"/>
        <v>0</v>
      </c>
      <c r="H31" s="47">
        <f t="shared" si="7"/>
        <v>0</v>
      </c>
      <c r="I31" s="47">
        <f t="shared" si="7"/>
        <v>0</v>
      </c>
      <c r="J31" s="47">
        <f t="shared" si="7"/>
        <v>82942343.879999995</v>
      </c>
      <c r="K31" s="47">
        <f t="shared" si="7"/>
        <v>0</v>
      </c>
      <c r="L31" s="47">
        <f t="shared" si="7"/>
        <v>0</v>
      </c>
      <c r="M31" s="47">
        <f t="shared" si="7"/>
        <v>0</v>
      </c>
      <c r="N31" s="47">
        <f t="shared" si="7"/>
        <v>0</v>
      </c>
      <c r="O31" s="53">
        <f t="shared" si="7"/>
        <v>0</v>
      </c>
      <c r="P31" s="19" t="b">
        <f t="shared" si="5"/>
        <v>1</v>
      </c>
      <c r="Q31" s="36" t="b">
        <f t="shared" si="4"/>
        <v>1</v>
      </c>
      <c r="R31" s="28"/>
      <c r="S31" s="28"/>
      <c r="T31" s="2"/>
      <c r="U31" s="2"/>
    </row>
    <row r="32" spans="1:24" ht="39.950000000000003" customHeight="1" thickBot="1" x14ac:dyDescent="0.3">
      <c r="A32" s="107" t="s">
        <v>41</v>
      </c>
      <c r="B32" s="108">
        <f t="shared" ref="B32:O32" si="8">B26+B29</f>
        <v>14</v>
      </c>
      <c r="C32" s="109">
        <f t="shared" si="8"/>
        <v>138901271.94999999</v>
      </c>
      <c r="D32" s="110">
        <f t="shared" si="8"/>
        <v>66089892.950000003</v>
      </c>
      <c r="E32" s="111">
        <f t="shared" si="8"/>
        <v>72811379</v>
      </c>
      <c r="F32" s="112">
        <f t="shared" si="8"/>
        <v>0</v>
      </c>
      <c r="G32" s="109">
        <f t="shared" si="8"/>
        <v>0</v>
      </c>
      <c r="H32" s="109">
        <f t="shared" si="8"/>
        <v>0</v>
      </c>
      <c r="I32" s="109">
        <f t="shared" si="8"/>
        <v>0</v>
      </c>
      <c r="J32" s="109">
        <f t="shared" si="8"/>
        <v>26592783</v>
      </c>
      <c r="K32" s="109">
        <f t="shared" si="8"/>
        <v>30455711</v>
      </c>
      <c r="L32" s="109">
        <f t="shared" si="8"/>
        <v>9451362</v>
      </c>
      <c r="M32" s="109">
        <f t="shared" si="8"/>
        <v>5250358</v>
      </c>
      <c r="N32" s="109">
        <f t="shared" si="8"/>
        <v>1061165</v>
      </c>
      <c r="O32" s="113">
        <f t="shared" si="8"/>
        <v>0</v>
      </c>
      <c r="P32" s="19" t="b">
        <f t="shared" si="5"/>
        <v>1</v>
      </c>
      <c r="Q32" s="36" t="b">
        <f t="shared" si="4"/>
        <v>1</v>
      </c>
      <c r="R32" s="28"/>
      <c r="S32" s="28"/>
      <c r="T32" s="2"/>
      <c r="U32" s="2"/>
    </row>
    <row r="33" spans="1:21" ht="39.950000000000003" customHeight="1" thickTop="1" x14ac:dyDescent="0.25">
      <c r="A33" s="114" t="s">
        <v>35</v>
      </c>
      <c r="B33" s="115">
        <f>B20+B30</f>
        <v>181</v>
      </c>
      <c r="C33" s="116">
        <f t="shared" ref="C33:O33" si="9">C20+C30</f>
        <v>912822203.53000009</v>
      </c>
      <c r="D33" s="117">
        <f t="shared" si="9"/>
        <v>398998024.06000006</v>
      </c>
      <c r="E33" s="118">
        <f t="shared" si="9"/>
        <v>513824179.47000003</v>
      </c>
      <c r="F33" s="119">
        <f t="shared" si="9"/>
        <v>0</v>
      </c>
      <c r="G33" s="116">
        <f t="shared" si="9"/>
        <v>2567417</v>
      </c>
      <c r="H33" s="116">
        <f t="shared" si="9"/>
        <v>9932234.4000000004</v>
      </c>
      <c r="I33" s="116">
        <f t="shared" si="9"/>
        <v>81868345.5</v>
      </c>
      <c r="J33" s="116">
        <f t="shared" si="9"/>
        <v>290939569.62</v>
      </c>
      <c r="K33" s="116">
        <f t="shared" si="9"/>
        <v>85320226.950000003</v>
      </c>
      <c r="L33" s="116">
        <f t="shared" si="9"/>
        <v>30741258</v>
      </c>
      <c r="M33" s="116">
        <f t="shared" si="9"/>
        <v>10479603</v>
      </c>
      <c r="N33" s="116">
        <f t="shared" si="9"/>
        <v>1975525</v>
      </c>
      <c r="O33" s="120">
        <f t="shared" si="9"/>
        <v>0</v>
      </c>
      <c r="P33" s="19" t="b">
        <f t="shared" si="5"/>
        <v>1</v>
      </c>
      <c r="Q33" s="36" t="b">
        <f t="shared" si="4"/>
        <v>1</v>
      </c>
      <c r="R33" s="28"/>
      <c r="S33" s="28"/>
      <c r="T33" s="2"/>
      <c r="U33" s="2"/>
    </row>
    <row r="34" spans="1:21" ht="39.950000000000003" customHeight="1" x14ac:dyDescent="0.25">
      <c r="A34" s="121" t="s">
        <v>40</v>
      </c>
      <c r="B34" s="57">
        <f>B22+B31</f>
        <v>120</v>
      </c>
      <c r="C34" s="48">
        <f t="shared" ref="C34:O34" si="10">C22+C31</f>
        <v>309738279.89999998</v>
      </c>
      <c r="D34" s="62">
        <f t="shared" si="10"/>
        <v>139887599.58000001</v>
      </c>
      <c r="E34" s="68">
        <f t="shared" si="10"/>
        <v>169850680.31999999</v>
      </c>
      <c r="F34" s="67">
        <f t="shared" si="10"/>
        <v>0</v>
      </c>
      <c r="G34" s="48">
        <f t="shared" si="10"/>
        <v>0</v>
      </c>
      <c r="H34" s="48">
        <f t="shared" si="10"/>
        <v>0</v>
      </c>
      <c r="I34" s="48">
        <f t="shared" si="10"/>
        <v>0</v>
      </c>
      <c r="J34" s="48">
        <f t="shared" si="10"/>
        <v>169850680.31999999</v>
      </c>
      <c r="K34" s="48">
        <f t="shared" si="10"/>
        <v>0</v>
      </c>
      <c r="L34" s="48">
        <f t="shared" si="10"/>
        <v>0</v>
      </c>
      <c r="M34" s="48">
        <f t="shared" si="10"/>
        <v>0</v>
      </c>
      <c r="N34" s="48">
        <f t="shared" si="10"/>
        <v>0</v>
      </c>
      <c r="O34" s="122">
        <f t="shared" si="10"/>
        <v>0</v>
      </c>
      <c r="P34" s="19" t="b">
        <f t="shared" si="5"/>
        <v>1</v>
      </c>
      <c r="Q34" s="36" t="b">
        <f t="shared" si="4"/>
        <v>1</v>
      </c>
      <c r="R34" s="28"/>
      <c r="S34" s="28"/>
      <c r="T34" s="2"/>
      <c r="U34" s="2"/>
    </row>
    <row r="35" spans="1:21" ht="39.950000000000003" customHeight="1" thickBot="1" x14ac:dyDescent="0.3">
      <c r="A35" s="123" t="s">
        <v>41</v>
      </c>
      <c r="B35" s="124">
        <f>B23+B32</f>
        <v>28</v>
      </c>
      <c r="C35" s="125">
        <f t="shared" ref="C35:O35" si="11">C23+C32</f>
        <v>327200896.88999999</v>
      </c>
      <c r="D35" s="126">
        <f t="shared" si="11"/>
        <v>146000917.13999999</v>
      </c>
      <c r="E35" s="83">
        <f t="shared" si="11"/>
        <v>181199979.75</v>
      </c>
      <c r="F35" s="127">
        <f t="shared" si="11"/>
        <v>0</v>
      </c>
      <c r="G35" s="125">
        <f t="shared" si="11"/>
        <v>0</v>
      </c>
      <c r="H35" s="125">
        <f t="shared" si="11"/>
        <v>0</v>
      </c>
      <c r="I35" s="125">
        <f t="shared" si="11"/>
        <v>0</v>
      </c>
      <c r="J35" s="125">
        <f t="shared" si="11"/>
        <v>63868504.75</v>
      </c>
      <c r="K35" s="125">
        <f t="shared" si="11"/>
        <v>74135089</v>
      </c>
      <c r="L35" s="125">
        <f t="shared" si="11"/>
        <v>30741258</v>
      </c>
      <c r="M35" s="125">
        <f t="shared" si="11"/>
        <v>10479603</v>
      </c>
      <c r="N35" s="125">
        <f t="shared" si="11"/>
        <v>1975525</v>
      </c>
      <c r="O35" s="128">
        <f t="shared" si="11"/>
        <v>0</v>
      </c>
      <c r="P35" s="19" t="b">
        <f t="shared" si="5"/>
        <v>1</v>
      </c>
      <c r="Q35" s="36" t="b">
        <f t="shared" si="4"/>
        <v>1</v>
      </c>
      <c r="R35" s="28"/>
      <c r="S35" s="28"/>
      <c r="T35" s="2"/>
      <c r="U35" s="2"/>
    </row>
    <row r="36" spans="1:21" ht="15.75" thickTop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8"/>
      <c r="S36" s="28"/>
      <c r="T36" s="2"/>
      <c r="U36" s="2"/>
    </row>
    <row r="37" spans="1:2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8"/>
      <c r="S37" s="28"/>
      <c r="T37" s="2"/>
      <c r="U37" s="2"/>
    </row>
    <row r="38" spans="1:21" ht="36" customHeight="1" x14ac:dyDescent="0.25">
      <c r="A38" s="29"/>
      <c r="B38" s="29"/>
      <c r="C38" s="29"/>
      <c r="D38" s="29"/>
      <c r="E38" s="29"/>
      <c r="M38" s="29"/>
      <c r="N38" s="29"/>
      <c r="O38" s="29"/>
      <c r="P38" s="29"/>
      <c r="Q38" s="29"/>
      <c r="R38" s="28"/>
      <c r="S38" s="28"/>
      <c r="T38" s="2"/>
      <c r="U38" s="2"/>
    </row>
    <row r="39" spans="1:21" ht="36" customHeight="1" x14ac:dyDescent="0.25">
      <c r="A39" s="29"/>
      <c r="B39" s="29"/>
      <c r="C39" s="29"/>
      <c r="D39" s="29"/>
      <c r="E39" s="29"/>
      <c r="M39" s="29"/>
      <c r="N39" s="29"/>
      <c r="O39" s="29"/>
      <c r="P39" s="29"/>
      <c r="Q39" s="29"/>
      <c r="R39" s="28"/>
      <c r="S39" s="28"/>
      <c r="T39" s="2"/>
      <c r="U39" s="2"/>
    </row>
    <row r="40" spans="1:21" ht="36" customHeight="1" x14ac:dyDescent="0.25">
      <c r="A40" s="30"/>
      <c r="B40" s="30"/>
      <c r="C40" s="30"/>
      <c r="D40" s="30"/>
      <c r="E40" s="30"/>
      <c r="M40" s="30"/>
      <c r="N40" s="30"/>
      <c r="O40" s="30"/>
      <c r="P40" s="30"/>
      <c r="Q40" s="30"/>
      <c r="R40" s="2"/>
      <c r="S40" s="2"/>
      <c r="T40" s="2"/>
      <c r="U40" s="2"/>
    </row>
    <row r="41" spans="1:21" ht="36" customHeight="1" x14ac:dyDescent="0.25">
      <c r="A41" s="30"/>
      <c r="B41" s="30"/>
      <c r="C41" s="30"/>
      <c r="D41" s="30"/>
      <c r="E41" s="30"/>
      <c r="M41" s="30"/>
      <c r="N41" s="30"/>
      <c r="O41" s="30"/>
      <c r="P41" s="30"/>
      <c r="Q41" s="30"/>
      <c r="R41" s="2"/>
      <c r="S41" s="2"/>
      <c r="T41" s="2"/>
      <c r="U41" s="2"/>
    </row>
    <row r="42" spans="1:21" ht="36" customHeight="1" x14ac:dyDescent="0.25">
      <c r="A42" s="30"/>
      <c r="B42" s="30"/>
      <c r="C42" s="30"/>
      <c r="D42" s="30"/>
      <c r="E42" s="30"/>
      <c r="M42" s="30"/>
      <c r="N42" s="30"/>
      <c r="O42" s="30"/>
      <c r="P42" s="30"/>
      <c r="Q42" s="30"/>
      <c r="R42" s="2"/>
      <c r="S42" s="2"/>
      <c r="T42" s="2"/>
      <c r="U42" s="2"/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5" fitToWidth="0" fitToHeight="0" orientation="landscape" r:id="rId1"/>
  <headerFooter>
    <oddHeader>&amp;L&amp;K000000Województwo Podkarpackie</oddHeader>
  </headerFooter>
  <rowBreaks count="1" manualBreakCount="1">
    <brk id="3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showGridLines="0" view="pageBreakPreview" topLeftCell="A19" zoomScale="90" zoomScaleNormal="100" zoomScaleSheetLayoutView="90" zoomScalePageLayoutView="115" workbookViewId="0">
      <selection activeCell="E7" sqref="E7"/>
    </sheetView>
  </sheetViews>
  <sheetFormatPr defaultRowHeight="15" x14ac:dyDescent="0.25"/>
  <cols>
    <col min="1" max="1" width="15.7109375" style="4" customWidth="1"/>
    <col min="2" max="5" width="15.7109375" style="288" customWidth="1"/>
    <col min="6" max="6" width="73" style="4" customWidth="1"/>
    <col min="7" max="7" width="15.7109375" style="288" customWidth="1"/>
    <col min="8" max="8" width="15.7109375" style="4" customWidth="1"/>
    <col min="9" max="9" width="15.7109375" style="288" customWidth="1"/>
    <col min="10" max="12" width="15.7109375" style="4" customWidth="1"/>
    <col min="13" max="13" width="15.7109375" style="291" customWidth="1"/>
    <col min="14" max="15" width="15.7109375" style="4" customWidth="1"/>
    <col min="16" max="16" width="17" style="4" customWidth="1"/>
    <col min="17" max="23" width="15.7109375" style="4" customWidth="1"/>
    <col min="24" max="24" width="15.7109375" style="175" customWidth="1"/>
    <col min="25" max="26" width="15.7109375" style="174" customWidth="1"/>
    <col min="27" max="27" width="15.7109375" style="175" customWidth="1"/>
    <col min="28" max="28" width="9.140625" style="176"/>
    <col min="29" max="16384" width="9.140625" style="3"/>
  </cols>
  <sheetData>
    <row r="1" spans="1:27" x14ac:dyDescent="0.25">
      <c r="A1" s="329" t="s">
        <v>4</v>
      </c>
      <c r="B1" s="329" t="s">
        <v>5</v>
      </c>
      <c r="C1" s="330" t="s">
        <v>45</v>
      </c>
      <c r="D1" s="327" t="s">
        <v>6</v>
      </c>
      <c r="E1" s="327" t="s">
        <v>34</v>
      </c>
      <c r="F1" s="327" t="s">
        <v>7</v>
      </c>
      <c r="G1" s="329" t="s">
        <v>27</v>
      </c>
      <c r="H1" s="329" t="s">
        <v>8</v>
      </c>
      <c r="I1" s="329" t="s">
        <v>24</v>
      </c>
      <c r="J1" s="329" t="s">
        <v>9</v>
      </c>
      <c r="K1" s="329" t="s">
        <v>16</v>
      </c>
      <c r="L1" s="327" t="s">
        <v>13</v>
      </c>
      <c r="M1" s="329" t="s">
        <v>11</v>
      </c>
      <c r="N1" s="329" t="s">
        <v>12</v>
      </c>
      <c r="O1" s="329"/>
      <c r="P1" s="329"/>
      <c r="Q1" s="329"/>
      <c r="R1" s="329"/>
      <c r="S1" s="329"/>
      <c r="T1" s="329"/>
      <c r="U1" s="329"/>
      <c r="V1" s="329"/>
      <c r="W1" s="329"/>
      <c r="X1" s="174"/>
    </row>
    <row r="2" spans="1:27" ht="31.5" customHeight="1" x14ac:dyDescent="0.25">
      <c r="A2" s="329"/>
      <c r="B2" s="329"/>
      <c r="C2" s="331"/>
      <c r="D2" s="328"/>
      <c r="E2" s="328"/>
      <c r="F2" s="328"/>
      <c r="G2" s="329"/>
      <c r="H2" s="329"/>
      <c r="I2" s="329"/>
      <c r="J2" s="329"/>
      <c r="K2" s="329"/>
      <c r="L2" s="328"/>
      <c r="M2" s="329"/>
      <c r="N2" s="260">
        <v>2019</v>
      </c>
      <c r="O2" s="260">
        <v>2020</v>
      </c>
      <c r="P2" s="260">
        <v>2021</v>
      </c>
      <c r="Q2" s="260">
        <v>2022</v>
      </c>
      <c r="R2" s="260">
        <v>2023</v>
      </c>
      <c r="S2" s="260">
        <v>2024</v>
      </c>
      <c r="T2" s="260">
        <v>2025</v>
      </c>
      <c r="U2" s="260">
        <v>2026</v>
      </c>
      <c r="V2" s="260">
        <v>2027</v>
      </c>
      <c r="W2" s="260">
        <v>2028</v>
      </c>
      <c r="X2" s="174" t="s">
        <v>30</v>
      </c>
      <c r="Y2" s="174" t="s">
        <v>31</v>
      </c>
      <c r="Z2" s="174" t="s">
        <v>32</v>
      </c>
      <c r="AA2" s="177" t="s">
        <v>33</v>
      </c>
    </row>
    <row r="3" spans="1:27" s="155" customFormat="1" ht="24" x14ac:dyDescent="0.25">
      <c r="A3" s="158">
        <v>1</v>
      </c>
      <c r="B3" s="158" t="s">
        <v>488</v>
      </c>
      <c r="C3" s="159" t="s">
        <v>65</v>
      </c>
      <c r="D3" s="160" t="s">
        <v>489</v>
      </c>
      <c r="E3" s="160">
        <v>1804</v>
      </c>
      <c r="F3" s="153" t="s">
        <v>490</v>
      </c>
      <c r="G3" s="158" t="s">
        <v>82</v>
      </c>
      <c r="H3" s="154">
        <v>8.2588099999999987</v>
      </c>
      <c r="I3" s="161" t="s">
        <v>294</v>
      </c>
      <c r="J3" s="157">
        <v>14741815.02</v>
      </c>
      <c r="K3" s="157">
        <v>9582179</v>
      </c>
      <c r="L3" s="163">
        <v>5159636.0199999996</v>
      </c>
      <c r="M3" s="162">
        <v>0.65</v>
      </c>
      <c r="N3" s="157">
        <v>0</v>
      </c>
      <c r="O3" s="157">
        <v>0</v>
      </c>
      <c r="P3" s="163">
        <v>492987</v>
      </c>
      <c r="Q3" s="163">
        <v>4082808</v>
      </c>
      <c r="R3" s="163">
        <v>5006384</v>
      </c>
      <c r="S3" s="163">
        <v>0</v>
      </c>
      <c r="T3" s="163">
        <v>0</v>
      </c>
      <c r="U3" s="163">
        <v>0</v>
      </c>
      <c r="V3" s="163">
        <v>0</v>
      </c>
      <c r="W3" s="163">
        <v>0</v>
      </c>
      <c r="X3" s="229" t="b">
        <f t="shared" ref="X3" si="0">K3=SUM(N3:W3)</f>
        <v>1</v>
      </c>
      <c r="Y3" s="230">
        <f t="shared" ref="Y3" si="1">ROUND(K3/J3,4)</f>
        <v>0.65</v>
      </c>
      <c r="Z3" s="231" t="b">
        <f t="shared" ref="Z3" si="2">Y3=M3</f>
        <v>1</v>
      </c>
      <c r="AA3" s="231" t="b">
        <f t="shared" ref="AA3" si="3">J3=K3+L3</f>
        <v>1</v>
      </c>
    </row>
    <row r="4" spans="1:27" s="155" customFormat="1" ht="24" x14ac:dyDescent="0.25">
      <c r="A4" s="158">
        <v>2</v>
      </c>
      <c r="B4" s="158" t="s">
        <v>491</v>
      </c>
      <c r="C4" s="159" t="s">
        <v>65</v>
      </c>
      <c r="D4" s="160" t="s">
        <v>489</v>
      </c>
      <c r="E4" s="160">
        <v>1804</v>
      </c>
      <c r="F4" s="153" t="s">
        <v>492</v>
      </c>
      <c r="G4" s="158" t="s">
        <v>82</v>
      </c>
      <c r="H4" s="154">
        <v>7.9379999999999997</v>
      </c>
      <c r="I4" s="161" t="s">
        <v>542</v>
      </c>
      <c r="J4" s="157">
        <v>9374431.25</v>
      </c>
      <c r="K4" s="157">
        <v>6093380</v>
      </c>
      <c r="L4" s="163">
        <v>3281051.25</v>
      </c>
      <c r="M4" s="162">
        <v>0.65</v>
      </c>
      <c r="N4" s="157">
        <v>0</v>
      </c>
      <c r="O4" s="157">
        <v>0</v>
      </c>
      <c r="P4" s="163">
        <v>14566</v>
      </c>
      <c r="Q4" s="163">
        <v>3875832</v>
      </c>
      <c r="R4" s="163">
        <v>2202982</v>
      </c>
      <c r="S4" s="163">
        <v>0</v>
      </c>
      <c r="T4" s="163">
        <v>0</v>
      </c>
      <c r="U4" s="163">
        <v>0</v>
      </c>
      <c r="V4" s="163">
        <v>0</v>
      </c>
      <c r="W4" s="163">
        <v>0</v>
      </c>
      <c r="X4" s="229" t="b">
        <f t="shared" ref="X4:X11" si="4">K4=SUM(N4:W4)</f>
        <v>1</v>
      </c>
      <c r="Y4" s="230">
        <f t="shared" ref="Y4:Y11" si="5">ROUND(K4/J4,4)</f>
        <v>0.65</v>
      </c>
      <c r="Z4" s="231" t="b">
        <f t="shared" ref="Z4:Z11" si="6">Y4=M4</f>
        <v>1</v>
      </c>
      <c r="AA4" s="231" t="b">
        <f t="shared" ref="AA4:AA11" si="7">J4=K4+L4</f>
        <v>1</v>
      </c>
    </row>
    <row r="5" spans="1:27" s="155" customFormat="1" ht="24" x14ac:dyDescent="0.25">
      <c r="A5" s="158">
        <v>3</v>
      </c>
      <c r="B5" s="158" t="s">
        <v>493</v>
      </c>
      <c r="C5" s="159" t="s">
        <v>65</v>
      </c>
      <c r="D5" s="160" t="s">
        <v>494</v>
      </c>
      <c r="E5" s="160">
        <v>1801</v>
      </c>
      <c r="F5" s="153" t="s">
        <v>495</v>
      </c>
      <c r="G5" s="158" t="s">
        <v>82</v>
      </c>
      <c r="H5" s="154">
        <v>6.5049999999999999</v>
      </c>
      <c r="I5" s="161" t="s">
        <v>543</v>
      </c>
      <c r="J5" s="157">
        <v>5159869.75</v>
      </c>
      <c r="K5" s="157">
        <v>3095921</v>
      </c>
      <c r="L5" s="163">
        <v>2063948.75</v>
      </c>
      <c r="M5" s="162">
        <v>0.6</v>
      </c>
      <c r="N5" s="157">
        <v>0</v>
      </c>
      <c r="O5" s="157">
        <v>0</v>
      </c>
      <c r="P5" s="163">
        <v>1160970</v>
      </c>
      <c r="Q5" s="163">
        <v>1412978</v>
      </c>
      <c r="R5" s="163">
        <v>521973</v>
      </c>
      <c r="S5" s="163">
        <v>0</v>
      </c>
      <c r="T5" s="163">
        <v>0</v>
      </c>
      <c r="U5" s="163">
        <v>0</v>
      </c>
      <c r="V5" s="163">
        <v>0</v>
      </c>
      <c r="W5" s="163">
        <v>0</v>
      </c>
      <c r="X5" s="229" t="b">
        <f t="shared" si="4"/>
        <v>1</v>
      </c>
      <c r="Y5" s="230">
        <f t="shared" si="5"/>
        <v>0.6</v>
      </c>
      <c r="Z5" s="231" t="b">
        <f t="shared" si="6"/>
        <v>1</v>
      </c>
      <c r="AA5" s="231" t="b">
        <f t="shared" si="7"/>
        <v>1</v>
      </c>
    </row>
    <row r="6" spans="1:27" s="155" customFormat="1" ht="24" x14ac:dyDescent="0.25">
      <c r="A6" s="158">
        <v>4</v>
      </c>
      <c r="B6" s="158" t="s">
        <v>496</v>
      </c>
      <c r="C6" s="159" t="s">
        <v>65</v>
      </c>
      <c r="D6" s="160" t="s">
        <v>497</v>
      </c>
      <c r="E6" s="160">
        <v>1809</v>
      </c>
      <c r="F6" s="153" t="s">
        <v>498</v>
      </c>
      <c r="G6" s="158" t="s">
        <v>82</v>
      </c>
      <c r="H6" s="154">
        <v>1.7504999999999999</v>
      </c>
      <c r="I6" s="161" t="s">
        <v>544</v>
      </c>
      <c r="J6" s="157">
        <v>5288980.34</v>
      </c>
      <c r="K6" s="157">
        <v>3311406.4</v>
      </c>
      <c r="L6" s="163">
        <v>1977573.94</v>
      </c>
      <c r="M6" s="162">
        <v>0.8</v>
      </c>
      <c r="N6" s="157">
        <v>0</v>
      </c>
      <c r="O6" s="157">
        <v>0</v>
      </c>
      <c r="P6" s="163">
        <v>623926.40000000037</v>
      </c>
      <c r="Q6" s="163">
        <v>2687480</v>
      </c>
      <c r="R6" s="163">
        <v>0</v>
      </c>
      <c r="S6" s="163">
        <v>0</v>
      </c>
      <c r="T6" s="163">
        <v>0</v>
      </c>
      <c r="U6" s="163">
        <v>0</v>
      </c>
      <c r="V6" s="163">
        <v>0</v>
      </c>
      <c r="W6" s="163">
        <v>0</v>
      </c>
      <c r="X6" s="229" t="b">
        <f t="shared" si="4"/>
        <v>1</v>
      </c>
      <c r="Y6" s="230">
        <f t="shared" si="5"/>
        <v>0.62609999999999999</v>
      </c>
      <c r="Z6" s="231" t="b">
        <f>Y6=M6</f>
        <v>0</v>
      </c>
      <c r="AA6" s="231" t="b">
        <f t="shared" si="7"/>
        <v>1</v>
      </c>
    </row>
    <row r="7" spans="1:27" s="155" customFormat="1" ht="24" x14ac:dyDescent="0.25">
      <c r="A7" s="158">
        <v>5</v>
      </c>
      <c r="B7" s="158" t="s">
        <v>499</v>
      </c>
      <c r="C7" s="159" t="s">
        <v>65</v>
      </c>
      <c r="D7" s="160" t="s">
        <v>500</v>
      </c>
      <c r="E7" s="160">
        <v>1817</v>
      </c>
      <c r="F7" s="153" t="s">
        <v>501</v>
      </c>
      <c r="G7" s="158" t="s">
        <v>82</v>
      </c>
      <c r="H7" s="154">
        <v>4.2949999999999999</v>
      </c>
      <c r="I7" s="161" t="s">
        <v>545</v>
      </c>
      <c r="J7" s="157">
        <v>23804348.949999999</v>
      </c>
      <c r="K7" s="157">
        <v>14282609</v>
      </c>
      <c r="L7" s="163">
        <v>9521739.9499999993</v>
      </c>
      <c r="M7" s="162">
        <v>0.6</v>
      </c>
      <c r="N7" s="157">
        <v>0</v>
      </c>
      <c r="O7" s="157">
        <v>0</v>
      </c>
      <c r="P7" s="163">
        <v>0</v>
      </c>
      <c r="Q7" s="163">
        <v>7141304.5</v>
      </c>
      <c r="R7" s="163">
        <v>7141304.5</v>
      </c>
      <c r="S7" s="163">
        <v>0</v>
      </c>
      <c r="T7" s="163">
        <v>0</v>
      </c>
      <c r="U7" s="163">
        <v>0</v>
      </c>
      <c r="V7" s="163">
        <v>0</v>
      </c>
      <c r="W7" s="163">
        <v>0</v>
      </c>
      <c r="X7" s="229" t="b">
        <f t="shared" si="4"/>
        <v>1</v>
      </c>
      <c r="Y7" s="230">
        <f t="shared" si="5"/>
        <v>0.6</v>
      </c>
      <c r="Z7" s="231" t="b">
        <f t="shared" si="6"/>
        <v>1</v>
      </c>
      <c r="AA7" s="231" t="b">
        <f t="shared" si="7"/>
        <v>1</v>
      </c>
    </row>
    <row r="8" spans="1:27" s="155" customFormat="1" ht="30.75" customHeight="1" x14ac:dyDescent="0.25">
      <c r="A8" s="158">
        <v>6</v>
      </c>
      <c r="B8" s="158" t="s">
        <v>502</v>
      </c>
      <c r="C8" s="159" t="s">
        <v>65</v>
      </c>
      <c r="D8" s="160" t="s">
        <v>503</v>
      </c>
      <c r="E8" s="160">
        <v>1814</v>
      </c>
      <c r="F8" s="153" t="s">
        <v>504</v>
      </c>
      <c r="G8" s="158" t="s">
        <v>82</v>
      </c>
      <c r="H8" s="154">
        <v>7.02</v>
      </c>
      <c r="I8" s="161" t="s">
        <v>546</v>
      </c>
      <c r="J8" s="157">
        <v>18654395.09</v>
      </c>
      <c r="K8" s="157">
        <v>9327196</v>
      </c>
      <c r="L8" s="163">
        <v>9327199.0899999999</v>
      </c>
      <c r="M8" s="162">
        <v>0.5</v>
      </c>
      <c r="N8" s="157">
        <v>0</v>
      </c>
      <c r="O8" s="157">
        <v>0</v>
      </c>
      <c r="P8" s="163">
        <v>0</v>
      </c>
      <c r="Q8" s="163">
        <v>4608376</v>
      </c>
      <c r="R8" s="163">
        <v>4718820</v>
      </c>
      <c r="S8" s="163">
        <v>0</v>
      </c>
      <c r="T8" s="163">
        <v>0</v>
      </c>
      <c r="U8" s="163">
        <v>0</v>
      </c>
      <c r="V8" s="163">
        <v>0</v>
      </c>
      <c r="W8" s="163">
        <v>0</v>
      </c>
      <c r="X8" s="229" t="b">
        <f t="shared" si="4"/>
        <v>1</v>
      </c>
      <c r="Y8" s="230">
        <f t="shared" si="5"/>
        <v>0.5</v>
      </c>
      <c r="Z8" s="231" t="b">
        <f t="shared" si="6"/>
        <v>1</v>
      </c>
      <c r="AA8" s="231" t="b">
        <f t="shared" si="7"/>
        <v>1</v>
      </c>
    </row>
    <row r="9" spans="1:27" s="155" customFormat="1" ht="24" x14ac:dyDescent="0.25">
      <c r="A9" s="158">
        <v>7</v>
      </c>
      <c r="B9" s="158" t="s">
        <v>505</v>
      </c>
      <c r="C9" s="159" t="s">
        <v>65</v>
      </c>
      <c r="D9" s="160" t="s">
        <v>103</v>
      </c>
      <c r="E9" s="160">
        <v>1808</v>
      </c>
      <c r="F9" s="153" t="s">
        <v>506</v>
      </c>
      <c r="G9" s="158" t="s">
        <v>82</v>
      </c>
      <c r="H9" s="154">
        <v>3.79</v>
      </c>
      <c r="I9" s="161" t="s">
        <v>547</v>
      </c>
      <c r="J9" s="157">
        <v>16853643.390000001</v>
      </c>
      <c r="K9" s="157">
        <v>7326294</v>
      </c>
      <c r="L9" s="163">
        <v>9527349.3900000006</v>
      </c>
      <c r="M9" s="162">
        <v>0.5</v>
      </c>
      <c r="N9" s="157">
        <v>0</v>
      </c>
      <c r="O9" s="157">
        <v>0</v>
      </c>
      <c r="P9" s="163">
        <v>0</v>
      </c>
      <c r="Q9" s="163">
        <v>3663147</v>
      </c>
      <c r="R9" s="163">
        <v>3663147</v>
      </c>
      <c r="S9" s="163">
        <v>0</v>
      </c>
      <c r="T9" s="163">
        <v>0</v>
      </c>
      <c r="U9" s="163">
        <v>0</v>
      </c>
      <c r="V9" s="163">
        <v>0</v>
      </c>
      <c r="W9" s="163">
        <v>0</v>
      </c>
      <c r="X9" s="229" t="b">
        <f t="shared" si="4"/>
        <v>1</v>
      </c>
      <c r="Y9" s="230">
        <f>ROUND(K9/J9,4)</f>
        <v>0.43469999999999998</v>
      </c>
      <c r="Z9" s="231" t="b">
        <f>Y9=M9</f>
        <v>0</v>
      </c>
      <c r="AA9" s="231" t="b">
        <f t="shared" si="7"/>
        <v>1</v>
      </c>
    </row>
    <row r="10" spans="1:27" s="155" customFormat="1" ht="24" x14ac:dyDescent="0.25">
      <c r="A10" s="158">
        <v>8</v>
      </c>
      <c r="B10" s="158" t="s">
        <v>507</v>
      </c>
      <c r="C10" s="159" t="s">
        <v>65</v>
      </c>
      <c r="D10" s="160" t="s">
        <v>508</v>
      </c>
      <c r="E10" s="160">
        <v>1818</v>
      </c>
      <c r="F10" s="153" t="s">
        <v>509</v>
      </c>
      <c r="G10" s="158" t="s">
        <v>82</v>
      </c>
      <c r="H10" s="154">
        <v>1.64632</v>
      </c>
      <c r="I10" s="161" t="s">
        <v>548</v>
      </c>
      <c r="J10" s="157">
        <v>6397735.9699999997</v>
      </c>
      <c r="K10" s="157">
        <v>3838641</v>
      </c>
      <c r="L10" s="163">
        <v>2559094.9699999997</v>
      </c>
      <c r="M10" s="162">
        <v>0.6</v>
      </c>
      <c r="N10" s="157">
        <v>0</v>
      </c>
      <c r="O10" s="157">
        <v>0</v>
      </c>
      <c r="P10" s="163">
        <v>0</v>
      </c>
      <c r="Q10" s="163">
        <v>2100000</v>
      </c>
      <c r="R10" s="163">
        <v>1738641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229" t="b">
        <f t="shared" si="4"/>
        <v>1</v>
      </c>
      <c r="Y10" s="230">
        <f t="shared" si="5"/>
        <v>0.6</v>
      </c>
      <c r="Z10" s="231" t="b">
        <f t="shared" si="6"/>
        <v>1</v>
      </c>
      <c r="AA10" s="231" t="b">
        <f t="shared" si="7"/>
        <v>1</v>
      </c>
    </row>
    <row r="11" spans="1:27" s="155" customFormat="1" ht="36" x14ac:dyDescent="0.25">
      <c r="A11" s="158">
        <v>9</v>
      </c>
      <c r="B11" s="158" t="s">
        <v>510</v>
      </c>
      <c r="C11" s="159" t="s">
        <v>65</v>
      </c>
      <c r="D11" s="160" t="s">
        <v>489</v>
      </c>
      <c r="E11" s="160">
        <v>1804</v>
      </c>
      <c r="F11" s="153" t="s">
        <v>511</v>
      </c>
      <c r="G11" s="158" t="s">
        <v>82</v>
      </c>
      <c r="H11" s="154">
        <v>12.05668</v>
      </c>
      <c r="I11" s="161" t="s">
        <v>549</v>
      </c>
      <c r="J11" s="157">
        <v>16861076.969999999</v>
      </c>
      <c r="K11" s="157">
        <v>8430538</v>
      </c>
      <c r="L11" s="163">
        <v>8430538.9699999988</v>
      </c>
      <c r="M11" s="162">
        <v>0.5</v>
      </c>
      <c r="N11" s="157">
        <v>0</v>
      </c>
      <c r="O11" s="157">
        <v>0</v>
      </c>
      <c r="P11" s="163">
        <v>0</v>
      </c>
      <c r="Q11" s="163">
        <v>6405594</v>
      </c>
      <c r="R11" s="163">
        <v>2024944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229" t="b">
        <f t="shared" si="4"/>
        <v>1</v>
      </c>
      <c r="Y11" s="230">
        <f t="shared" si="5"/>
        <v>0.5</v>
      </c>
      <c r="Z11" s="231" t="b">
        <f t="shared" si="6"/>
        <v>1</v>
      </c>
      <c r="AA11" s="231" t="b">
        <f t="shared" si="7"/>
        <v>1</v>
      </c>
    </row>
    <row r="12" spans="1:27" s="176" customFormat="1" ht="24" x14ac:dyDescent="0.25">
      <c r="A12" s="148">
        <v>10</v>
      </c>
      <c r="B12" s="148" t="s">
        <v>388</v>
      </c>
      <c r="C12" s="149" t="s">
        <v>151</v>
      </c>
      <c r="D12" s="150" t="s">
        <v>489</v>
      </c>
      <c r="E12" s="150">
        <v>1804</v>
      </c>
      <c r="F12" s="41" t="s">
        <v>512</v>
      </c>
      <c r="G12" s="148" t="s">
        <v>82</v>
      </c>
      <c r="H12" s="42">
        <v>1.38</v>
      </c>
      <c r="I12" s="151" t="s">
        <v>323</v>
      </c>
      <c r="J12" s="165">
        <v>6621368.9400000004</v>
      </c>
      <c r="K12" s="165">
        <v>3310684</v>
      </c>
      <c r="L12" s="166">
        <v>3310684.9400000004</v>
      </c>
      <c r="M12" s="152">
        <v>0.5</v>
      </c>
      <c r="N12" s="165">
        <v>0</v>
      </c>
      <c r="O12" s="165">
        <v>0</v>
      </c>
      <c r="P12" s="166">
        <v>0</v>
      </c>
      <c r="Q12" s="166">
        <v>0</v>
      </c>
      <c r="R12" s="166">
        <v>3310684</v>
      </c>
      <c r="S12" s="166">
        <v>0</v>
      </c>
      <c r="T12" s="166">
        <v>0</v>
      </c>
      <c r="U12" s="166">
        <v>0</v>
      </c>
      <c r="V12" s="166">
        <v>0</v>
      </c>
      <c r="W12" s="166">
        <v>0</v>
      </c>
      <c r="X12" s="229" t="b">
        <f t="shared" ref="X12:X29" si="8">K12=SUM(N12:W12)</f>
        <v>1</v>
      </c>
      <c r="Y12" s="230">
        <f t="shared" ref="Y12:Y29" si="9">ROUND(K12/J12,4)</f>
        <v>0.5</v>
      </c>
      <c r="Z12" s="231" t="b">
        <f t="shared" ref="Z12:Z28" si="10">Y12=M12</f>
        <v>1</v>
      </c>
      <c r="AA12" s="231" t="b">
        <f t="shared" ref="AA12:AA29" si="11">J12=K12+L12</f>
        <v>1</v>
      </c>
    </row>
    <row r="13" spans="1:27" s="259" customFormat="1" ht="24" x14ac:dyDescent="0.25">
      <c r="A13" s="253" t="s">
        <v>617</v>
      </c>
      <c r="B13" s="271" t="s">
        <v>513</v>
      </c>
      <c r="C13" s="272" t="s">
        <v>151</v>
      </c>
      <c r="D13" s="271" t="s">
        <v>514</v>
      </c>
      <c r="E13" s="271">
        <v>1812</v>
      </c>
      <c r="F13" s="273" t="s">
        <v>515</v>
      </c>
      <c r="G13" s="253" t="s">
        <v>82</v>
      </c>
      <c r="H13" s="274">
        <v>6.5259999999999998</v>
      </c>
      <c r="I13" s="275" t="s">
        <v>476</v>
      </c>
      <c r="J13" s="254">
        <v>18641385.030000001</v>
      </c>
      <c r="K13" s="254">
        <v>9320692</v>
      </c>
      <c r="L13" s="255">
        <v>9320693.0300000012</v>
      </c>
      <c r="M13" s="276">
        <v>0.6</v>
      </c>
      <c r="N13" s="254">
        <v>0</v>
      </c>
      <c r="O13" s="254">
        <v>0</v>
      </c>
      <c r="P13" s="255">
        <v>0</v>
      </c>
      <c r="Q13" s="255">
        <v>0</v>
      </c>
      <c r="R13" s="255">
        <v>9320692</v>
      </c>
      <c r="S13" s="255">
        <v>0</v>
      </c>
      <c r="T13" s="255">
        <v>0</v>
      </c>
      <c r="U13" s="255">
        <v>0</v>
      </c>
      <c r="V13" s="255">
        <v>0</v>
      </c>
      <c r="W13" s="255">
        <v>0</v>
      </c>
      <c r="X13" s="256" t="b">
        <f t="shared" si="8"/>
        <v>1</v>
      </c>
      <c r="Y13" s="257">
        <f t="shared" si="9"/>
        <v>0.5</v>
      </c>
      <c r="Z13" s="258" t="b">
        <f t="shared" si="10"/>
        <v>0</v>
      </c>
      <c r="AA13" s="258" t="b">
        <f t="shared" si="11"/>
        <v>1</v>
      </c>
    </row>
    <row r="14" spans="1:27" s="155" customFormat="1" ht="24" x14ac:dyDescent="0.25">
      <c r="A14" s="158">
        <v>12</v>
      </c>
      <c r="B14" s="158" t="s">
        <v>516</v>
      </c>
      <c r="C14" s="159" t="s">
        <v>147</v>
      </c>
      <c r="D14" s="160" t="s">
        <v>517</v>
      </c>
      <c r="E14" s="160">
        <v>1803</v>
      </c>
      <c r="F14" s="153" t="s">
        <v>518</v>
      </c>
      <c r="G14" s="158" t="s">
        <v>82</v>
      </c>
      <c r="H14" s="154">
        <v>4.9130000000000003</v>
      </c>
      <c r="I14" s="161" t="s">
        <v>550</v>
      </c>
      <c r="J14" s="157">
        <v>9836384.9100000001</v>
      </c>
      <c r="K14" s="157">
        <v>5901830</v>
      </c>
      <c r="L14" s="163">
        <v>3934554.91</v>
      </c>
      <c r="M14" s="162">
        <v>0.6</v>
      </c>
      <c r="N14" s="157">
        <v>0</v>
      </c>
      <c r="O14" s="157">
        <v>0</v>
      </c>
      <c r="P14" s="163">
        <v>0</v>
      </c>
      <c r="Q14" s="163">
        <v>0</v>
      </c>
      <c r="R14" s="163">
        <v>2360732</v>
      </c>
      <c r="S14" s="163">
        <v>3541098</v>
      </c>
      <c r="T14" s="163">
        <v>0</v>
      </c>
      <c r="U14" s="163">
        <v>0</v>
      </c>
      <c r="V14" s="163">
        <v>0</v>
      </c>
      <c r="W14" s="163">
        <v>0</v>
      </c>
      <c r="X14" s="229" t="b">
        <f t="shared" si="8"/>
        <v>1</v>
      </c>
      <c r="Y14" s="230">
        <f t="shared" si="9"/>
        <v>0.6</v>
      </c>
      <c r="Z14" s="231" t="b">
        <f t="shared" si="10"/>
        <v>1</v>
      </c>
      <c r="AA14" s="231" t="b">
        <f t="shared" si="11"/>
        <v>1</v>
      </c>
    </row>
    <row r="15" spans="1:27" s="155" customFormat="1" x14ac:dyDescent="0.25">
      <c r="A15" s="158">
        <v>13</v>
      </c>
      <c r="B15" s="158" t="s">
        <v>170</v>
      </c>
      <c r="C15" s="159" t="s">
        <v>147</v>
      </c>
      <c r="D15" s="160" t="s">
        <v>500</v>
      </c>
      <c r="E15" s="160">
        <v>1817</v>
      </c>
      <c r="F15" s="153" t="s">
        <v>519</v>
      </c>
      <c r="G15" s="158" t="s">
        <v>82</v>
      </c>
      <c r="H15" s="154">
        <v>2.6150000000000002</v>
      </c>
      <c r="I15" s="161" t="s">
        <v>551</v>
      </c>
      <c r="J15" s="157">
        <v>10497091.710000001</v>
      </c>
      <c r="K15" s="157">
        <v>6298254</v>
      </c>
      <c r="L15" s="163">
        <v>4198837.7100000009</v>
      </c>
      <c r="M15" s="162">
        <v>0.6</v>
      </c>
      <c r="N15" s="157">
        <v>0</v>
      </c>
      <c r="O15" s="157">
        <v>0</v>
      </c>
      <c r="P15" s="163">
        <v>0</v>
      </c>
      <c r="Q15" s="163">
        <v>0</v>
      </c>
      <c r="R15" s="163">
        <v>3149127</v>
      </c>
      <c r="S15" s="163">
        <v>3149127</v>
      </c>
      <c r="T15" s="163">
        <v>0</v>
      </c>
      <c r="U15" s="163">
        <v>0</v>
      </c>
      <c r="V15" s="163">
        <v>0</v>
      </c>
      <c r="W15" s="163">
        <v>0</v>
      </c>
      <c r="X15" s="229" t="b">
        <f t="shared" si="8"/>
        <v>1</v>
      </c>
      <c r="Y15" s="230">
        <f t="shared" si="9"/>
        <v>0.6</v>
      </c>
      <c r="Z15" s="231" t="b">
        <f t="shared" si="10"/>
        <v>1</v>
      </c>
      <c r="AA15" s="231" t="b">
        <f t="shared" si="11"/>
        <v>1</v>
      </c>
    </row>
    <row r="16" spans="1:27" s="155" customFormat="1" ht="24" x14ac:dyDescent="0.25">
      <c r="A16" s="158">
        <v>14</v>
      </c>
      <c r="B16" s="158" t="s">
        <v>437</v>
      </c>
      <c r="C16" s="159" t="s">
        <v>147</v>
      </c>
      <c r="D16" s="160" t="s">
        <v>520</v>
      </c>
      <c r="E16" s="160">
        <v>1806</v>
      </c>
      <c r="F16" s="153" t="s">
        <v>521</v>
      </c>
      <c r="G16" s="158" t="s">
        <v>69</v>
      </c>
      <c r="H16" s="154">
        <v>2.6739999999999999</v>
      </c>
      <c r="I16" s="161" t="s">
        <v>486</v>
      </c>
      <c r="J16" s="157">
        <v>9079878.7100000009</v>
      </c>
      <c r="K16" s="157">
        <v>5447926</v>
      </c>
      <c r="L16" s="163">
        <v>3631952.7100000009</v>
      </c>
      <c r="M16" s="162">
        <v>0.6</v>
      </c>
      <c r="N16" s="157">
        <v>0</v>
      </c>
      <c r="O16" s="157">
        <v>0</v>
      </c>
      <c r="P16" s="163">
        <v>0</v>
      </c>
      <c r="Q16" s="163">
        <v>0</v>
      </c>
      <c r="R16" s="163">
        <v>4358341</v>
      </c>
      <c r="S16" s="163">
        <v>1089585</v>
      </c>
      <c r="T16" s="163">
        <v>0</v>
      </c>
      <c r="U16" s="163">
        <v>0</v>
      </c>
      <c r="V16" s="163">
        <v>0</v>
      </c>
      <c r="W16" s="163">
        <v>0</v>
      </c>
      <c r="X16" s="229" t="b">
        <f t="shared" si="8"/>
        <v>1</v>
      </c>
      <c r="Y16" s="230">
        <f t="shared" si="9"/>
        <v>0.6</v>
      </c>
      <c r="Z16" s="231" t="b">
        <f t="shared" si="10"/>
        <v>1</v>
      </c>
      <c r="AA16" s="231" t="b">
        <f t="shared" si="11"/>
        <v>1</v>
      </c>
    </row>
    <row r="17" spans="1:27" s="176" customFormat="1" ht="24" x14ac:dyDescent="0.25">
      <c r="A17" s="148">
        <v>15</v>
      </c>
      <c r="B17" s="148" t="s">
        <v>522</v>
      </c>
      <c r="C17" s="149" t="s">
        <v>151</v>
      </c>
      <c r="D17" s="150" t="s">
        <v>523</v>
      </c>
      <c r="E17" s="150">
        <v>1815</v>
      </c>
      <c r="F17" s="41" t="s">
        <v>524</v>
      </c>
      <c r="G17" s="148" t="s">
        <v>69</v>
      </c>
      <c r="H17" s="42">
        <v>2.9860000000000002</v>
      </c>
      <c r="I17" s="151" t="s">
        <v>309</v>
      </c>
      <c r="J17" s="165">
        <v>16030670</v>
      </c>
      <c r="K17" s="165">
        <v>8015335</v>
      </c>
      <c r="L17" s="166">
        <v>8015335</v>
      </c>
      <c r="M17" s="152">
        <v>0.5</v>
      </c>
      <c r="N17" s="165">
        <v>0</v>
      </c>
      <c r="O17" s="165">
        <v>0</v>
      </c>
      <c r="P17" s="166">
        <v>0</v>
      </c>
      <c r="Q17" s="166">
        <v>0</v>
      </c>
      <c r="R17" s="166">
        <v>8015335</v>
      </c>
      <c r="S17" s="166">
        <v>0</v>
      </c>
      <c r="T17" s="166">
        <v>0</v>
      </c>
      <c r="U17" s="166">
        <v>0</v>
      </c>
      <c r="V17" s="166">
        <v>0</v>
      </c>
      <c r="W17" s="166">
        <v>0</v>
      </c>
      <c r="X17" s="229" t="b">
        <f t="shared" si="8"/>
        <v>1</v>
      </c>
      <c r="Y17" s="230">
        <f t="shared" si="9"/>
        <v>0.5</v>
      </c>
      <c r="Z17" s="231" t="b">
        <f t="shared" si="10"/>
        <v>1</v>
      </c>
      <c r="AA17" s="231" t="b">
        <f t="shared" si="11"/>
        <v>1</v>
      </c>
    </row>
    <row r="18" spans="1:27" s="155" customFormat="1" ht="24" x14ac:dyDescent="0.25">
      <c r="A18" s="158">
        <v>16</v>
      </c>
      <c r="B18" s="158" t="s">
        <v>525</v>
      </c>
      <c r="C18" s="159" t="s">
        <v>147</v>
      </c>
      <c r="D18" s="160" t="s">
        <v>497</v>
      </c>
      <c r="E18" s="160">
        <v>1809</v>
      </c>
      <c r="F18" s="153" t="s">
        <v>526</v>
      </c>
      <c r="G18" s="158" t="s">
        <v>82</v>
      </c>
      <c r="H18" s="154">
        <v>2.3222499999999999</v>
      </c>
      <c r="I18" s="161" t="s">
        <v>552</v>
      </c>
      <c r="J18" s="157">
        <v>10500000</v>
      </c>
      <c r="K18" s="157">
        <f>ROUNDDOWN(J18*M18,1)</f>
        <v>6300000</v>
      </c>
      <c r="L18" s="163">
        <f>J18-K18</f>
        <v>4200000</v>
      </c>
      <c r="M18" s="162">
        <v>0.6</v>
      </c>
      <c r="N18" s="157">
        <v>0</v>
      </c>
      <c r="O18" s="157">
        <v>0</v>
      </c>
      <c r="P18" s="163">
        <v>0</v>
      </c>
      <c r="Q18" s="163">
        <v>0</v>
      </c>
      <c r="R18" s="163">
        <f>K18-S18</f>
        <v>4050000</v>
      </c>
      <c r="S18" s="163">
        <v>2250000</v>
      </c>
      <c r="T18" s="163">
        <v>0</v>
      </c>
      <c r="U18" s="163">
        <v>0</v>
      </c>
      <c r="V18" s="163">
        <v>0</v>
      </c>
      <c r="W18" s="163">
        <v>0</v>
      </c>
      <c r="X18" s="229" t="b">
        <f t="shared" si="8"/>
        <v>1</v>
      </c>
      <c r="Y18" s="230">
        <f t="shared" si="9"/>
        <v>0.6</v>
      </c>
      <c r="Z18" s="231" t="b">
        <f t="shared" si="10"/>
        <v>1</v>
      </c>
      <c r="AA18" s="231" t="b">
        <f t="shared" si="11"/>
        <v>1</v>
      </c>
    </row>
    <row r="19" spans="1:27" s="183" customFormat="1" ht="24" x14ac:dyDescent="0.25">
      <c r="A19" s="158">
        <v>17</v>
      </c>
      <c r="B19" s="158" t="s">
        <v>441</v>
      </c>
      <c r="C19" s="159" t="s">
        <v>147</v>
      </c>
      <c r="D19" s="160" t="s">
        <v>103</v>
      </c>
      <c r="E19" s="160">
        <v>1808</v>
      </c>
      <c r="F19" s="153" t="s">
        <v>527</v>
      </c>
      <c r="G19" s="158" t="s">
        <v>82</v>
      </c>
      <c r="H19" s="154">
        <v>5.718</v>
      </c>
      <c r="I19" s="161" t="s">
        <v>553</v>
      </c>
      <c r="J19" s="157">
        <v>16353037.939999999</v>
      </c>
      <c r="K19" s="157">
        <v>8176518</v>
      </c>
      <c r="L19" s="163">
        <v>8176519.9399999995</v>
      </c>
      <c r="M19" s="162">
        <v>0.5</v>
      </c>
      <c r="N19" s="157">
        <v>0</v>
      </c>
      <c r="O19" s="157">
        <v>0</v>
      </c>
      <c r="P19" s="163">
        <v>0</v>
      </c>
      <c r="Q19" s="163">
        <v>0</v>
      </c>
      <c r="R19" s="163">
        <v>4088259</v>
      </c>
      <c r="S19" s="163">
        <v>4088259</v>
      </c>
      <c r="T19" s="163">
        <v>0</v>
      </c>
      <c r="U19" s="163">
        <v>0</v>
      </c>
      <c r="V19" s="163">
        <v>0</v>
      </c>
      <c r="W19" s="163">
        <v>0</v>
      </c>
      <c r="X19" s="229" t="b">
        <f t="shared" si="8"/>
        <v>1</v>
      </c>
      <c r="Y19" s="230">
        <f t="shared" si="9"/>
        <v>0.5</v>
      </c>
      <c r="Z19" s="231" t="b">
        <f t="shared" si="10"/>
        <v>1</v>
      </c>
      <c r="AA19" s="231" t="b">
        <f t="shared" si="11"/>
        <v>1</v>
      </c>
    </row>
    <row r="20" spans="1:27" s="242" customFormat="1" ht="24" x14ac:dyDescent="0.25">
      <c r="A20" s="148">
        <v>18</v>
      </c>
      <c r="B20" s="148" t="s">
        <v>273</v>
      </c>
      <c r="C20" s="149" t="s">
        <v>151</v>
      </c>
      <c r="D20" s="150" t="s">
        <v>503</v>
      </c>
      <c r="E20" s="150">
        <v>1814</v>
      </c>
      <c r="F20" s="41" t="s">
        <v>559</v>
      </c>
      <c r="G20" s="148" t="s">
        <v>82</v>
      </c>
      <c r="H20" s="42">
        <v>3.8435000000000001</v>
      </c>
      <c r="I20" s="151" t="s">
        <v>318</v>
      </c>
      <c r="J20" s="165">
        <v>10762390.16</v>
      </c>
      <c r="K20" s="165">
        <v>5381195</v>
      </c>
      <c r="L20" s="166">
        <v>5381195.1600000001</v>
      </c>
      <c r="M20" s="152">
        <v>0.5</v>
      </c>
      <c r="N20" s="165">
        <v>0</v>
      </c>
      <c r="O20" s="165">
        <v>0</v>
      </c>
      <c r="P20" s="166">
        <v>0</v>
      </c>
      <c r="Q20" s="166">
        <v>0</v>
      </c>
      <c r="R20" s="166">
        <v>5381195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  <c r="X20" s="174" t="b">
        <f t="shared" si="8"/>
        <v>1</v>
      </c>
      <c r="Y20" s="178">
        <f t="shared" si="9"/>
        <v>0.5</v>
      </c>
      <c r="Z20" s="179" t="b">
        <f t="shared" si="10"/>
        <v>1</v>
      </c>
      <c r="AA20" s="179" t="b">
        <f t="shared" si="11"/>
        <v>1</v>
      </c>
    </row>
    <row r="21" spans="1:27" s="183" customFormat="1" ht="24" x14ac:dyDescent="0.25">
      <c r="A21" s="158">
        <v>19</v>
      </c>
      <c r="B21" s="158" t="s">
        <v>371</v>
      </c>
      <c r="C21" s="159" t="s">
        <v>147</v>
      </c>
      <c r="D21" s="160" t="s">
        <v>103</v>
      </c>
      <c r="E21" s="160">
        <v>1808</v>
      </c>
      <c r="F21" s="153" t="s">
        <v>528</v>
      </c>
      <c r="G21" s="158" t="s">
        <v>82</v>
      </c>
      <c r="H21" s="154">
        <v>3.1720000000000002</v>
      </c>
      <c r="I21" s="161" t="s">
        <v>554</v>
      </c>
      <c r="J21" s="157">
        <v>11925912.98</v>
      </c>
      <c r="K21" s="157">
        <v>5962956</v>
      </c>
      <c r="L21" s="163">
        <v>5962956.9800000004</v>
      </c>
      <c r="M21" s="162">
        <v>0.5</v>
      </c>
      <c r="N21" s="157">
        <v>0</v>
      </c>
      <c r="O21" s="157">
        <v>0</v>
      </c>
      <c r="P21" s="163">
        <v>0</v>
      </c>
      <c r="Q21" s="163">
        <v>0</v>
      </c>
      <c r="R21" s="163">
        <v>1987652</v>
      </c>
      <c r="S21" s="163">
        <v>1987652</v>
      </c>
      <c r="T21" s="163">
        <v>1987652</v>
      </c>
      <c r="U21" s="163">
        <v>0</v>
      </c>
      <c r="V21" s="163">
        <v>0</v>
      </c>
      <c r="W21" s="163">
        <v>0</v>
      </c>
      <c r="X21" s="229" t="b">
        <f t="shared" si="8"/>
        <v>1</v>
      </c>
      <c r="Y21" s="230">
        <f t="shared" si="9"/>
        <v>0.5</v>
      </c>
      <c r="Z21" s="231" t="b">
        <f t="shared" si="10"/>
        <v>1</v>
      </c>
      <c r="AA21" s="231" t="b">
        <f t="shared" si="11"/>
        <v>1</v>
      </c>
    </row>
    <row r="22" spans="1:27" s="183" customFormat="1" ht="24" x14ac:dyDescent="0.25">
      <c r="A22" s="158">
        <v>20</v>
      </c>
      <c r="B22" s="158" t="s">
        <v>529</v>
      </c>
      <c r="C22" s="159" t="s">
        <v>147</v>
      </c>
      <c r="D22" s="160" t="s">
        <v>530</v>
      </c>
      <c r="E22" s="160">
        <v>1810</v>
      </c>
      <c r="F22" s="153" t="s">
        <v>531</v>
      </c>
      <c r="G22" s="158" t="s">
        <v>82</v>
      </c>
      <c r="H22" s="154">
        <v>2.2583000000000002</v>
      </c>
      <c r="I22" s="161" t="s">
        <v>555</v>
      </c>
      <c r="J22" s="157">
        <v>7728358</v>
      </c>
      <c r="K22" s="157">
        <v>4637014</v>
      </c>
      <c r="L22" s="163">
        <v>3091344</v>
      </c>
      <c r="M22" s="162">
        <v>0.6</v>
      </c>
      <c r="N22" s="157">
        <v>0</v>
      </c>
      <c r="O22" s="157">
        <v>0</v>
      </c>
      <c r="P22" s="163">
        <v>0</v>
      </c>
      <c r="Q22" s="163">
        <v>0</v>
      </c>
      <c r="R22" s="163">
        <v>672000</v>
      </c>
      <c r="S22" s="163">
        <v>3965014</v>
      </c>
      <c r="T22" s="163">
        <v>0</v>
      </c>
      <c r="U22" s="163">
        <v>0</v>
      </c>
      <c r="V22" s="163">
        <v>0</v>
      </c>
      <c r="W22" s="163">
        <v>0</v>
      </c>
      <c r="X22" s="229" t="b">
        <f t="shared" si="8"/>
        <v>1</v>
      </c>
      <c r="Y22" s="230">
        <f t="shared" si="9"/>
        <v>0.6</v>
      </c>
      <c r="Z22" s="231" t="b">
        <f t="shared" si="10"/>
        <v>1</v>
      </c>
      <c r="AA22" s="231" t="b">
        <f t="shared" si="11"/>
        <v>1</v>
      </c>
    </row>
    <row r="23" spans="1:27" s="242" customFormat="1" ht="36" x14ac:dyDescent="0.25">
      <c r="A23" s="148">
        <v>21</v>
      </c>
      <c r="B23" s="148" t="s">
        <v>532</v>
      </c>
      <c r="C23" s="149" t="s">
        <v>151</v>
      </c>
      <c r="D23" s="150" t="s">
        <v>520</v>
      </c>
      <c r="E23" s="150">
        <v>1806</v>
      </c>
      <c r="F23" s="41" t="s">
        <v>533</v>
      </c>
      <c r="G23" s="148" t="s">
        <v>82</v>
      </c>
      <c r="H23" s="42">
        <v>0.877</v>
      </c>
      <c r="I23" s="151" t="s">
        <v>312</v>
      </c>
      <c r="J23" s="165">
        <v>3432837.81</v>
      </c>
      <c r="K23" s="165">
        <v>2059702</v>
      </c>
      <c r="L23" s="166">
        <v>1373135.81</v>
      </c>
      <c r="M23" s="152">
        <v>0.6</v>
      </c>
      <c r="N23" s="165">
        <v>0</v>
      </c>
      <c r="O23" s="165">
        <v>0</v>
      </c>
      <c r="P23" s="166">
        <v>0</v>
      </c>
      <c r="Q23" s="166">
        <v>0</v>
      </c>
      <c r="R23" s="166">
        <v>2059702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74" t="b">
        <f t="shared" si="8"/>
        <v>1</v>
      </c>
      <c r="Y23" s="178">
        <f t="shared" si="9"/>
        <v>0.6</v>
      </c>
      <c r="Z23" s="179" t="b">
        <f t="shared" si="10"/>
        <v>1</v>
      </c>
      <c r="AA23" s="179" t="b">
        <f t="shared" si="11"/>
        <v>1</v>
      </c>
    </row>
    <row r="24" spans="1:27" s="176" customFormat="1" ht="24" x14ac:dyDescent="0.25">
      <c r="A24" s="148">
        <v>22</v>
      </c>
      <c r="B24" s="148" t="s">
        <v>461</v>
      </c>
      <c r="C24" s="149" t="s">
        <v>151</v>
      </c>
      <c r="D24" s="150" t="s">
        <v>534</v>
      </c>
      <c r="E24" s="150">
        <v>1816</v>
      </c>
      <c r="F24" s="41" t="s">
        <v>535</v>
      </c>
      <c r="G24" s="148" t="s">
        <v>82</v>
      </c>
      <c r="H24" s="42">
        <v>0.315</v>
      </c>
      <c r="I24" s="151" t="s">
        <v>309</v>
      </c>
      <c r="J24" s="165">
        <v>2000000</v>
      </c>
      <c r="K24" s="165">
        <v>1200000</v>
      </c>
      <c r="L24" s="166">
        <v>800000</v>
      </c>
      <c r="M24" s="152">
        <v>0.6</v>
      </c>
      <c r="N24" s="165">
        <v>0</v>
      </c>
      <c r="O24" s="165">
        <v>0</v>
      </c>
      <c r="P24" s="166">
        <v>0</v>
      </c>
      <c r="Q24" s="166">
        <v>0</v>
      </c>
      <c r="R24" s="166">
        <v>1200000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  <c r="X24" s="174" t="b">
        <f t="shared" si="8"/>
        <v>1</v>
      </c>
      <c r="Y24" s="178">
        <f t="shared" si="9"/>
        <v>0.6</v>
      </c>
      <c r="Z24" s="179" t="b">
        <f t="shared" si="10"/>
        <v>1</v>
      </c>
      <c r="AA24" s="179" t="b">
        <f t="shared" si="11"/>
        <v>1</v>
      </c>
    </row>
    <row r="25" spans="1:27" s="176" customFormat="1" ht="24" x14ac:dyDescent="0.25">
      <c r="A25" s="148">
        <v>23</v>
      </c>
      <c r="B25" s="148" t="s">
        <v>536</v>
      </c>
      <c r="C25" s="149" t="s">
        <v>151</v>
      </c>
      <c r="D25" s="150" t="s">
        <v>534</v>
      </c>
      <c r="E25" s="150">
        <v>1816</v>
      </c>
      <c r="F25" s="41" t="s">
        <v>537</v>
      </c>
      <c r="G25" s="148" t="s">
        <v>197</v>
      </c>
      <c r="H25" s="42">
        <v>0.16</v>
      </c>
      <c r="I25" s="151" t="s">
        <v>309</v>
      </c>
      <c r="J25" s="165">
        <v>3500000</v>
      </c>
      <c r="K25" s="165">
        <v>2100000</v>
      </c>
      <c r="L25" s="166">
        <v>1400000</v>
      </c>
      <c r="M25" s="152">
        <v>0.6</v>
      </c>
      <c r="N25" s="165">
        <v>0</v>
      </c>
      <c r="O25" s="165">
        <v>0</v>
      </c>
      <c r="P25" s="166">
        <v>0</v>
      </c>
      <c r="Q25" s="166">
        <v>0</v>
      </c>
      <c r="R25" s="166">
        <v>2100000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  <c r="X25" s="174" t="b">
        <f t="shared" si="8"/>
        <v>1</v>
      </c>
      <c r="Y25" s="178">
        <f t="shared" si="9"/>
        <v>0.6</v>
      </c>
      <c r="Z25" s="179" t="b">
        <f t="shared" si="10"/>
        <v>1</v>
      </c>
      <c r="AA25" s="179" t="b">
        <f t="shared" si="11"/>
        <v>1</v>
      </c>
    </row>
    <row r="26" spans="1:27" s="222" customFormat="1" x14ac:dyDescent="0.25">
      <c r="A26" s="148">
        <v>24</v>
      </c>
      <c r="B26" s="148" t="s">
        <v>560</v>
      </c>
      <c r="C26" s="149" t="s">
        <v>151</v>
      </c>
      <c r="D26" s="150" t="s">
        <v>530</v>
      </c>
      <c r="E26" s="150">
        <v>1810</v>
      </c>
      <c r="F26" s="147" t="s">
        <v>561</v>
      </c>
      <c r="G26" s="148" t="s">
        <v>82</v>
      </c>
      <c r="H26" s="43">
        <v>2.3171999999999997</v>
      </c>
      <c r="I26" s="151" t="s">
        <v>329</v>
      </c>
      <c r="J26" s="196">
        <v>6574692</v>
      </c>
      <c r="K26" s="200">
        <v>3944815</v>
      </c>
      <c r="L26" s="198">
        <v>2629877</v>
      </c>
      <c r="M26" s="152">
        <v>0.6</v>
      </c>
      <c r="N26" s="197">
        <v>0</v>
      </c>
      <c r="O26" s="197">
        <v>0</v>
      </c>
      <c r="P26" s="198">
        <v>0</v>
      </c>
      <c r="Q26" s="198">
        <v>0</v>
      </c>
      <c r="R26" s="201">
        <v>3944815</v>
      </c>
      <c r="S26" s="198">
        <v>0</v>
      </c>
      <c r="T26" s="198">
        <v>0</v>
      </c>
      <c r="U26" s="198">
        <v>0</v>
      </c>
      <c r="V26" s="197">
        <v>0</v>
      </c>
      <c r="W26" s="196">
        <v>0</v>
      </c>
      <c r="X26" s="174" t="b">
        <f t="shared" si="8"/>
        <v>1</v>
      </c>
      <c r="Y26" s="178">
        <f t="shared" si="9"/>
        <v>0.6</v>
      </c>
      <c r="Z26" s="179" t="b">
        <f t="shared" si="10"/>
        <v>1</v>
      </c>
      <c r="AA26" s="179" t="b">
        <f t="shared" si="11"/>
        <v>1</v>
      </c>
    </row>
    <row r="27" spans="1:27" s="176" customFormat="1" ht="24" x14ac:dyDescent="0.25">
      <c r="A27" s="148">
        <v>25</v>
      </c>
      <c r="B27" s="148" t="s">
        <v>589</v>
      </c>
      <c r="C27" s="149" t="s">
        <v>151</v>
      </c>
      <c r="D27" s="150" t="s">
        <v>577</v>
      </c>
      <c r="E27" s="150">
        <v>1805</v>
      </c>
      <c r="F27" s="147" t="s">
        <v>590</v>
      </c>
      <c r="G27" s="148" t="s">
        <v>82</v>
      </c>
      <c r="H27" s="43">
        <v>0.97</v>
      </c>
      <c r="I27" s="151" t="s">
        <v>328</v>
      </c>
      <c r="J27" s="196">
        <v>2310683.33</v>
      </c>
      <c r="K27" s="200">
        <v>1386409</v>
      </c>
      <c r="L27" s="198">
        <v>924274.33000000007</v>
      </c>
      <c r="M27" s="152">
        <v>0.6</v>
      </c>
      <c r="N27" s="197">
        <v>0</v>
      </c>
      <c r="O27" s="197">
        <v>0</v>
      </c>
      <c r="P27" s="198">
        <v>0</v>
      </c>
      <c r="Q27" s="198">
        <v>0</v>
      </c>
      <c r="R27" s="201">
        <v>1386409</v>
      </c>
      <c r="S27" s="198">
        <v>0</v>
      </c>
      <c r="T27" s="198">
        <v>0</v>
      </c>
      <c r="U27" s="198">
        <v>0</v>
      </c>
      <c r="V27" s="197">
        <v>0</v>
      </c>
      <c r="W27" s="196">
        <v>0</v>
      </c>
      <c r="X27" s="174" t="b">
        <f t="shared" si="8"/>
        <v>1</v>
      </c>
      <c r="Y27" s="178">
        <f t="shared" si="9"/>
        <v>0.6</v>
      </c>
      <c r="Z27" s="179" t="b">
        <f t="shared" si="10"/>
        <v>1</v>
      </c>
      <c r="AA27" s="179" t="b">
        <f t="shared" si="11"/>
        <v>1</v>
      </c>
    </row>
    <row r="28" spans="1:27" s="176" customFormat="1" ht="24" x14ac:dyDescent="0.25">
      <c r="A28" s="148">
        <v>26</v>
      </c>
      <c r="B28" s="148" t="s">
        <v>565</v>
      </c>
      <c r="C28" s="149" t="s">
        <v>151</v>
      </c>
      <c r="D28" s="150" t="s">
        <v>87</v>
      </c>
      <c r="E28" s="150">
        <v>1820</v>
      </c>
      <c r="F28" s="147" t="s">
        <v>566</v>
      </c>
      <c r="G28" s="148" t="s">
        <v>82</v>
      </c>
      <c r="H28" s="43">
        <v>1.2392000000000001</v>
      </c>
      <c r="I28" s="151" t="s">
        <v>315</v>
      </c>
      <c r="J28" s="196">
        <v>1600000</v>
      </c>
      <c r="K28" s="197">
        <v>960000</v>
      </c>
      <c r="L28" s="198">
        <v>640000</v>
      </c>
      <c r="M28" s="152">
        <v>0.6</v>
      </c>
      <c r="N28" s="197">
        <v>0</v>
      </c>
      <c r="O28" s="197">
        <v>0</v>
      </c>
      <c r="P28" s="198">
        <v>0</v>
      </c>
      <c r="Q28" s="198">
        <v>0</v>
      </c>
      <c r="R28" s="198">
        <v>960000</v>
      </c>
      <c r="S28" s="198">
        <v>0</v>
      </c>
      <c r="T28" s="198">
        <v>0</v>
      </c>
      <c r="U28" s="198">
        <v>0</v>
      </c>
      <c r="V28" s="197">
        <v>0</v>
      </c>
      <c r="W28" s="196">
        <v>0</v>
      </c>
      <c r="X28" s="174" t="b">
        <f t="shared" si="8"/>
        <v>1</v>
      </c>
      <c r="Y28" s="178">
        <f t="shared" si="9"/>
        <v>0.6</v>
      </c>
      <c r="Z28" s="179" t="b">
        <f t="shared" si="10"/>
        <v>1</v>
      </c>
      <c r="AA28" s="179" t="b">
        <f t="shared" si="11"/>
        <v>1</v>
      </c>
    </row>
    <row r="29" spans="1:27" s="222" customFormat="1" x14ac:dyDescent="0.25">
      <c r="A29" s="214" t="s">
        <v>613</v>
      </c>
      <c r="B29" s="214" t="s">
        <v>254</v>
      </c>
      <c r="C29" s="215" t="s">
        <v>147</v>
      </c>
      <c r="D29" s="216" t="s">
        <v>500</v>
      </c>
      <c r="E29" s="216">
        <v>1817</v>
      </c>
      <c r="F29" s="217" t="s">
        <v>538</v>
      </c>
      <c r="G29" s="214" t="s">
        <v>197</v>
      </c>
      <c r="H29" s="218">
        <v>2.9889999999999999</v>
      </c>
      <c r="I29" s="219" t="s">
        <v>551</v>
      </c>
      <c r="J29" s="206">
        <v>8899596.25</v>
      </c>
      <c r="K29" s="206">
        <v>5231389.3499999996</v>
      </c>
      <c r="L29" s="207">
        <v>3668206.9</v>
      </c>
      <c r="M29" s="220">
        <v>0.6</v>
      </c>
      <c r="N29" s="165">
        <v>0</v>
      </c>
      <c r="O29" s="165">
        <v>0</v>
      </c>
      <c r="P29" s="166">
        <v>0</v>
      </c>
      <c r="Q29" s="166">
        <v>0</v>
      </c>
      <c r="R29" s="207">
        <v>2561511.35</v>
      </c>
      <c r="S29" s="207">
        <v>2669878</v>
      </c>
      <c r="T29" s="207">
        <v>0</v>
      </c>
      <c r="U29" s="207">
        <v>0</v>
      </c>
      <c r="V29" s="207">
        <v>0</v>
      </c>
      <c r="W29" s="207">
        <v>0</v>
      </c>
      <c r="X29" s="225" t="b">
        <f t="shared" si="8"/>
        <v>1</v>
      </c>
      <c r="Y29" s="226">
        <f t="shared" si="9"/>
        <v>0.58779999999999999</v>
      </c>
      <c r="Z29" s="227" t="b">
        <f>Y29=M29</f>
        <v>0</v>
      </c>
      <c r="AA29" s="227" t="b">
        <f t="shared" si="11"/>
        <v>1</v>
      </c>
    </row>
    <row r="30" spans="1:27" x14ac:dyDescent="0.25">
      <c r="A30" s="324" t="s">
        <v>46</v>
      </c>
      <c r="B30" s="325"/>
      <c r="C30" s="325"/>
      <c r="D30" s="325"/>
      <c r="E30" s="325"/>
      <c r="F30" s="325"/>
      <c r="G30" s="326"/>
      <c r="H30" s="277">
        <f>SUM(H3:H29)</f>
        <v>100.53576</v>
      </c>
      <c r="I30" s="278" t="s">
        <v>14</v>
      </c>
      <c r="J30" s="44">
        <f>SUM(J3:J29)</f>
        <v>273430584.5</v>
      </c>
      <c r="K30" s="44">
        <f>SUM(K3:K29)</f>
        <v>150922883.75</v>
      </c>
      <c r="L30" s="44">
        <f>SUM(L3:L29)</f>
        <v>122507700.75</v>
      </c>
      <c r="M30" s="279" t="s">
        <v>14</v>
      </c>
      <c r="N30" s="44">
        <f t="shared" ref="N30:W30" si="12">SUM(N3:N29)</f>
        <v>0</v>
      </c>
      <c r="O30" s="44">
        <f t="shared" si="12"/>
        <v>0</v>
      </c>
      <c r="P30" s="44">
        <f t="shared" si="12"/>
        <v>2292449.4000000004</v>
      </c>
      <c r="Q30" s="44">
        <f t="shared" si="12"/>
        <v>35977519.5</v>
      </c>
      <c r="R30" s="44">
        <f t="shared" si="12"/>
        <v>87924649.849999994</v>
      </c>
      <c r="S30" s="44">
        <f t="shared" si="12"/>
        <v>22740613</v>
      </c>
      <c r="T30" s="44">
        <f t="shared" si="12"/>
        <v>1987652</v>
      </c>
      <c r="U30" s="44">
        <f t="shared" si="12"/>
        <v>0</v>
      </c>
      <c r="V30" s="44">
        <f t="shared" si="12"/>
        <v>0</v>
      </c>
      <c r="W30" s="44">
        <f t="shared" si="12"/>
        <v>0</v>
      </c>
      <c r="X30" s="174" t="b">
        <f>K30=SUM(N30:W30)</f>
        <v>1</v>
      </c>
      <c r="Y30" s="178">
        <f>ROUND(K30/J30,4)</f>
        <v>0.55200000000000005</v>
      </c>
      <c r="Z30" s="179" t="s">
        <v>14</v>
      </c>
      <c r="AA30" s="179" t="b">
        <f>J30=K30+L30</f>
        <v>1</v>
      </c>
    </row>
    <row r="31" spans="1:27" ht="15" customHeight="1" x14ac:dyDescent="0.25">
      <c r="A31" s="321" t="s">
        <v>39</v>
      </c>
      <c r="B31" s="322"/>
      <c r="C31" s="322"/>
      <c r="D31" s="322"/>
      <c r="E31" s="322"/>
      <c r="F31" s="322"/>
      <c r="G31" s="323"/>
      <c r="H31" s="280">
        <f>SUMIF($C$3:$C$29,"K",H3:H29)</f>
        <v>53.260309999999997</v>
      </c>
      <c r="I31" s="281" t="s">
        <v>14</v>
      </c>
      <c r="J31" s="45">
        <f>SUMIF($C$3:$C$29,"K",J3:J29)</f>
        <v>117136296.73</v>
      </c>
      <c r="K31" s="45">
        <f>SUMIF($C$3:$C$29,"K",K3:K29)</f>
        <v>65288164.399999999</v>
      </c>
      <c r="L31" s="45">
        <f>SUMIF($C$3:$C$29,"K",L3:L29)</f>
        <v>51848132.329999998</v>
      </c>
      <c r="M31" s="282" t="s">
        <v>14</v>
      </c>
      <c r="N31" s="45">
        <f t="shared" ref="N31:W31" si="13">SUMIF($C$3:$C$29,"K",N3:N29)</f>
        <v>0</v>
      </c>
      <c r="O31" s="45">
        <f t="shared" si="13"/>
        <v>0</v>
      </c>
      <c r="P31" s="45">
        <f t="shared" si="13"/>
        <v>2292449.4000000004</v>
      </c>
      <c r="Q31" s="45">
        <f t="shared" si="13"/>
        <v>35977519.5</v>
      </c>
      <c r="R31" s="45">
        <f t="shared" si="13"/>
        <v>27018195.5</v>
      </c>
      <c r="S31" s="45">
        <f t="shared" si="13"/>
        <v>0</v>
      </c>
      <c r="T31" s="45">
        <f t="shared" si="13"/>
        <v>0</v>
      </c>
      <c r="U31" s="45">
        <f t="shared" si="13"/>
        <v>0</v>
      </c>
      <c r="V31" s="45">
        <f t="shared" si="13"/>
        <v>0</v>
      </c>
      <c r="W31" s="45">
        <f t="shared" si="13"/>
        <v>0</v>
      </c>
      <c r="X31" s="174" t="b">
        <f>K31=SUM(N31:W31)</f>
        <v>1</v>
      </c>
      <c r="Y31" s="178">
        <f>ROUND(K31/J31,4)</f>
        <v>0.55740000000000001</v>
      </c>
      <c r="Z31" s="179" t="s">
        <v>14</v>
      </c>
      <c r="AA31" s="179" t="b">
        <f>J31=K31+L31</f>
        <v>1</v>
      </c>
    </row>
    <row r="32" spans="1:27" ht="15" customHeight="1" x14ac:dyDescent="0.25">
      <c r="A32" s="324" t="s">
        <v>40</v>
      </c>
      <c r="B32" s="325"/>
      <c r="C32" s="325"/>
      <c r="D32" s="325"/>
      <c r="E32" s="325"/>
      <c r="F32" s="325"/>
      <c r="G32" s="326"/>
      <c r="H32" s="277">
        <f>SUMIF($C$3:$C$29,"N",H3:H29)</f>
        <v>20.613899999999997</v>
      </c>
      <c r="I32" s="278" t="s">
        <v>14</v>
      </c>
      <c r="J32" s="44">
        <f>SUMIF($C$3:$C$29,"N",J3:J29)</f>
        <v>71474027.269999996</v>
      </c>
      <c r="K32" s="44">
        <f>SUMIF($C$3:$C$29,"N",K3:K29)</f>
        <v>37678832</v>
      </c>
      <c r="L32" s="44">
        <f>SUMIF($C$3:$C$29,"N",L3:L29)</f>
        <v>33795195.270000003</v>
      </c>
      <c r="M32" s="279" t="s">
        <v>14</v>
      </c>
      <c r="N32" s="44">
        <f t="shared" ref="N32:W32" si="14">SUMIF($C$3:$C$29,"N",N3:N29)</f>
        <v>0</v>
      </c>
      <c r="O32" s="44">
        <f t="shared" si="14"/>
        <v>0</v>
      </c>
      <c r="P32" s="44">
        <f t="shared" si="14"/>
        <v>0</v>
      </c>
      <c r="Q32" s="44">
        <f t="shared" si="14"/>
        <v>0</v>
      </c>
      <c r="R32" s="44">
        <f t="shared" si="14"/>
        <v>37678832</v>
      </c>
      <c r="S32" s="44">
        <f t="shared" si="14"/>
        <v>0</v>
      </c>
      <c r="T32" s="44">
        <f t="shared" si="14"/>
        <v>0</v>
      </c>
      <c r="U32" s="44">
        <f t="shared" si="14"/>
        <v>0</v>
      </c>
      <c r="V32" s="44">
        <f t="shared" si="14"/>
        <v>0</v>
      </c>
      <c r="W32" s="44">
        <f t="shared" si="14"/>
        <v>0</v>
      </c>
      <c r="X32" s="174" t="b">
        <f>K32=SUM(N32:W32)</f>
        <v>1</v>
      </c>
      <c r="Y32" s="178">
        <f>ROUND(K32/J32,4)</f>
        <v>0.5272</v>
      </c>
      <c r="Z32" s="179" t="s">
        <v>14</v>
      </c>
      <c r="AA32" s="179" t="b">
        <f>J32=K32+L32</f>
        <v>1</v>
      </c>
    </row>
    <row r="33" spans="1:27" ht="15" customHeight="1" x14ac:dyDescent="0.25">
      <c r="A33" s="321" t="s">
        <v>41</v>
      </c>
      <c r="B33" s="322"/>
      <c r="C33" s="322"/>
      <c r="D33" s="322"/>
      <c r="E33" s="322"/>
      <c r="F33" s="322"/>
      <c r="G33" s="323"/>
      <c r="H33" s="280">
        <f>SUMIF($C$3:$C$29,"W",H3:H29)</f>
        <v>26.661550000000002</v>
      </c>
      <c r="I33" s="281" t="s">
        <v>14</v>
      </c>
      <c r="J33" s="45">
        <f>SUMIF($C$3:$C$29,"W",J3:J29)</f>
        <v>84820260.5</v>
      </c>
      <c r="K33" s="45">
        <f>SUMIF($C$3:$C$29,"W",K3:K29)</f>
        <v>47955887.350000001</v>
      </c>
      <c r="L33" s="45">
        <f>SUMIF($C$3:$C$29,"W",L3:L29)</f>
        <v>36864373.150000006</v>
      </c>
      <c r="M33" s="282" t="s">
        <v>14</v>
      </c>
      <c r="N33" s="45">
        <f t="shared" ref="N33:W33" si="15">SUMIF($C$3:$C$29,"W",N3:N29)</f>
        <v>0</v>
      </c>
      <c r="O33" s="45">
        <f t="shared" si="15"/>
        <v>0</v>
      </c>
      <c r="P33" s="45">
        <f t="shared" si="15"/>
        <v>0</v>
      </c>
      <c r="Q33" s="45">
        <f t="shared" si="15"/>
        <v>0</v>
      </c>
      <c r="R33" s="45">
        <f t="shared" si="15"/>
        <v>23227622.350000001</v>
      </c>
      <c r="S33" s="45">
        <f t="shared" si="15"/>
        <v>22740613</v>
      </c>
      <c r="T33" s="45">
        <f t="shared" si="15"/>
        <v>1987652</v>
      </c>
      <c r="U33" s="45">
        <f t="shared" si="15"/>
        <v>0</v>
      </c>
      <c r="V33" s="45">
        <f t="shared" si="15"/>
        <v>0</v>
      </c>
      <c r="W33" s="45">
        <f t="shared" si="15"/>
        <v>0</v>
      </c>
      <c r="X33" s="174" t="b">
        <f>K33=SUM(N33:W33)</f>
        <v>1</v>
      </c>
      <c r="Y33" s="178">
        <f>ROUND(K33/J33,4)</f>
        <v>0.56540000000000001</v>
      </c>
      <c r="Z33" s="179" t="s">
        <v>14</v>
      </c>
      <c r="AA33" s="179" t="b">
        <f>J33=K33+L33</f>
        <v>1</v>
      </c>
    </row>
    <row r="34" spans="1:27" x14ac:dyDescent="0.25">
      <c r="A34" s="232"/>
      <c r="B34" s="232"/>
      <c r="C34" s="232"/>
      <c r="D34" s="232"/>
      <c r="E34" s="232"/>
      <c r="F34" s="232"/>
      <c r="G34" s="232"/>
      <c r="H34" s="283"/>
      <c r="I34" s="284"/>
      <c r="J34" s="233"/>
      <c r="K34" s="233"/>
      <c r="L34" s="233"/>
      <c r="M34" s="285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174"/>
      <c r="Y34" s="178"/>
      <c r="Z34" s="179"/>
      <c r="AA34" s="179"/>
    </row>
    <row r="35" spans="1:27" ht="30.75" customHeight="1" x14ac:dyDescent="0.25">
      <c r="A35" s="286"/>
      <c r="B35" s="287"/>
      <c r="C35" s="287"/>
      <c r="D35" s="287"/>
      <c r="E35" s="287"/>
      <c r="F35" s="286"/>
      <c r="G35" s="287"/>
      <c r="M35" s="289"/>
      <c r="R35" s="290"/>
    </row>
    <row r="36" spans="1:27" ht="30.75" customHeight="1" x14ac:dyDescent="0.25">
      <c r="A36" s="31" t="s">
        <v>25</v>
      </c>
      <c r="B36" s="168"/>
      <c r="C36" s="168"/>
      <c r="D36" s="168"/>
      <c r="E36" s="168"/>
      <c r="F36" s="31"/>
      <c r="G36" s="168"/>
      <c r="H36" s="34"/>
      <c r="I36" s="291"/>
      <c r="K36" s="34"/>
      <c r="L36" s="34"/>
      <c r="N36" s="34"/>
      <c r="W36" s="34"/>
      <c r="X36" s="174"/>
      <c r="AA36" s="179"/>
    </row>
    <row r="37" spans="1:27" ht="30.75" customHeight="1" x14ac:dyDescent="0.25">
      <c r="A37" s="32" t="s">
        <v>26</v>
      </c>
      <c r="B37" s="169"/>
      <c r="C37" s="169"/>
      <c r="D37" s="169"/>
      <c r="E37" s="169"/>
      <c r="F37" s="32"/>
      <c r="G37" s="169"/>
      <c r="H37" s="34"/>
      <c r="I37" s="291"/>
      <c r="J37" s="29"/>
      <c r="K37" s="34"/>
      <c r="L37" s="34"/>
      <c r="N37" s="34"/>
      <c r="W37" s="34"/>
      <c r="X37" s="174"/>
    </row>
    <row r="38" spans="1:27" x14ac:dyDescent="0.25">
      <c r="A38" s="31" t="s">
        <v>44</v>
      </c>
      <c r="B38" s="287"/>
      <c r="C38" s="287"/>
      <c r="D38" s="287"/>
      <c r="E38" s="287"/>
      <c r="F38" s="286"/>
      <c r="G38" s="287"/>
      <c r="J38" s="28"/>
    </row>
    <row r="39" spans="1:27" x14ac:dyDescent="0.25">
      <c r="A39" s="292" t="s">
        <v>29</v>
      </c>
      <c r="B39" s="293"/>
      <c r="C39" s="293"/>
      <c r="D39" s="293"/>
      <c r="E39" s="293"/>
      <c r="F39" s="292"/>
      <c r="G39" s="293"/>
      <c r="J39" s="28"/>
    </row>
    <row r="41" spans="1:27" hidden="1" x14ac:dyDescent="0.25"/>
    <row r="42" spans="1:27" hidden="1" x14ac:dyDescent="0.25">
      <c r="Q42" s="4" t="s">
        <v>53</v>
      </c>
      <c r="S42" s="290" t="s">
        <v>54</v>
      </c>
    </row>
    <row r="43" spans="1:27" hidden="1" x14ac:dyDescent="0.25">
      <c r="O43" s="290"/>
      <c r="P43" s="290">
        <v>164225168.96000001</v>
      </c>
      <c r="Q43" s="290">
        <v>82112584.480000004</v>
      </c>
      <c r="R43" s="290"/>
      <c r="S43" s="290">
        <v>61584438.359999999</v>
      </c>
    </row>
    <row r="44" spans="1:27" hidden="1" x14ac:dyDescent="0.25">
      <c r="P44" s="290">
        <v>66585127.649999999</v>
      </c>
      <c r="Q44" s="290">
        <v>33292563.824999999</v>
      </c>
      <c r="R44" s="290"/>
      <c r="S44" s="290"/>
    </row>
    <row r="45" spans="1:27" hidden="1" x14ac:dyDescent="0.25">
      <c r="P45" s="290"/>
      <c r="Q45" s="290"/>
      <c r="R45" s="290"/>
      <c r="S45" s="290"/>
    </row>
    <row r="46" spans="1:27" hidden="1" x14ac:dyDescent="0.25"/>
    <row r="47" spans="1:27" hidden="1" x14ac:dyDescent="0.25"/>
    <row r="48" spans="1:27" hidden="1" x14ac:dyDescent="0.25">
      <c r="P48" s="204"/>
      <c r="Q48" s="291"/>
      <c r="R48" s="291"/>
      <c r="S48" s="204"/>
    </row>
    <row r="49" spans="8:19" hidden="1" x14ac:dyDescent="0.25">
      <c r="P49" s="4" t="s">
        <v>55</v>
      </c>
      <c r="R49" s="186"/>
      <c r="S49" s="184"/>
    </row>
    <row r="50" spans="8:19" hidden="1" x14ac:dyDescent="0.25">
      <c r="P50" s="290">
        <v>215066.51999999583</v>
      </c>
      <c r="R50" s="291"/>
      <c r="S50" s="204"/>
    </row>
    <row r="51" spans="8:19" hidden="1" x14ac:dyDescent="0.25"/>
    <row r="52" spans="8:19" hidden="1" x14ac:dyDescent="0.25"/>
    <row r="53" spans="8:19" hidden="1" x14ac:dyDescent="0.25">
      <c r="P53" s="4" t="s">
        <v>56</v>
      </c>
    </row>
    <row r="54" spans="8:19" hidden="1" x14ac:dyDescent="0.25">
      <c r="P54" s="4">
        <v>2738400</v>
      </c>
    </row>
    <row r="55" spans="8:19" hidden="1" x14ac:dyDescent="0.25"/>
    <row r="56" spans="8:19" hidden="1" x14ac:dyDescent="0.25"/>
    <row r="59" spans="8:19" x14ac:dyDescent="0.25">
      <c r="H59" s="4">
        <v>0.5</v>
      </c>
      <c r="I59" s="294">
        <v>80583425.859999999</v>
      </c>
    </row>
    <row r="60" spans="8:19" x14ac:dyDescent="0.25">
      <c r="I60" s="294"/>
    </row>
  </sheetData>
  <autoFilter ref="A2:AB33"/>
  <mergeCells count="18">
    <mergeCell ref="M1:M2"/>
    <mergeCell ref="N1:W1"/>
    <mergeCell ref="H1:H2"/>
    <mergeCell ref="I1:I2"/>
    <mergeCell ref="J1:J2"/>
    <mergeCell ref="K1:K2"/>
    <mergeCell ref="A33:G33"/>
    <mergeCell ref="A32:G32"/>
    <mergeCell ref="A31:G31"/>
    <mergeCell ref="A30:G30"/>
    <mergeCell ref="L1:L2"/>
    <mergeCell ref="D1:D2"/>
    <mergeCell ref="E1:E2"/>
    <mergeCell ref="A1:A2"/>
    <mergeCell ref="B1:B2"/>
    <mergeCell ref="C1:C2"/>
    <mergeCell ref="F1:F2"/>
    <mergeCell ref="G1:G2"/>
  </mergeCells>
  <conditionalFormatting sqref="X3:AA31">
    <cfRule type="cellIs" dxfId="38" priority="19" operator="equal">
      <formula>FALSE</formula>
    </cfRule>
  </conditionalFormatting>
  <conditionalFormatting sqref="X3:Z31">
    <cfRule type="containsText" dxfId="37" priority="17" operator="containsText" text="fałsz">
      <formula>NOT(ISERROR(SEARCH("fałsz",X3)))</formula>
    </cfRule>
  </conditionalFormatting>
  <conditionalFormatting sqref="AA36">
    <cfRule type="cellIs" dxfId="36" priority="16" operator="equal">
      <formula>FALSE</formula>
    </cfRule>
  </conditionalFormatting>
  <conditionalFormatting sqref="AA36">
    <cfRule type="cellIs" dxfId="35" priority="15" operator="equal">
      <formula>FALSE</formula>
    </cfRule>
  </conditionalFormatting>
  <conditionalFormatting sqref="Y33:Z34">
    <cfRule type="cellIs" dxfId="34" priority="14" operator="equal">
      <formula>FALSE</formula>
    </cfRule>
  </conditionalFormatting>
  <conditionalFormatting sqref="X33:X34">
    <cfRule type="cellIs" dxfId="33" priority="13" operator="equal">
      <formula>FALSE</formula>
    </cfRule>
  </conditionalFormatting>
  <conditionalFormatting sqref="X33:Z34">
    <cfRule type="containsText" dxfId="32" priority="12" operator="containsText" text="fałsz">
      <formula>NOT(ISERROR(SEARCH("fałsz",X33)))</formula>
    </cfRule>
  </conditionalFormatting>
  <conditionalFormatting sqref="AA33:AA34">
    <cfRule type="cellIs" dxfId="31" priority="11" operator="equal">
      <formula>FALSE</formula>
    </cfRule>
  </conditionalFormatting>
  <conditionalFormatting sqref="AA33:AA34">
    <cfRule type="cellIs" dxfId="30" priority="10" operator="equal">
      <formula>FALSE</formula>
    </cfRule>
  </conditionalFormatting>
  <conditionalFormatting sqref="Y32:Z32">
    <cfRule type="cellIs" dxfId="29" priority="9" operator="equal">
      <formula>FALSE</formula>
    </cfRule>
  </conditionalFormatting>
  <conditionalFormatting sqref="X32">
    <cfRule type="cellIs" dxfId="28" priority="8" operator="equal">
      <formula>FALSE</formula>
    </cfRule>
  </conditionalFormatting>
  <conditionalFormatting sqref="X32:Z32">
    <cfRule type="containsText" dxfId="27" priority="7" operator="containsText" text="fałsz">
      <formula>NOT(ISERROR(SEARCH("fałsz",X32)))</formula>
    </cfRule>
  </conditionalFormatting>
  <conditionalFormatting sqref="AA32">
    <cfRule type="cellIs" dxfId="26" priority="6" operator="equal">
      <formula>FALSE</formula>
    </cfRule>
  </conditionalFormatting>
  <conditionalFormatting sqref="AA32">
    <cfRule type="cellIs" dxfId="25" priority="5" operator="equal">
      <formula>FALSE</formula>
    </cfRule>
  </conditionalFormatting>
  <dataValidations count="3">
    <dataValidation type="list" allowBlank="1" showInputMessage="1" showErrorMessage="1" sqref="C3:C25 C29">
      <formula1>"N,K,W"</formula1>
    </dataValidation>
    <dataValidation type="list" allowBlank="1" showInputMessage="1" showErrorMessage="1" sqref="G3:G29">
      <formula1>"B,P,R"</formula1>
    </dataValidation>
    <dataValidation type="list" allowBlank="1" showInputMessage="1" showErrorMessage="1" sqref="C26:C28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Width="0" fitToHeight="0" orientation="landscape" r:id="rId1"/>
  <headerFooter>
    <oddHeader>&amp;LWojewództwo&amp;K000000 Podkarpackie&amp;K01+000 - zadania powiatowe lista podstawowa</oddHeader>
    <oddFooter>Strona &amp;P z &amp;N</oddFooter>
  </headerFooter>
  <ignoredErrors>
    <ignoredError sqref="B5 B20 B24:B25" twoDigitTextYear="1"/>
    <ignoredError sqref="N30:W3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showGridLines="0" view="pageBreakPreview" topLeftCell="A73" zoomScale="90" zoomScaleNormal="70" zoomScaleSheetLayoutView="90" zoomScalePageLayoutView="85" workbookViewId="0">
      <selection activeCell="G19" sqref="G19"/>
    </sheetView>
  </sheetViews>
  <sheetFormatPr defaultRowHeight="15" x14ac:dyDescent="0.25"/>
  <cols>
    <col min="1" max="1" width="15.7109375" style="242" customWidth="1"/>
    <col min="2" max="6" width="15.7109375" style="288" customWidth="1"/>
    <col min="7" max="7" width="57" style="4" customWidth="1"/>
    <col min="8" max="8" width="15.7109375" style="288" customWidth="1"/>
    <col min="9" max="9" width="15.7109375" style="4" customWidth="1"/>
    <col min="10" max="10" width="15.7109375" style="288" customWidth="1"/>
    <col min="11" max="11" width="15.7109375" style="4" customWidth="1"/>
    <col min="12" max="12" width="16.85546875" style="4" customWidth="1"/>
    <col min="13" max="13" width="15.7109375" style="4" customWidth="1"/>
    <col min="14" max="14" width="15.7109375" style="291" customWidth="1"/>
    <col min="15" max="24" width="15.7109375" style="4" customWidth="1"/>
    <col min="25" max="27" width="15.7109375" style="180" customWidth="1"/>
    <col min="28" max="28" width="15.7109375" style="176" customWidth="1"/>
    <col min="29" max="29" width="11.42578125" style="182" bestFit="1" customWidth="1"/>
    <col min="30" max="16384" width="9.140625" style="3"/>
  </cols>
  <sheetData>
    <row r="1" spans="1:29" x14ac:dyDescent="0.25">
      <c r="A1" s="338" t="s">
        <v>4</v>
      </c>
      <c r="B1" s="329" t="s">
        <v>5</v>
      </c>
      <c r="C1" s="330" t="s">
        <v>45</v>
      </c>
      <c r="D1" s="327" t="s">
        <v>6</v>
      </c>
      <c r="E1" s="329" t="s">
        <v>34</v>
      </c>
      <c r="F1" s="327" t="s">
        <v>15</v>
      </c>
      <c r="G1" s="329" t="s">
        <v>7</v>
      </c>
      <c r="H1" s="329" t="s">
        <v>27</v>
      </c>
      <c r="I1" s="329" t="s">
        <v>8</v>
      </c>
      <c r="J1" s="329" t="s">
        <v>28</v>
      </c>
      <c r="K1" s="329" t="s">
        <v>9</v>
      </c>
      <c r="L1" s="329" t="s">
        <v>17</v>
      </c>
      <c r="M1" s="327" t="s">
        <v>13</v>
      </c>
      <c r="N1" s="329" t="s">
        <v>11</v>
      </c>
      <c r="O1" s="329" t="s">
        <v>12</v>
      </c>
      <c r="P1" s="329"/>
      <c r="Q1" s="329"/>
      <c r="R1" s="329"/>
      <c r="S1" s="329"/>
      <c r="T1" s="329"/>
      <c r="U1" s="329"/>
      <c r="V1" s="329"/>
      <c r="W1" s="329"/>
      <c r="X1" s="329"/>
    </row>
    <row r="2" spans="1:29" ht="47.25" customHeight="1" x14ac:dyDescent="0.25">
      <c r="A2" s="338"/>
      <c r="B2" s="329"/>
      <c r="C2" s="331"/>
      <c r="D2" s="328"/>
      <c r="E2" s="329"/>
      <c r="F2" s="328"/>
      <c r="G2" s="329"/>
      <c r="H2" s="329"/>
      <c r="I2" s="329"/>
      <c r="J2" s="329"/>
      <c r="K2" s="329"/>
      <c r="L2" s="329"/>
      <c r="M2" s="328"/>
      <c r="N2" s="329"/>
      <c r="O2" s="260">
        <v>2019</v>
      </c>
      <c r="P2" s="260">
        <v>2020</v>
      </c>
      <c r="Q2" s="260">
        <v>2021</v>
      </c>
      <c r="R2" s="260">
        <v>2022</v>
      </c>
      <c r="S2" s="260">
        <v>2023</v>
      </c>
      <c r="T2" s="260">
        <v>2024</v>
      </c>
      <c r="U2" s="260">
        <v>2025</v>
      </c>
      <c r="V2" s="260">
        <v>2026</v>
      </c>
      <c r="W2" s="260">
        <v>2027</v>
      </c>
      <c r="X2" s="260">
        <v>2028</v>
      </c>
      <c r="Y2" s="174" t="s">
        <v>30</v>
      </c>
      <c r="Z2" s="174" t="s">
        <v>31</v>
      </c>
      <c r="AA2" s="174" t="s">
        <v>32</v>
      </c>
      <c r="AB2" s="177" t="s">
        <v>33</v>
      </c>
    </row>
    <row r="3" spans="1:29" s="155" customFormat="1" ht="24" x14ac:dyDescent="0.25">
      <c r="A3" s="228">
        <v>1</v>
      </c>
      <c r="B3" s="158" t="s">
        <v>64</v>
      </c>
      <c r="C3" s="159" t="s">
        <v>65</v>
      </c>
      <c r="D3" s="160" t="s">
        <v>66</v>
      </c>
      <c r="E3" s="160" t="s">
        <v>67</v>
      </c>
      <c r="F3" s="158" t="s">
        <v>49</v>
      </c>
      <c r="G3" s="153" t="s">
        <v>68</v>
      </c>
      <c r="H3" s="158" t="s">
        <v>69</v>
      </c>
      <c r="I3" s="154">
        <v>2.9186100000000001</v>
      </c>
      <c r="J3" s="161" t="s">
        <v>284</v>
      </c>
      <c r="K3" s="156">
        <v>14249381.32</v>
      </c>
      <c r="L3" s="157">
        <v>8549628</v>
      </c>
      <c r="M3" s="163">
        <v>5699753.3200000003</v>
      </c>
      <c r="N3" s="162">
        <v>0.6</v>
      </c>
      <c r="O3" s="157">
        <v>0</v>
      </c>
      <c r="P3" s="157">
        <v>2567417</v>
      </c>
      <c r="Q3" s="156">
        <v>2696400</v>
      </c>
      <c r="R3" s="156">
        <v>3285811</v>
      </c>
      <c r="S3" s="156">
        <v>0</v>
      </c>
      <c r="T3" s="156">
        <v>0</v>
      </c>
      <c r="U3" s="156">
        <v>0</v>
      </c>
      <c r="V3" s="156">
        <v>0</v>
      </c>
      <c r="W3" s="156">
        <v>0</v>
      </c>
      <c r="X3" s="156">
        <v>0</v>
      </c>
      <c r="Y3" s="229" t="b">
        <f t="shared" ref="Y3" si="0">L3=SUM(O3:X3)</f>
        <v>1</v>
      </c>
      <c r="Z3" s="230">
        <f t="shared" ref="Z3" si="1">ROUND(L3/K3,4)</f>
        <v>0.6</v>
      </c>
      <c r="AA3" s="231" t="b">
        <f t="shared" ref="AA3" si="2">Z3=N3</f>
        <v>1</v>
      </c>
      <c r="AB3" s="231" t="b">
        <f t="shared" ref="AB3" si="3">K3=L3+M3</f>
        <v>1</v>
      </c>
      <c r="AC3" s="210"/>
    </row>
    <row r="4" spans="1:29" s="155" customFormat="1" ht="24" x14ac:dyDescent="0.25">
      <c r="A4" s="228">
        <v>2</v>
      </c>
      <c r="B4" s="158" t="s">
        <v>70</v>
      </c>
      <c r="C4" s="159" t="s">
        <v>65</v>
      </c>
      <c r="D4" s="160" t="s">
        <v>71</v>
      </c>
      <c r="E4" s="160" t="s">
        <v>72</v>
      </c>
      <c r="F4" s="158" t="s">
        <v>50</v>
      </c>
      <c r="G4" s="153" t="s">
        <v>73</v>
      </c>
      <c r="H4" s="158" t="s">
        <v>69</v>
      </c>
      <c r="I4" s="154">
        <v>2.6</v>
      </c>
      <c r="J4" s="161" t="s">
        <v>285</v>
      </c>
      <c r="K4" s="156">
        <v>6048803.3399999999</v>
      </c>
      <c r="L4" s="157">
        <v>4234162</v>
      </c>
      <c r="M4" s="163">
        <v>1814641.3399999999</v>
      </c>
      <c r="N4" s="162">
        <v>0.7</v>
      </c>
      <c r="O4" s="157">
        <v>0</v>
      </c>
      <c r="P4" s="157">
        <v>0</v>
      </c>
      <c r="Q4" s="156">
        <v>0</v>
      </c>
      <c r="R4" s="156">
        <v>2263450</v>
      </c>
      <c r="S4" s="156">
        <v>1970712</v>
      </c>
      <c r="T4" s="156">
        <v>0</v>
      </c>
      <c r="U4" s="156">
        <v>0</v>
      </c>
      <c r="V4" s="156">
        <v>0</v>
      </c>
      <c r="W4" s="156">
        <v>0</v>
      </c>
      <c r="X4" s="156">
        <v>0</v>
      </c>
      <c r="Y4" s="229" t="b">
        <f t="shared" ref="Y4:Y81" si="4">L4=SUM(O4:X4)</f>
        <v>1</v>
      </c>
      <c r="Z4" s="230">
        <f t="shared" ref="Z4:Z81" si="5">ROUND(L4/K4,4)</f>
        <v>0.7</v>
      </c>
      <c r="AA4" s="231" t="b">
        <f t="shared" ref="AA4:AA68" si="6">Z4=N4</f>
        <v>1</v>
      </c>
      <c r="AB4" s="231" t="b">
        <f t="shared" ref="AB4:AB81" si="7">K4=L4+M4</f>
        <v>1</v>
      </c>
      <c r="AC4" s="210"/>
    </row>
    <row r="5" spans="1:29" s="155" customFormat="1" ht="24" x14ac:dyDescent="0.25">
      <c r="A5" s="228">
        <v>3</v>
      </c>
      <c r="B5" s="158" t="s">
        <v>74</v>
      </c>
      <c r="C5" s="159" t="s">
        <v>65</v>
      </c>
      <c r="D5" s="160" t="s">
        <v>75</v>
      </c>
      <c r="E5" s="160" t="s">
        <v>76</v>
      </c>
      <c r="F5" s="158" t="s">
        <v>51</v>
      </c>
      <c r="G5" s="153" t="s">
        <v>77</v>
      </c>
      <c r="H5" s="158" t="s">
        <v>69</v>
      </c>
      <c r="I5" s="154">
        <v>0.74148999999999998</v>
      </c>
      <c r="J5" s="161" t="s">
        <v>286</v>
      </c>
      <c r="K5" s="156">
        <v>6658439.4500000002</v>
      </c>
      <c r="L5" s="157">
        <v>3995063</v>
      </c>
      <c r="M5" s="163">
        <v>2663376.4500000002</v>
      </c>
      <c r="N5" s="162">
        <v>0.6</v>
      </c>
      <c r="O5" s="157">
        <v>0</v>
      </c>
      <c r="P5" s="157">
        <v>0</v>
      </c>
      <c r="Q5" s="156">
        <v>0</v>
      </c>
      <c r="R5" s="156">
        <v>3995063</v>
      </c>
      <c r="S5" s="156">
        <v>0</v>
      </c>
      <c r="T5" s="156">
        <v>0</v>
      </c>
      <c r="U5" s="156">
        <v>0</v>
      </c>
      <c r="V5" s="156">
        <v>0</v>
      </c>
      <c r="W5" s="156">
        <v>0</v>
      </c>
      <c r="X5" s="156">
        <v>0</v>
      </c>
      <c r="Y5" s="229" t="b">
        <f t="shared" si="4"/>
        <v>1</v>
      </c>
      <c r="Z5" s="230">
        <f t="shared" si="5"/>
        <v>0.6</v>
      </c>
      <c r="AA5" s="231" t="b">
        <f t="shared" si="6"/>
        <v>1</v>
      </c>
      <c r="AB5" s="231" t="b">
        <f t="shared" si="7"/>
        <v>1</v>
      </c>
      <c r="AC5" s="210"/>
    </row>
    <row r="6" spans="1:29" s="155" customFormat="1" ht="24" x14ac:dyDescent="0.25">
      <c r="A6" s="228">
        <v>4</v>
      </c>
      <c r="B6" s="158" t="s">
        <v>78</v>
      </c>
      <c r="C6" s="159" t="s">
        <v>65</v>
      </c>
      <c r="D6" s="160" t="s">
        <v>79</v>
      </c>
      <c r="E6" s="160">
        <v>1818011</v>
      </c>
      <c r="F6" s="158" t="s">
        <v>80</v>
      </c>
      <c r="G6" s="153" t="s">
        <v>81</v>
      </c>
      <c r="H6" s="158" t="s">
        <v>82</v>
      </c>
      <c r="I6" s="154">
        <v>1.659</v>
      </c>
      <c r="J6" s="161" t="s">
        <v>287</v>
      </c>
      <c r="K6" s="156">
        <v>14358405</v>
      </c>
      <c r="L6" s="157">
        <v>11486724</v>
      </c>
      <c r="M6" s="163">
        <v>2871681</v>
      </c>
      <c r="N6" s="162">
        <v>0.8</v>
      </c>
      <c r="O6" s="157">
        <v>0</v>
      </c>
      <c r="P6" s="157">
        <v>0</v>
      </c>
      <c r="Q6" s="156">
        <v>0</v>
      </c>
      <c r="R6" s="156">
        <v>5634698</v>
      </c>
      <c r="S6" s="156">
        <v>5852026</v>
      </c>
      <c r="T6" s="156">
        <v>0</v>
      </c>
      <c r="U6" s="156">
        <v>0</v>
      </c>
      <c r="V6" s="156">
        <v>0</v>
      </c>
      <c r="W6" s="156">
        <v>0</v>
      </c>
      <c r="X6" s="156">
        <v>0</v>
      </c>
      <c r="Y6" s="229" t="b">
        <f t="shared" si="4"/>
        <v>1</v>
      </c>
      <c r="Z6" s="230">
        <f t="shared" si="5"/>
        <v>0.8</v>
      </c>
      <c r="AA6" s="231" t="b">
        <f t="shared" si="6"/>
        <v>1</v>
      </c>
      <c r="AB6" s="231" t="b">
        <f t="shared" si="7"/>
        <v>1</v>
      </c>
      <c r="AC6" s="210"/>
    </row>
    <row r="7" spans="1:29" s="155" customFormat="1" ht="24" x14ac:dyDescent="0.25">
      <c r="A7" s="228">
        <v>5</v>
      </c>
      <c r="B7" s="158" t="s">
        <v>83</v>
      </c>
      <c r="C7" s="159" t="s">
        <v>65</v>
      </c>
      <c r="D7" s="160" t="s">
        <v>79</v>
      </c>
      <c r="E7" s="160">
        <v>1818011</v>
      </c>
      <c r="F7" s="158" t="s">
        <v>80</v>
      </c>
      <c r="G7" s="153" t="s">
        <v>84</v>
      </c>
      <c r="H7" s="158" t="s">
        <v>82</v>
      </c>
      <c r="I7" s="154">
        <v>0.53649999999999998</v>
      </c>
      <c r="J7" s="161" t="s">
        <v>288</v>
      </c>
      <c r="K7" s="156">
        <v>7255832.0899999999</v>
      </c>
      <c r="L7" s="157">
        <v>5804665</v>
      </c>
      <c r="M7" s="163">
        <v>1451167.0899999999</v>
      </c>
      <c r="N7" s="162">
        <v>0.8</v>
      </c>
      <c r="O7" s="157">
        <v>0</v>
      </c>
      <c r="P7" s="157">
        <v>0</v>
      </c>
      <c r="Q7" s="156">
        <v>804665</v>
      </c>
      <c r="R7" s="156">
        <v>3000000</v>
      </c>
      <c r="S7" s="156">
        <v>2000000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229" t="b">
        <f t="shared" si="4"/>
        <v>1</v>
      </c>
      <c r="Z7" s="230">
        <f t="shared" si="5"/>
        <v>0.8</v>
      </c>
      <c r="AA7" s="231" t="b">
        <f t="shared" si="6"/>
        <v>1</v>
      </c>
      <c r="AB7" s="231" t="b">
        <f t="shared" si="7"/>
        <v>1</v>
      </c>
      <c r="AC7" s="210"/>
    </row>
    <row r="8" spans="1:29" s="183" customFormat="1" ht="24" x14ac:dyDescent="0.25">
      <c r="A8" s="228">
        <v>6</v>
      </c>
      <c r="B8" s="158" t="s">
        <v>85</v>
      </c>
      <c r="C8" s="159" t="s">
        <v>65</v>
      </c>
      <c r="D8" s="160" t="s">
        <v>86</v>
      </c>
      <c r="E8" s="160">
        <v>1820043</v>
      </c>
      <c r="F8" s="158" t="s">
        <v>87</v>
      </c>
      <c r="G8" s="153" t="s">
        <v>88</v>
      </c>
      <c r="H8" s="158" t="s">
        <v>69</v>
      </c>
      <c r="I8" s="171">
        <v>1.5820000000000001</v>
      </c>
      <c r="J8" s="161" t="s">
        <v>289</v>
      </c>
      <c r="K8" s="156">
        <v>5188482.1900000004</v>
      </c>
      <c r="L8" s="157">
        <v>2594241</v>
      </c>
      <c r="M8" s="163">
        <v>2594241.1900000004</v>
      </c>
      <c r="N8" s="162">
        <v>0.5</v>
      </c>
      <c r="O8" s="157">
        <v>0</v>
      </c>
      <c r="P8" s="157">
        <v>0</v>
      </c>
      <c r="Q8" s="156">
        <v>0</v>
      </c>
      <c r="R8" s="156">
        <v>2594241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229" t="b">
        <f t="shared" si="4"/>
        <v>1</v>
      </c>
      <c r="Z8" s="230">
        <f t="shared" si="5"/>
        <v>0.5</v>
      </c>
      <c r="AA8" s="231" t="b">
        <f t="shared" si="6"/>
        <v>1</v>
      </c>
      <c r="AB8" s="231" t="b">
        <f t="shared" si="7"/>
        <v>1</v>
      </c>
      <c r="AC8" s="209"/>
    </row>
    <row r="9" spans="1:29" s="155" customFormat="1" ht="24" x14ac:dyDescent="0.25">
      <c r="A9" s="228">
        <v>7</v>
      </c>
      <c r="B9" s="158" t="s">
        <v>89</v>
      </c>
      <c r="C9" s="159" t="s">
        <v>65</v>
      </c>
      <c r="D9" s="160" t="s">
        <v>90</v>
      </c>
      <c r="E9" s="160">
        <v>1815043</v>
      </c>
      <c r="F9" s="158" t="s">
        <v>91</v>
      </c>
      <c r="G9" s="153" t="s">
        <v>92</v>
      </c>
      <c r="H9" s="158" t="s">
        <v>69</v>
      </c>
      <c r="I9" s="154">
        <v>1.2815000000000001</v>
      </c>
      <c r="J9" s="161" t="s">
        <v>290</v>
      </c>
      <c r="K9" s="156">
        <v>3804667.11</v>
      </c>
      <c r="L9" s="157">
        <v>2426948</v>
      </c>
      <c r="M9" s="163">
        <v>1377719.1099999999</v>
      </c>
      <c r="N9" s="162">
        <v>0.7</v>
      </c>
      <c r="O9" s="157">
        <v>0</v>
      </c>
      <c r="P9" s="157">
        <v>0</v>
      </c>
      <c r="Q9" s="156">
        <v>0</v>
      </c>
      <c r="R9" s="156">
        <v>2426948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229" t="b">
        <f t="shared" si="4"/>
        <v>1</v>
      </c>
      <c r="Z9" s="230">
        <f t="shared" si="5"/>
        <v>0.63790000000000002</v>
      </c>
      <c r="AA9" s="231" t="b">
        <f>Z9=N9</f>
        <v>0</v>
      </c>
      <c r="AB9" s="231" t="b">
        <f t="shared" si="7"/>
        <v>1</v>
      </c>
      <c r="AC9" s="210"/>
    </row>
    <row r="10" spans="1:29" s="155" customFormat="1" ht="60" x14ac:dyDescent="0.25">
      <c r="A10" s="228">
        <v>8</v>
      </c>
      <c r="B10" s="158" t="s">
        <v>93</v>
      </c>
      <c r="C10" s="159" t="s">
        <v>65</v>
      </c>
      <c r="D10" s="160" t="s">
        <v>94</v>
      </c>
      <c r="E10" s="160">
        <v>1814053</v>
      </c>
      <c r="F10" s="158" t="s">
        <v>95</v>
      </c>
      <c r="G10" s="153" t="s">
        <v>96</v>
      </c>
      <c r="H10" s="158" t="s">
        <v>69</v>
      </c>
      <c r="I10" s="154">
        <v>1.72</v>
      </c>
      <c r="J10" s="161" t="s">
        <v>291</v>
      </c>
      <c r="K10" s="156">
        <v>4440220.9800000004</v>
      </c>
      <c r="L10" s="157">
        <v>2664132</v>
      </c>
      <c r="M10" s="163">
        <v>1776088.9800000004</v>
      </c>
      <c r="N10" s="162">
        <v>0.6</v>
      </c>
      <c r="O10" s="157">
        <v>0</v>
      </c>
      <c r="P10" s="157">
        <v>0</v>
      </c>
      <c r="Q10" s="156">
        <v>0</v>
      </c>
      <c r="R10" s="156">
        <v>1433190</v>
      </c>
      <c r="S10" s="156">
        <v>1230942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229" t="b">
        <f t="shared" si="4"/>
        <v>1</v>
      </c>
      <c r="Z10" s="230">
        <f t="shared" si="5"/>
        <v>0.6</v>
      </c>
      <c r="AA10" s="231" t="b">
        <f t="shared" si="6"/>
        <v>1</v>
      </c>
      <c r="AB10" s="231" t="b">
        <f t="shared" si="7"/>
        <v>1</v>
      </c>
      <c r="AC10" s="210"/>
    </row>
    <row r="11" spans="1:29" s="155" customFormat="1" ht="24" x14ac:dyDescent="0.25">
      <c r="A11" s="228">
        <v>9</v>
      </c>
      <c r="B11" s="158" t="s">
        <v>97</v>
      </c>
      <c r="C11" s="159" t="s">
        <v>65</v>
      </c>
      <c r="D11" s="160" t="s">
        <v>98</v>
      </c>
      <c r="E11" s="160">
        <v>1803011</v>
      </c>
      <c r="F11" s="158" t="s">
        <v>99</v>
      </c>
      <c r="G11" s="153" t="s">
        <v>100</v>
      </c>
      <c r="H11" s="158" t="s">
        <v>82</v>
      </c>
      <c r="I11" s="154">
        <v>2.0908600000000002</v>
      </c>
      <c r="J11" s="161" t="s">
        <v>292</v>
      </c>
      <c r="K11" s="156">
        <v>12140502.689999999</v>
      </c>
      <c r="L11" s="157">
        <v>6070251</v>
      </c>
      <c r="M11" s="163">
        <v>6070251.6899999995</v>
      </c>
      <c r="N11" s="162">
        <v>0.5</v>
      </c>
      <c r="O11" s="157">
        <v>0</v>
      </c>
      <c r="P11" s="157">
        <v>0</v>
      </c>
      <c r="Q11" s="156">
        <v>2200000</v>
      </c>
      <c r="R11" s="156">
        <v>3293294</v>
      </c>
      <c r="S11" s="156">
        <v>576957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229" t="b">
        <f t="shared" si="4"/>
        <v>1</v>
      </c>
      <c r="Z11" s="230">
        <f t="shared" si="5"/>
        <v>0.5</v>
      </c>
      <c r="AA11" s="231" t="b">
        <f t="shared" si="6"/>
        <v>1</v>
      </c>
      <c r="AB11" s="231" t="b">
        <f t="shared" si="7"/>
        <v>1</v>
      </c>
      <c r="AC11" s="210"/>
    </row>
    <row r="12" spans="1:29" s="155" customFormat="1" ht="24" x14ac:dyDescent="0.25">
      <c r="A12" s="228">
        <v>10</v>
      </c>
      <c r="B12" s="158" t="s">
        <v>101</v>
      </c>
      <c r="C12" s="159" t="s">
        <v>65</v>
      </c>
      <c r="D12" s="160" t="s">
        <v>102</v>
      </c>
      <c r="E12" s="160">
        <v>1808053</v>
      </c>
      <c r="F12" s="158" t="s">
        <v>103</v>
      </c>
      <c r="G12" s="153" t="s">
        <v>104</v>
      </c>
      <c r="H12" s="158" t="s">
        <v>82</v>
      </c>
      <c r="I12" s="154">
        <v>2.2999999999999998</v>
      </c>
      <c r="J12" s="161" t="s">
        <v>293</v>
      </c>
      <c r="K12" s="156">
        <v>3643276.95</v>
      </c>
      <c r="L12" s="157">
        <v>2914621</v>
      </c>
      <c r="M12" s="163">
        <v>728655.95000000019</v>
      </c>
      <c r="N12" s="162">
        <v>0.8</v>
      </c>
      <c r="O12" s="157">
        <v>0</v>
      </c>
      <c r="P12" s="157">
        <v>0</v>
      </c>
      <c r="Q12" s="156">
        <v>1173679</v>
      </c>
      <c r="R12" s="156">
        <v>0</v>
      </c>
      <c r="S12" s="156">
        <v>1740942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229" t="b">
        <f t="shared" si="4"/>
        <v>1</v>
      </c>
      <c r="Z12" s="230">
        <f t="shared" si="5"/>
        <v>0.8</v>
      </c>
      <c r="AA12" s="231" t="b">
        <f t="shared" si="6"/>
        <v>1</v>
      </c>
      <c r="AB12" s="231" t="b">
        <f t="shared" si="7"/>
        <v>1</v>
      </c>
      <c r="AC12" s="210"/>
    </row>
    <row r="13" spans="1:29" s="155" customFormat="1" ht="36" x14ac:dyDescent="0.25">
      <c r="A13" s="228">
        <v>11</v>
      </c>
      <c r="B13" s="158" t="s">
        <v>105</v>
      </c>
      <c r="C13" s="159" t="s">
        <v>65</v>
      </c>
      <c r="D13" s="160" t="s">
        <v>106</v>
      </c>
      <c r="E13" s="160">
        <v>1818042</v>
      </c>
      <c r="F13" s="158" t="s">
        <v>80</v>
      </c>
      <c r="G13" s="153" t="s">
        <v>107</v>
      </c>
      <c r="H13" s="158" t="s">
        <v>82</v>
      </c>
      <c r="I13" s="154">
        <v>4.6580000000000004</v>
      </c>
      <c r="J13" s="161" t="s">
        <v>294</v>
      </c>
      <c r="K13" s="156">
        <v>2205387.9700000002</v>
      </c>
      <c r="L13" s="157">
        <v>1102693</v>
      </c>
      <c r="M13" s="163">
        <v>1102694.9700000002</v>
      </c>
      <c r="N13" s="162">
        <v>0.5</v>
      </c>
      <c r="O13" s="157">
        <v>0</v>
      </c>
      <c r="P13" s="157">
        <v>0</v>
      </c>
      <c r="Q13" s="156">
        <v>500000</v>
      </c>
      <c r="R13" s="156">
        <v>500000</v>
      </c>
      <c r="S13" s="156">
        <v>102693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229" t="b">
        <f t="shared" si="4"/>
        <v>1</v>
      </c>
      <c r="Z13" s="230">
        <f t="shared" si="5"/>
        <v>0.5</v>
      </c>
      <c r="AA13" s="231" t="b">
        <f t="shared" si="6"/>
        <v>1</v>
      </c>
      <c r="AB13" s="231" t="b">
        <f t="shared" si="7"/>
        <v>1</v>
      </c>
      <c r="AC13" s="210"/>
    </row>
    <row r="14" spans="1:29" s="155" customFormat="1" x14ac:dyDescent="0.25">
      <c r="A14" s="228">
        <v>12</v>
      </c>
      <c r="B14" s="158" t="s">
        <v>108</v>
      </c>
      <c r="C14" s="159" t="s">
        <v>65</v>
      </c>
      <c r="D14" s="160" t="s">
        <v>109</v>
      </c>
      <c r="E14" s="160">
        <v>1861011</v>
      </c>
      <c r="F14" s="158" t="s">
        <v>110</v>
      </c>
      <c r="G14" s="153" t="s">
        <v>111</v>
      </c>
      <c r="H14" s="158" t="s">
        <v>69</v>
      </c>
      <c r="I14" s="154">
        <v>0.48805999999999999</v>
      </c>
      <c r="J14" s="161" t="s">
        <v>295</v>
      </c>
      <c r="K14" s="156">
        <v>2294828.4300000002</v>
      </c>
      <c r="L14" s="157">
        <v>833971</v>
      </c>
      <c r="M14" s="163">
        <v>1460857.4300000002</v>
      </c>
      <c r="N14" s="162">
        <v>0.5</v>
      </c>
      <c r="O14" s="157">
        <v>0</v>
      </c>
      <c r="P14" s="157">
        <v>0</v>
      </c>
      <c r="Q14" s="156">
        <v>265041</v>
      </c>
      <c r="R14" s="156">
        <v>243330</v>
      </c>
      <c r="S14" s="156">
        <v>325600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229" t="b">
        <f t="shared" si="4"/>
        <v>1</v>
      </c>
      <c r="Z14" s="230">
        <f t="shared" si="5"/>
        <v>0.3634</v>
      </c>
      <c r="AA14" s="231" t="b">
        <f>Z14=N14</f>
        <v>0</v>
      </c>
      <c r="AB14" s="231" t="b">
        <f t="shared" si="7"/>
        <v>1</v>
      </c>
      <c r="AC14" s="210"/>
    </row>
    <row r="15" spans="1:29" s="155" customFormat="1" ht="84" x14ac:dyDescent="0.25">
      <c r="A15" s="228">
        <v>13</v>
      </c>
      <c r="B15" s="158" t="s">
        <v>112</v>
      </c>
      <c r="C15" s="159" t="s">
        <v>65</v>
      </c>
      <c r="D15" s="160" t="s">
        <v>113</v>
      </c>
      <c r="E15" s="160">
        <v>1816132</v>
      </c>
      <c r="F15" s="158" t="s">
        <v>49</v>
      </c>
      <c r="G15" s="153" t="s">
        <v>114</v>
      </c>
      <c r="H15" s="158" t="s">
        <v>69</v>
      </c>
      <c r="I15" s="154">
        <v>0.66736000000000006</v>
      </c>
      <c r="J15" s="161" t="s">
        <v>296</v>
      </c>
      <c r="K15" s="156">
        <v>8663206.7699999996</v>
      </c>
      <c r="L15" s="157">
        <v>4250000</v>
      </c>
      <c r="M15" s="163">
        <v>4413206.7699999996</v>
      </c>
      <c r="N15" s="162">
        <v>0.5</v>
      </c>
      <c r="O15" s="157">
        <v>0</v>
      </c>
      <c r="P15" s="157">
        <v>0</v>
      </c>
      <c r="Q15" s="156">
        <v>0</v>
      </c>
      <c r="R15" s="156">
        <v>2125000</v>
      </c>
      <c r="S15" s="156">
        <v>2125000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229" t="b">
        <f t="shared" si="4"/>
        <v>1</v>
      </c>
      <c r="Z15" s="230">
        <f t="shared" si="5"/>
        <v>0.49059999999999998</v>
      </c>
      <c r="AA15" s="231" t="b">
        <f>Z15=N15</f>
        <v>0</v>
      </c>
      <c r="AB15" s="231" t="b">
        <f t="shared" si="7"/>
        <v>1</v>
      </c>
      <c r="AC15" s="210"/>
    </row>
    <row r="16" spans="1:29" s="155" customFormat="1" ht="36" x14ac:dyDescent="0.25">
      <c r="A16" s="228">
        <v>14</v>
      </c>
      <c r="B16" s="158" t="s">
        <v>115</v>
      </c>
      <c r="C16" s="159" t="s">
        <v>65</v>
      </c>
      <c r="D16" s="160" t="s">
        <v>116</v>
      </c>
      <c r="E16" s="160">
        <v>1861011</v>
      </c>
      <c r="F16" s="158" t="s">
        <v>109</v>
      </c>
      <c r="G16" s="153" t="s">
        <v>117</v>
      </c>
      <c r="H16" s="158" t="s">
        <v>69</v>
      </c>
      <c r="I16" s="154">
        <v>0.29530000000000001</v>
      </c>
      <c r="J16" s="161" t="s">
        <v>297</v>
      </c>
      <c r="K16" s="156">
        <v>4199638.7699999996</v>
      </c>
      <c r="L16" s="157">
        <v>2099819</v>
      </c>
      <c r="M16" s="163">
        <v>2099819.7699999996</v>
      </c>
      <c r="N16" s="162">
        <v>0.5</v>
      </c>
      <c r="O16" s="157">
        <v>0</v>
      </c>
      <c r="P16" s="157">
        <v>0</v>
      </c>
      <c r="Q16" s="156">
        <v>0</v>
      </c>
      <c r="R16" s="156">
        <v>1050535</v>
      </c>
      <c r="S16" s="156">
        <v>1049284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229" t="b">
        <f t="shared" si="4"/>
        <v>1</v>
      </c>
      <c r="Z16" s="230">
        <f t="shared" si="5"/>
        <v>0.5</v>
      </c>
      <c r="AA16" s="231" t="b">
        <f t="shared" si="6"/>
        <v>1</v>
      </c>
      <c r="AB16" s="231" t="b">
        <f t="shared" si="7"/>
        <v>1</v>
      </c>
      <c r="AC16" s="210"/>
    </row>
    <row r="17" spans="1:29" s="155" customFormat="1" ht="36" x14ac:dyDescent="0.25">
      <c r="A17" s="228">
        <v>15</v>
      </c>
      <c r="B17" s="158" t="s">
        <v>118</v>
      </c>
      <c r="C17" s="159" t="s">
        <v>65</v>
      </c>
      <c r="D17" s="160" t="s">
        <v>75</v>
      </c>
      <c r="E17" s="160">
        <v>1815043</v>
      </c>
      <c r="F17" s="158" t="s">
        <v>119</v>
      </c>
      <c r="G17" s="153" t="s">
        <v>120</v>
      </c>
      <c r="H17" s="158" t="s">
        <v>69</v>
      </c>
      <c r="I17" s="154">
        <v>4.3702999999999994</v>
      </c>
      <c r="J17" s="161" t="s">
        <v>298</v>
      </c>
      <c r="K17" s="156">
        <v>13700689.4</v>
      </c>
      <c r="L17" s="157">
        <v>9246154</v>
      </c>
      <c r="M17" s="163">
        <v>4454535.4000000004</v>
      </c>
      <c r="N17" s="162">
        <v>0.7</v>
      </c>
      <c r="O17" s="157">
        <v>0</v>
      </c>
      <c r="P17" s="157">
        <v>0</v>
      </c>
      <c r="Q17" s="156">
        <v>0</v>
      </c>
      <c r="R17" s="156">
        <v>0</v>
      </c>
      <c r="S17" s="156">
        <v>4200000</v>
      </c>
      <c r="T17" s="156">
        <v>5046154</v>
      </c>
      <c r="U17" s="156">
        <v>0</v>
      </c>
      <c r="V17" s="156">
        <v>0</v>
      </c>
      <c r="W17" s="156">
        <v>0</v>
      </c>
      <c r="X17" s="156">
        <v>0</v>
      </c>
      <c r="Y17" s="229" t="b">
        <f t="shared" si="4"/>
        <v>1</v>
      </c>
      <c r="Z17" s="230">
        <f t="shared" si="5"/>
        <v>0.67490000000000006</v>
      </c>
      <c r="AA17" s="231" t="b">
        <f>Z17=N17</f>
        <v>0</v>
      </c>
      <c r="AB17" s="231" t="b">
        <f t="shared" si="7"/>
        <v>1</v>
      </c>
      <c r="AC17" s="210"/>
    </row>
    <row r="18" spans="1:29" s="155" customFormat="1" ht="48" x14ac:dyDescent="0.25">
      <c r="A18" s="228">
        <v>16</v>
      </c>
      <c r="B18" s="158" t="s">
        <v>121</v>
      </c>
      <c r="C18" s="159" t="s">
        <v>65</v>
      </c>
      <c r="D18" s="160" t="s">
        <v>113</v>
      </c>
      <c r="E18" s="160">
        <v>1816132</v>
      </c>
      <c r="F18" s="158" t="s">
        <v>49</v>
      </c>
      <c r="G18" s="153" t="s">
        <v>122</v>
      </c>
      <c r="H18" s="158" t="s">
        <v>69</v>
      </c>
      <c r="I18" s="154">
        <v>0.79647000000000001</v>
      </c>
      <c r="J18" s="161" t="s">
        <v>299</v>
      </c>
      <c r="K18" s="156">
        <v>5871847.0999999996</v>
      </c>
      <c r="L18" s="157">
        <v>2935923</v>
      </c>
      <c r="M18" s="163">
        <v>2935924.0999999996</v>
      </c>
      <c r="N18" s="162">
        <v>0.5</v>
      </c>
      <c r="O18" s="157">
        <v>0</v>
      </c>
      <c r="P18" s="157">
        <v>0</v>
      </c>
      <c r="Q18" s="156">
        <v>0</v>
      </c>
      <c r="R18" s="156">
        <v>1675000</v>
      </c>
      <c r="S18" s="156">
        <v>1260923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229" t="b">
        <f t="shared" si="4"/>
        <v>1</v>
      </c>
      <c r="Z18" s="230">
        <f t="shared" si="5"/>
        <v>0.5</v>
      </c>
      <c r="AA18" s="231" t="b">
        <f t="shared" si="6"/>
        <v>1</v>
      </c>
      <c r="AB18" s="231" t="b">
        <f t="shared" si="7"/>
        <v>1</v>
      </c>
      <c r="AC18" s="210"/>
    </row>
    <row r="19" spans="1:29" s="155" customFormat="1" ht="24" x14ac:dyDescent="0.25">
      <c r="A19" s="228">
        <v>17</v>
      </c>
      <c r="B19" s="158" t="s">
        <v>123</v>
      </c>
      <c r="C19" s="159" t="s">
        <v>65</v>
      </c>
      <c r="D19" s="160" t="s">
        <v>124</v>
      </c>
      <c r="E19" s="160">
        <v>1804062</v>
      </c>
      <c r="F19" s="158" t="s">
        <v>52</v>
      </c>
      <c r="G19" s="153" t="s">
        <v>125</v>
      </c>
      <c r="H19" s="158" t="s">
        <v>82</v>
      </c>
      <c r="I19" s="154">
        <v>0.999</v>
      </c>
      <c r="J19" s="161" t="s">
        <v>300</v>
      </c>
      <c r="K19" s="156">
        <v>3536531.13</v>
      </c>
      <c r="L19" s="157">
        <v>2121918</v>
      </c>
      <c r="M19" s="163">
        <v>1414613.13</v>
      </c>
      <c r="N19" s="162">
        <v>0.6</v>
      </c>
      <c r="O19" s="157">
        <v>0</v>
      </c>
      <c r="P19" s="157">
        <v>0</v>
      </c>
      <c r="Q19" s="156">
        <v>0</v>
      </c>
      <c r="R19" s="156">
        <v>947618</v>
      </c>
      <c r="S19" s="156">
        <v>280945</v>
      </c>
      <c r="T19" s="156">
        <v>893355</v>
      </c>
      <c r="U19" s="156">
        <v>0</v>
      </c>
      <c r="V19" s="156">
        <v>0</v>
      </c>
      <c r="W19" s="156">
        <v>0</v>
      </c>
      <c r="X19" s="156">
        <v>0</v>
      </c>
      <c r="Y19" s="229" t="b">
        <f t="shared" si="4"/>
        <v>1</v>
      </c>
      <c r="Z19" s="230">
        <f t="shared" si="5"/>
        <v>0.6</v>
      </c>
      <c r="AA19" s="231" t="b">
        <f t="shared" si="6"/>
        <v>1</v>
      </c>
      <c r="AB19" s="231" t="b">
        <f t="shared" si="7"/>
        <v>1</v>
      </c>
      <c r="AC19" s="210"/>
    </row>
    <row r="20" spans="1:29" s="155" customFormat="1" ht="48" x14ac:dyDescent="0.25">
      <c r="A20" s="228">
        <v>18</v>
      </c>
      <c r="B20" s="158" t="s">
        <v>126</v>
      </c>
      <c r="C20" s="159" t="s">
        <v>65</v>
      </c>
      <c r="D20" s="160" t="s">
        <v>127</v>
      </c>
      <c r="E20" s="160">
        <v>1807092</v>
      </c>
      <c r="F20" s="158" t="s">
        <v>61</v>
      </c>
      <c r="G20" s="153" t="s">
        <v>128</v>
      </c>
      <c r="H20" s="158" t="s">
        <v>69</v>
      </c>
      <c r="I20" s="154">
        <v>0.49309000000000003</v>
      </c>
      <c r="J20" s="161" t="s">
        <v>301</v>
      </c>
      <c r="K20" s="156">
        <v>10393113.35</v>
      </c>
      <c r="L20" s="157">
        <v>6235800</v>
      </c>
      <c r="M20" s="163">
        <v>4157313.3499999996</v>
      </c>
      <c r="N20" s="162">
        <v>0.6</v>
      </c>
      <c r="O20" s="157">
        <v>0</v>
      </c>
      <c r="P20" s="157">
        <v>0</v>
      </c>
      <c r="Q20" s="156">
        <v>0</v>
      </c>
      <c r="R20" s="156">
        <v>4077835</v>
      </c>
      <c r="S20" s="156">
        <v>2157965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229" t="b">
        <f t="shared" si="4"/>
        <v>1</v>
      </c>
      <c r="Z20" s="230">
        <f t="shared" si="5"/>
        <v>0.6</v>
      </c>
      <c r="AA20" s="231" t="b">
        <f t="shared" si="6"/>
        <v>1</v>
      </c>
      <c r="AB20" s="231" t="b">
        <f t="shared" si="7"/>
        <v>1</v>
      </c>
      <c r="AC20" s="210"/>
    </row>
    <row r="21" spans="1:29" s="155" customFormat="1" ht="24" x14ac:dyDescent="0.25">
      <c r="A21" s="228">
        <v>19</v>
      </c>
      <c r="B21" s="158" t="s">
        <v>129</v>
      </c>
      <c r="C21" s="159" t="s">
        <v>65</v>
      </c>
      <c r="D21" s="160" t="s">
        <v>130</v>
      </c>
      <c r="E21" s="160">
        <v>1815022</v>
      </c>
      <c r="F21" s="158" t="s">
        <v>119</v>
      </c>
      <c r="G21" s="153" t="s">
        <v>131</v>
      </c>
      <c r="H21" s="158" t="s">
        <v>82</v>
      </c>
      <c r="I21" s="154">
        <v>2.8929999999999998</v>
      </c>
      <c r="J21" s="161" t="s">
        <v>302</v>
      </c>
      <c r="K21" s="156">
        <v>4658524.41</v>
      </c>
      <c r="L21" s="157">
        <v>2329262</v>
      </c>
      <c r="M21" s="163">
        <v>2329262.41</v>
      </c>
      <c r="N21" s="162">
        <v>0.5</v>
      </c>
      <c r="O21" s="157">
        <v>0</v>
      </c>
      <c r="P21" s="157">
        <v>0</v>
      </c>
      <c r="Q21" s="156">
        <v>0</v>
      </c>
      <c r="R21" s="156">
        <v>1109270</v>
      </c>
      <c r="S21" s="156">
        <v>849806</v>
      </c>
      <c r="T21" s="156">
        <v>370186</v>
      </c>
      <c r="U21" s="156">
        <v>0</v>
      </c>
      <c r="V21" s="156">
        <v>0</v>
      </c>
      <c r="W21" s="156">
        <v>0</v>
      </c>
      <c r="X21" s="156">
        <v>0</v>
      </c>
      <c r="Y21" s="229" t="b">
        <f t="shared" si="4"/>
        <v>1</v>
      </c>
      <c r="Z21" s="230">
        <f t="shared" si="5"/>
        <v>0.5</v>
      </c>
      <c r="AA21" s="231" t="b">
        <f t="shared" si="6"/>
        <v>1</v>
      </c>
      <c r="AB21" s="231" t="b">
        <f t="shared" si="7"/>
        <v>1</v>
      </c>
      <c r="AC21" s="210"/>
    </row>
    <row r="22" spans="1:29" s="155" customFormat="1" ht="36" x14ac:dyDescent="0.25">
      <c r="A22" s="228">
        <v>20</v>
      </c>
      <c r="B22" s="158" t="s">
        <v>132</v>
      </c>
      <c r="C22" s="159" t="s">
        <v>65</v>
      </c>
      <c r="D22" s="160" t="s">
        <v>133</v>
      </c>
      <c r="E22" s="160">
        <v>1818011</v>
      </c>
      <c r="F22" s="158" t="s">
        <v>48</v>
      </c>
      <c r="G22" s="153" t="s">
        <v>134</v>
      </c>
      <c r="H22" s="158" t="s">
        <v>69</v>
      </c>
      <c r="I22" s="154">
        <v>1.379</v>
      </c>
      <c r="J22" s="161" t="s">
        <v>303</v>
      </c>
      <c r="K22" s="156">
        <v>11456849.460000001</v>
      </c>
      <c r="L22" s="157">
        <v>8019794</v>
      </c>
      <c r="M22" s="163">
        <v>3437055.4600000009</v>
      </c>
      <c r="N22" s="162">
        <v>0.7</v>
      </c>
      <c r="O22" s="157">
        <v>0</v>
      </c>
      <c r="P22" s="157">
        <v>0</v>
      </c>
      <c r="Q22" s="156">
        <v>0</v>
      </c>
      <c r="R22" s="156">
        <v>250000</v>
      </c>
      <c r="S22" s="156">
        <v>2894351.049999997</v>
      </c>
      <c r="T22" s="156">
        <v>4875442.950000003</v>
      </c>
      <c r="U22" s="156">
        <v>0</v>
      </c>
      <c r="V22" s="156">
        <v>0</v>
      </c>
      <c r="W22" s="156">
        <v>0</v>
      </c>
      <c r="X22" s="156">
        <v>0</v>
      </c>
      <c r="Y22" s="229" t="b">
        <f t="shared" si="4"/>
        <v>1</v>
      </c>
      <c r="Z22" s="230">
        <f t="shared" si="5"/>
        <v>0.7</v>
      </c>
      <c r="AA22" s="231" t="b">
        <f t="shared" si="6"/>
        <v>1</v>
      </c>
      <c r="AB22" s="231" t="b">
        <f t="shared" si="7"/>
        <v>1</v>
      </c>
      <c r="AC22" s="210"/>
    </row>
    <row r="23" spans="1:29" s="155" customFormat="1" ht="24" x14ac:dyDescent="0.25">
      <c r="A23" s="228">
        <v>21</v>
      </c>
      <c r="B23" s="158" t="s">
        <v>135</v>
      </c>
      <c r="C23" s="159" t="s">
        <v>65</v>
      </c>
      <c r="D23" s="160" t="s">
        <v>136</v>
      </c>
      <c r="E23" s="160">
        <v>1804011</v>
      </c>
      <c r="F23" s="158" t="s">
        <v>52</v>
      </c>
      <c r="G23" s="153" t="s">
        <v>137</v>
      </c>
      <c r="H23" s="158" t="s">
        <v>82</v>
      </c>
      <c r="I23" s="154">
        <v>0.89700000000000002</v>
      </c>
      <c r="J23" s="161" t="s">
        <v>304</v>
      </c>
      <c r="K23" s="156">
        <v>3247601.18</v>
      </c>
      <c r="L23" s="157">
        <v>1705551</v>
      </c>
      <c r="M23" s="163">
        <v>1542050.1800000002</v>
      </c>
      <c r="N23" s="162">
        <v>0.6</v>
      </c>
      <c r="O23" s="157">
        <v>0</v>
      </c>
      <c r="P23" s="157">
        <v>0</v>
      </c>
      <c r="Q23" s="156">
        <v>0</v>
      </c>
      <c r="R23" s="156">
        <v>1705551</v>
      </c>
      <c r="S23" s="156">
        <v>0</v>
      </c>
      <c r="T23" s="156">
        <v>0</v>
      </c>
      <c r="U23" s="156">
        <v>0</v>
      </c>
      <c r="V23" s="156">
        <v>0</v>
      </c>
      <c r="W23" s="156">
        <v>0</v>
      </c>
      <c r="X23" s="156">
        <v>0</v>
      </c>
      <c r="Y23" s="229" t="b">
        <f t="shared" si="4"/>
        <v>1</v>
      </c>
      <c r="Z23" s="230">
        <f t="shared" si="5"/>
        <v>0.5252</v>
      </c>
      <c r="AA23" s="231" t="b">
        <f t="shared" si="6"/>
        <v>0</v>
      </c>
      <c r="AB23" s="231" t="b">
        <f t="shared" si="7"/>
        <v>1</v>
      </c>
      <c r="AC23" s="210"/>
    </row>
    <row r="24" spans="1:29" s="183" customFormat="1" ht="36" x14ac:dyDescent="0.25">
      <c r="A24" s="228">
        <v>22</v>
      </c>
      <c r="B24" s="158" t="s">
        <v>138</v>
      </c>
      <c r="C24" s="159" t="s">
        <v>65</v>
      </c>
      <c r="D24" s="160" t="s">
        <v>139</v>
      </c>
      <c r="E24" s="160">
        <v>1809042</v>
      </c>
      <c r="F24" s="158" t="s">
        <v>63</v>
      </c>
      <c r="G24" s="153" t="s">
        <v>140</v>
      </c>
      <c r="H24" s="158" t="s">
        <v>69</v>
      </c>
      <c r="I24" s="154">
        <v>1.2425999999999999</v>
      </c>
      <c r="J24" s="161" t="s">
        <v>305</v>
      </c>
      <c r="K24" s="156">
        <v>4987866.1100000003</v>
      </c>
      <c r="L24" s="157">
        <v>2992719</v>
      </c>
      <c r="M24" s="163">
        <v>1995147.1100000003</v>
      </c>
      <c r="N24" s="162">
        <v>0.6</v>
      </c>
      <c r="O24" s="157">
        <v>0</v>
      </c>
      <c r="P24" s="157">
        <v>0</v>
      </c>
      <c r="Q24" s="156">
        <v>0</v>
      </c>
      <c r="R24" s="156">
        <v>2992719</v>
      </c>
      <c r="S24" s="156">
        <v>0</v>
      </c>
      <c r="T24" s="156">
        <v>0</v>
      </c>
      <c r="U24" s="156">
        <v>0</v>
      </c>
      <c r="V24" s="156">
        <v>0</v>
      </c>
      <c r="W24" s="156">
        <v>0</v>
      </c>
      <c r="X24" s="156">
        <v>0</v>
      </c>
      <c r="Y24" s="229" t="b">
        <f t="shared" si="4"/>
        <v>1</v>
      </c>
      <c r="Z24" s="230">
        <f t="shared" si="5"/>
        <v>0.6</v>
      </c>
      <c r="AA24" s="231" t="b">
        <f t="shared" si="6"/>
        <v>1</v>
      </c>
      <c r="AB24" s="231" t="b">
        <f t="shared" si="7"/>
        <v>1</v>
      </c>
      <c r="AC24" s="209"/>
    </row>
    <row r="25" spans="1:29" s="155" customFormat="1" ht="36" x14ac:dyDescent="0.25">
      <c r="A25" s="228">
        <v>23</v>
      </c>
      <c r="B25" s="158" t="s">
        <v>141</v>
      </c>
      <c r="C25" s="159" t="s">
        <v>65</v>
      </c>
      <c r="D25" s="160" t="s">
        <v>142</v>
      </c>
      <c r="E25" s="160">
        <v>1803042</v>
      </c>
      <c r="F25" s="158" t="s">
        <v>62</v>
      </c>
      <c r="G25" s="153" t="s">
        <v>143</v>
      </c>
      <c r="H25" s="158" t="s">
        <v>69</v>
      </c>
      <c r="I25" s="154">
        <v>0.64200000000000002</v>
      </c>
      <c r="J25" s="161" t="s">
        <v>305</v>
      </c>
      <c r="K25" s="156">
        <v>2528421.27</v>
      </c>
      <c r="L25" s="157">
        <v>1264210</v>
      </c>
      <c r="M25" s="163">
        <v>1264211.27</v>
      </c>
      <c r="N25" s="162">
        <v>0.5</v>
      </c>
      <c r="O25" s="157">
        <v>0</v>
      </c>
      <c r="P25" s="157">
        <v>0</v>
      </c>
      <c r="Q25" s="156">
        <v>0</v>
      </c>
      <c r="R25" s="156">
        <v>604471</v>
      </c>
      <c r="S25" s="156">
        <v>659739</v>
      </c>
      <c r="T25" s="156">
        <v>0</v>
      </c>
      <c r="U25" s="156">
        <v>0</v>
      </c>
      <c r="V25" s="156">
        <v>0</v>
      </c>
      <c r="W25" s="156">
        <v>0</v>
      </c>
      <c r="X25" s="156">
        <v>0</v>
      </c>
      <c r="Y25" s="229" t="b">
        <f t="shared" si="4"/>
        <v>1</v>
      </c>
      <c r="Z25" s="230">
        <f t="shared" si="5"/>
        <v>0.5</v>
      </c>
      <c r="AA25" s="231" t="b">
        <f t="shared" si="6"/>
        <v>1</v>
      </c>
      <c r="AB25" s="231" t="b">
        <f t="shared" si="7"/>
        <v>1</v>
      </c>
      <c r="AC25" s="210"/>
    </row>
    <row r="26" spans="1:29" s="155" customFormat="1" ht="24" x14ac:dyDescent="0.25">
      <c r="A26" s="228">
        <v>24</v>
      </c>
      <c r="B26" s="158" t="s">
        <v>144</v>
      </c>
      <c r="C26" s="159" t="s">
        <v>65</v>
      </c>
      <c r="D26" s="160" t="s">
        <v>142</v>
      </c>
      <c r="E26" s="160">
        <v>1803042</v>
      </c>
      <c r="F26" s="158" t="s">
        <v>62</v>
      </c>
      <c r="G26" s="153" t="s">
        <v>145</v>
      </c>
      <c r="H26" s="158" t="s">
        <v>82</v>
      </c>
      <c r="I26" s="154">
        <v>0.92847999999999997</v>
      </c>
      <c r="J26" s="161" t="s">
        <v>305</v>
      </c>
      <c r="K26" s="156">
        <v>3214213.54</v>
      </c>
      <c r="L26" s="157">
        <v>1607106</v>
      </c>
      <c r="M26" s="163">
        <v>1607107.54</v>
      </c>
      <c r="N26" s="162">
        <v>0.5</v>
      </c>
      <c r="O26" s="157">
        <v>0</v>
      </c>
      <c r="P26" s="157">
        <v>0</v>
      </c>
      <c r="Q26" s="157">
        <v>0</v>
      </c>
      <c r="R26" s="157">
        <v>682802</v>
      </c>
      <c r="S26" s="157">
        <v>924304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229" t="b">
        <f t="shared" si="4"/>
        <v>1</v>
      </c>
      <c r="Z26" s="230">
        <f t="shared" si="5"/>
        <v>0.5</v>
      </c>
      <c r="AA26" s="231" t="b">
        <f t="shared" si="6"/>
        <v>1</v>
      </c>
      <c r="AB26" s="231" t="b">
        <f t="shared" si="7"/>
        <v>1</v>
      </c>
      <c r="AC26" s="210"/>
    </row>
    <row r="27" spans="1:29" s="155" customFormat="1" ht="36" x14ac:dyDescent="0.25">
      <c r="A27" s="228">
        <v>25</v>
      </c>
      <c r="B27" s="158" t="s">
        <v>146</v>
      </c>
      <c r="C27" s="159" t="s">
        <v>147</v>
      </c>
      <c r="D27" s="160" t="s">
        <v>127</v>
      </c>
      <c r="E27" s="160">
        <v>1807092</v>
      </c>
      <c r="F27" s="158" t="s">
        <v>148</v>
      </c>
      <c r="G27" s="153" t="s">
        <v>149</v>
      </c>
      <c r="H27" s="158" t="s">
        <v>82</v>
      </c>
      <c r="I27" s="154">
        <v>0.61739999999999995</v>
      </c>
      <c r="J27" s="161" t="s">
        <v>306</v>
      </c>
      <c r="K27" s="156">
        <v>14932440</v>
      </c>
      <c r="L27" s="157">
        <v>8959464</v>
      </c>
      <c r="M27" s="163">
        <v>5972976</v>
      </c>
      <c r="N27" s="162">
        <v>0.6</v>
      </c>
      <c r="O27" s="157">
        <v>0</v>
      </c>
      <c r="P27" s="157">
        <v>0</v>
      </c>
      <c r="Q27" s="157">
        <v>0</v>
      </c>
      <c r="R27" s="157">
        <v>0</v>
      </c>
      <c r="S27" s="157">
        <v>2436540</v>
      </c>
      <c r="T27" s="156">
        <v>6522924</v>
      </c>
      <c r="U27" s="156">
        <v>0</v>
      </c>
      <c r="V27" s="156">
        <v>0</v>
      </c>
      <c r="W27" s="156">
        <v>0</v>
      </c>
      <c r="X27" s="156">
        <v>0</v>
      </c>
      <c r="Y27" s="229" t="b">
        <f t="shared" si="4"/>
        <v>1</v>
      </c>
      <c r="Z27" s="230">
        <f t="shared" si="5"/>
        <v>0.6</v>
      </c>
      <c r="AA27" s="231" t="b">
        <f t="shared" si="6"/>
        <v>1</v>
      </c>
      <c r="AB27" s="231" t="b">
        <f t="shared" si="7"/>
        <v>1</v>
      </c>
      <c r="AC27" s="210"/>
    </row>
    <row r="28" spans="1:29" s="176" customFormat="1" ht="24" x14ac:dyDescent="0.25">
      <c r="A28" s="208">
        <v>26</v>
      </c>
      <c r="B28" s="148" t="s">
        <v>150</v>
      </c>
      <c r="C28" s="149" t="s">
        <v>151</v>
      </c>
      <c r="D28" s="150" t="s">
        <v>152</v>
      </c>
      <c r="E28" s="150">
        <v>1821042</v>
      </c>
      <c r="F28" s="148" t="s">
        <v>153</v>
      </c>
      <c r="G28" s="41" t="s">
        <v>154</v>
      </c>
      <c r="H28" s="148" t="s">
        <v>82</v>
      </c>
      <c r="I28" s="42">
        <v>0.64300000000000002</v>
      </c>
      <c r="J28" s="151" t="s">
        <v>307</v>
      </c>
      <c r="K28" s="164">
        <v>2069853</v>
      </c>
      <c r="L28" s="165">
        <v>1034926</v>
      </c>
      <c r="M28" s="166">
        <v>1034927</v>
      </c>
      <c r="N28" s="152">
        <v>0.5</v>
      </c>
      <c r="O28" s="165">
        <v>0</v>
      </c>
      <c r="P28" s="165">
        <v>0</v>
      </c>
      <c r="Q28" s="165">
        <v>0</v>
      </c>
      <c r="R28" s="165">
        <v>0</v>
      </c>
      <c r="S28" s="165">
        <v>1034926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74" t="b">
        <f t="shared" ref="Y28:Y45" si="8">L28=SUM(O28:X28)</f>
        <v>1</v>
      </c>
      <c r="Z28" s="178">
        <f t="shared" ref="Z28:Z45" si="9">ROUND(L28/K28,4)</f>
        <v>0.5</v>
      </c>
      <c r="AA28" s="179" t="b">
        <f t="shared" ref="AA28:AA45" si="10">Z28=N28</f>
        <v>1</v>
      </c>
      <c r="AB28" s="179" t="b">
        <f t="shared" ref="AB28:AB45" si="11">K28=L28+M28</f>
        <v>1</v>
      </c>
      <c r="AC28" s="211"/>
    </row>
    <row r="29" spans="1:29" s="155" customFormat="1" ht="24" x14ac:dyDescent="0.25">
      <c r="A29" s="228">
        <v>27</v>
      </c>
      <c r="B29" s="158" t="s">
        <v>155</v>
      </c>
      <c r="C29" s="159" t="s">
        <v>147</v>
      </c>
      <c r="D29" s="160" t="s">
        <v>156</v>
      </c>
      <c r="E29" s="160">
        <v>1812073</v>
      </c>
      <c r="F29" s="158" t="s">
        <v>157</v>
      </c>
      <c r="G29" s="153" t="s">
        <v>158</v>
      </c>
      <c r="H29" s="158" t="s">
        <v>82</v>
      </c>
      <c r="I29" s="154">
        <v>1.5589999999999999</v>
      </c>
      <c r="J29" s="161" t="s">
        <v>308</v>
      </c>
      <c r="K29" s="156">
        <v>49392629.609999999</v>
      </c>
      <c r="L29" s="157">
        <v>29635577</v>
      </c>
      <c r="M29" s="163">
        <f>K29-L29</f>
        <v>19757052.609999999</v>
      </c>
      <c r="N29" s="162">
        <v>0.6</v>
      </c>
      <c r="O29" s="157">
        <v>0</v>
      </c>
      <c r="P29" s="157">
        <v>0</v>
      </c>
      <c r="Q29" s="157">
        <v>0</v>
      </c>
      <c r="R29" s="157">
        <v>0</v>
      </c>
      <c r="S29" s="157">
        <v>5000000</v>
      </c>
      <c r="T29" s="156">
        <v>8333333</v>
      </c>
      <c r="U29" s="156">
        <v>16302244</v>
      </c>
      <c r="V29" s="156">
        <v>0</v>
      </c>
      <c r="W29" s="156">
        <v>0</v>
      </c>
      <c r="X29" s="156">
        <v>0</v>
      </c>
      <c r="Y29" s="229" t="b">
        <f t="shared" si="8"/>
        <v>1</v>
      </c>
      <c r="Z29" s="230">
        <f t="shared" si="9"/>
        <v>0.6</v>
      </c>
      <c r="AA29" s="231" t="b">
        <f t="shared" si="10"/>
        <v>1</v>
      </c>
      <c r="AB29" s="231" t="b">
        <f>K29=L29+M29</f>
        <v>1</v>
      </c>
      <c r="AC29" s="210"/>
    </row>
    <row r="30" spans="1:29" s="176" customFormat="1" ht="36" x14ac:dyDescent="0.25">
      <c r="A30" s="208">
        <v>28</v>
      </c>
      <c r="B30" s="148" t="s">
        <v>159</v>
      </c>
      <c r="C30" s="149" t="s">
        <v>151</v>
      </c>
      <c r="D30" s="150" t="s">
        <v>160</v>
      </c>
      <c r="E30" s="150">
        <v>1820013</v>
      </c>
      <c r="F30" s="148" t="s">
        <v>161</v>
      </c>
      <c r="G30" s="41" t="s">
        <v>162</v>
      </c>
      <c r="H30" s="148" t="s">
        <v>82</v>
      </c>
      <c r="I30" s="42">
        <v>1.8099000000000001</v>
      </c>
      <c r="J30" s="151" t="s">
        <v>309</v>
      </c>
      <c r="K30" s="164">
        <v>4100000</v>
      </c>
      <c r="L30" s="165">
        <v>2050000</v>
      </c>
      <c r="M30" s="166">
        <v>2050000</v>
      </c>
      <c r="N30" s="152">
        <v>0.5</v>
      </c>
      <c r="O30" s="165">
        <v>0</v>
      </c>
      <c r="P30" s="165">
        <v>0</v>
      </c>
      <c r="Q30" s="165">
        <v>0</v>
      </c>
      <c r="R30" s="165">
        <v>0</v>
      </c>
      <c r="S30" s="165">
        <v>2050000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74" t="b">
        <f t="shared" si="8"/>
        <v>1</v>
      </c>
      <c r="Z30" s="178">
        <f t="shared" si="9"/>
        <v>0.5</v>
      </c>
      <c r="AA30" s="179" t="b">
        <f t="shared" si="10"/>
        <v>1</v>
      </c>
      <c r="AB30" s="179" t="b">
        <f t="shared" si="11"/>
        <v>1</v>
      </c>
      <c r="AC30" s="211"/>
    </row>
    <row r="31" spans="1:29" s="176" customFormat="1" ht="24" x14ac:dyDescent="0.25">
      <c r="A31" s="208">
        <v>29</v>
      </c>
      <c r="B31" s="148" t="s">
        <v>163</v>
      </c>
      <c r="C31" s="149" t="s">
        <v>151</v>
      </c>
      <c r="D31" s="150" t="s">
        <v>164</v>
      </c>
      <c r="E31" s="150">
        <v>1812012</v>
      </c>
      <c r="F31" s="148" t="s">
        <v>157</v>
      </c>
      <c r="G31" s="41" t="s">
        <v>165</v>
      </c>
      <c r="H31" s="148" t="s">
        <v>82</v>
      </c>
      <c r="I31" s="42">
        <v>0.69995000000000007</v>
      </c>
      <c r="J31" s="151" t="s">
        <v>309</v>
      </c>
      <c r="K31" s="164">
        <v>1719016.32</v>
      </c>
      <c r="L31" s="165">
        <v>859508</v>
      </c>
      <c r="M31" s="166">
        <v>859508.32000000007</v>
      </c>
      <c r="N31" s="152">
        <v>0.5</v>
      </c>
      <c r="O31" s="165">
        <v>0</v>
      </c>
      <c r="P31" s="165">
        <v>0</v>
      </c>
      <c r="Q31" s="165">
        <v>0</v>
      </c>
      <c r="R31" s="165">
        <v>0</v>
      </c>
      <c r="S31" s="165">
        <v>859508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74" t="b">
        <f t="shared" si="8"/>
        <v>1</v>
      </c>
      <c r="Z31" s="178">
        <f t="shared" si="9"/>
        <v>0.5</v>
      </c>
      <c r="AA31" s="179" t="b">
        <f t="shared" si="10"/>
        <v>1</v>
      </c>
      <c r="AB31" s="179" t="b">
        <f t="shared" si="11"/>
        <v>1</v>
      </c>
      <c r="AC31" s="211"/>
    </row>
    <row r="32" spans="1:29" s="176" customFormat="1" ht="24" x14ac:dyDescent="0.25">
      <c r="A32" s="208">
        <v>30</v>
      </c>
      <c r="B32" s="148" t="s">
        <v>166</v>
      </c>
      <c r="C32" s="149" t="s">
        <v>151</v>
      </c>
      <c r="D32" s="150" t="s">
        <v>167</v>
      </c>
      <c r="E32" s="150">
        <v>1814082</v>
      </c>
      <c r="F32" s="148" t="s">
        <v>168</v>
      </c>
      <c r="G32" s="41" t="s">
        <v>169</v>
      </c>
      <c r="H32" s="148" t="s">
        <v>82</v>
      </c>
      <c r="I32" s="42">
        <v>0.995</v>
      </c>
      <c r="J32" s="151" t="s">
        <v>310</v>
      </c>
      <c r="K32" s="164">
        <v>723977.9</v>
      </c>
      <c r="L32" s="157">
        <f>ROUNDDOWN(K32*N32,1)</f>
        <v>579182.30000000005</v>
      </c>
      <c r="M32" s="164">
        <f>K32-L32</f>
        <v>144795.59999999998</v>
      </c>
      <c r="N32" s="152">
        <v>0.8</v>
      </c>
      <c r="O32" s="165">
        <v>0</v>
      </c>
      <c r="P32" s="165">
        <v>0</v>
      </c>
      <c r="Q32" s="165">
        <v>0</v>
      </c>
      <c r="R32" s="165">
        <v>0</v>
      </c>
      <c r="S32" s="157">
        <f>L32</f>
        <v>579182.30000000005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74" t="b">
        <f t="shared" si="8"/>
        <v>1</v>
      </c>
      <c r="Z32" s="178">
        <f t="shared" si="9"/>
        <v>0.8</v>
      </c>
      <c r="AA32" s="179" t="b">
        <f t="shared" si="10"/>
        <v>1</v>
      </c>
      <c r="AB32" s="179" t="b">
        <f t="shared" si="11"/>
        <v>1</v>
      </c>
      <c r="AC32" s="211"/>
    </row>
    <row r="33" spans="1:29" s="176" customFormat="1" ht="24" x14ac:dyDescent="0.25">
      <c r="A33" s="208">
        <v>31</v>
      </c>
      <c r="B33" s="148" t="s">
        <v>170</v>
      </c>
      <c r="C33" s="149" t="s">
        <v>151</v>
      </c>
      <c r="D33" s="150" t="s">
        <v>171</v>
      </c>
      <c r="E33" s="150">
        <v>1813032</v>
      </c>
      <c r="F33" s="148" t="s">
        <v>172</v>
      </c>
      <c r="G33" s="41" t="s">
        <v>173</v>
      </c>
      <c r="H33" s="148" t="s">
        <v>82</v>
      </c>
      <c r="I33" s="42">
        <v>0.83599999999999997</v>
      </c>
      <c r="J33" s="151" t="s">
        <v>311</v>
      </c>
      <c r="K33" s="164">
        <v>717845.16</v>
      </c>
      <c r="L33" s="165">
        <v>358922</v>
      </c>
      <c r="M33" s="166">
        <v>358923.16000000003</v>
      </c>
      <c r="N33" s="152">
        <v>0.5</v>
      </c>
      <c r="O33" s="165">
        <v>0</v>
      </c>
      <c r="P33" s="165">
        <v>0</v>
      </c>
      <c r="Q33" s="165">
        <v>0</v>
      </c>
      <c r="R33" s="165">
        <v>0</v>
      </c>
      <c r="S33" s="165">
        <v>358922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74" t="b">
        <f t="shared" si="8"/>
        <v>1</v>
      </c>
      <c r="Z33" s="178">
        <f t="shared" si="9"/>
        <v>0.5</v>
      </c>
      <c r="AA33" s="179" t="b">
        <f t="shared" si="10"/>
        <v>1</v>
      </c>
      <c r="AB33" s="179" t="b">
        <f t="shared" si="11"/>
        <v>1</v>
      </c>
      <c r="AC33" s="211"/>
    </row>
    <row r="34" spans="1:29" s="176" customFormat="1" ht="36" x14ac:dyDescent="0.25">
      <c r="A34" s="208">
        <v>32</v>
      </c>
      <c r="B34" s="148" t="s">
        <v>174</v>
      </c>
      <c r="C34" s="149" t="s">
        <v>151</v>
      </c>
      <c r="D34" s="150" t="s">
        <v>175</v>
      </c>
      <c r="E34" s="150">
        <v>1804032</v>
      </c>
      <c r="F34" s="148" t="s">
        <v>176</v>
      </c>
      <c r="G34" s="41" t="s">
        <v>177</v>
      </c>
      <c r="H34" s="148" t="s">
        <v>69</v>
      </c>
      <c r="I34" s="42">
        <v>0.40600000000000003</v>
      </c>
      <c r="J34" s="151" t="s">
        <v>312</v>
      </c>
      <c r="K34" s="164">
        <v>587591.14</v>
      </c>
      <c r="L34" s="165">
        <v>352554</v>
      </c>
      <c r="M34" s="166">
        <v>235037.14</v>
      </c>
      <c r="N34" s="152">
        <v>0.6</v>
      </c>
      <c r="O34" s="165">
        <v>0</v>
      </c>
      <c r="P34" s="165">
        <v>0</v>
      </c>
      <c r="Q34" s="165">
        <v>0</v>
      </c>
      <c r="R34" s="165">
        <v>0</v>
      </c>
      <c r="S34" s="165">
        <v>352554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74" t="b">
        <f t="shared" si="8"/>
        <v>1</v>
      </c>
      <c r="Z34" s="178">
        <f t="shared" si="9"/>
        <v>0.6</v>
      </c>
      <c r="AA34" s="179" t="b">
        <f t="shared" si="10"/>
        <v>1</v>
      </c>
      <c r="AB34" s="179" t="b">
        <f t="shared" si="11"/>
        <v>1</v>
      </c>
      <c r="AC34" s="211"/>
    </row>
    <row r="35" spans="1:29" s="176" customFormat="1" ht="24" x14ac:dyDescent="0.25">
      <c r="A35" s="208">
        <v>33</v>
      </c>
      <c r="B35" s="148" t="s">
        <v>178</v>
      </c>
      <c r="C35" s="149" t="s">
        <v>151</v>
      </c>
      <c r="D35" s="150" t="s">
        <v>71</v>
      </c>
      <c r="E35" s="150">
        <v>1810042</v>
      </c>
      <c r="F35" s="148" t="s">
        <v>179</v>
      </c>
      <c r="G35" s="41" t="s">
        <v>180</v>
      </c>
      <c r="H35" s="148" t="s">
        <v>69</v>
      </c>
      <c r="I35" s="42">
        <v>1.085</v>
      </c>
      <c r="J35" s="151" t="s">
        <v>309</v>
      </c>
      <c r="K35" s="164">
        <v>1609781.21</v>
      </c>
      <c r="L35" s="165">
        <v>965868</v>
      </c>
      <c r="M35" s="166">
        <v>643913.21</v>
      </c>
      <c r="N35" s="152">
        <v>0.6</v>
      </c>
      <c r="O35" s="165">
        <v>0</v>
      </c>
      <c r="P35" s="165">
        <v>0</v>
      </c>
      <c r="Q35" s="165">
        <v>0</v>
      </c>
      <c r="R35" s="165">
        <v>0</v>
      </c>
      <c r="S35" s="165">
        <v>965868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74" t="b">
        <f t="shared" si="8"/>
        <v>1</v>
      </c>
      <c r="Z35" s="178">
        <f t="shared" si="9"/>
        <v>0.6</v>
      </c>
      <c r="AA35" s="179" t="b">
        <f t="shared" si="10"/>
        <v>1</v>
      </c>
      <c r="AB35" s="179" t="b">
        <f t="shared" si="11"/>
        <v>1</v>
      </c>
      <c r="AC35" s="211"/>
    </row>
    <row r="36" spans="1:29" s="176" customFormat="1" ht="24" x14ac:dyDescent="0.25">
      <c r="A36" s="208">
        <v>34</v>
      </c>
      <c r="B36" s="148" t="s">
        <v>181</v>
      </c>
      <c r="C36" s="149" t="s">
        <v>151</v>
      </c>
      <c r="D36" s="150" t="s">
        <v>182</v>
      </c>
      <c r="E36" s="150">
        <v>1812053</v>
      </c>
      <c r="F36" s="148" t="s">
        <v>157</v>
      </c>
      <c r="G36" s="41" t="s">
        <v>183</v>
      </c>
      <c r="H36" s="148" t="s">
        <v>82</v>
      </c>
      <c r="I36" s="42">
        <v>0.8852000000000001</v>
      </c>
      <c r="J36" s="151" t="s">
        <v>313</v>
      </c>
      <c r="K36" s="164">
        <v>1748115.61</v>
      </c>
      <c r="L36" s="165">
        <v>1048869</v>
      </c>
      <c r="M36" s="166">
        <v>699246.6100000001</v>
      </c>
      <c r="N36" s="152">
        <v>0.6</v>
      </c>
      <c r="O36" s="165">
        <v>0</v>
      </c>
      <c r="P36" s="165">
        <v>0</v>
      </c>
      <c r="Q36" s="165">
        <v>0</v>
      </c>
      <c r="R36" s="165">
        <v>0</v>
      </c>
      <c r="S36" s="165">
        <v>1048869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74" t="b">
        <f t="shared" si="8"/>
        <v>1</v>
      </c>
      <c r="Z36" s="178">
        <f t="shared" si="9"/>
        <v>0.6</v>
      </c>
      <c r="AA36" s="179" t="b">
        <f t="shared" si="10"/>
        <v>1</v>
      </c>
      <c r="AB36" s="179" t="b">
        <f t="shared" si="11"/>
        <v>1</v>
      </c>
      <c r="AC36" s="211"/>
    </row>
    <row r="37" spans="1:29" s="176" customFormat="1" ht="24" x14ac:dyDescent="0.25">
      <c r="A37" s="208">
        <v>35</v>
      </c>
      <c r="B37" s="148" t="s">
        <v>184</v>
      </c>
      <c r="C37" s="149" t="s">
        <v>151</v>
      </c>
      <c r="D37" s="150" t="s">
        <v>185</v>
      </c>
      <c r="E37" s="150">
        <v>1804073</v>
      </c>
      <c r="F37" s="148" t="s">
        <v>176</v>
      </c>
      <c r="G37" s="41" t="s">
        <v>186</v>
      </c>
      <c r="H37" s="148" t="s">
        <v>82</v>
      </c>
      <c r="I37" s="42">
        <v>0.39800000000000002</v>
      </c>
      <c r="J37" s="151" t="s">
        <v>314</v>
      </c>
      <c r="K37" s="164">
        <v>884914.77</v>
      </c>
      <c r="L37" s="165">
        <v>530948</v>
      </c>
      <c r="M37" s="166">
        <v>353966.77</v>
      </c>
      <c r="N37" s="152">
        <v>0.6</v>
      </c>
      <c r="O37" s="165">
        <v>0</v>
      </c>
      <c r="P37" s="165">
        <v>0</v>
      </c>
      <c r="Q37" s="165">
        <v>0</v>
      </c>
      <c r="R37" s="165">
        <v>0</v>
      </c>
      <c r="S37" s="165">
        <v>530948</v>
      </c>
      <c r="T37" s="164">
        <v>0</v>
      </c>
      <c r="U37" s="164">
        <v>0</v>
      </c>
      <c r="V37" s="164">
        <v>0</v>
      </c>
      <c r="W37" s="164">
        <v>0</v>
      </c>
      <c r="X37" s="164">
        <v>0</v>
      </c>
      <c r="Y37" s="174" t="b">
        <f t="shared" si="8"/>
        <v>1</v>
      </c>
      <c r="Z37" s="178">
        <f t="shared" si="9"/>
        <v>0.6</v>
      </c>
      <c r="AA37" s="179" t="b">
        <f t="shared" si="10"/>
        <v>1</v>
      </c>
      <c r="AB37" s="179" t="b">
        <f t="shared" si="11"/>
        <v>1</v>
      </c>
      <c r="AC37" s="211"/>
    </row>
    <row r="38" spans="1:29" s="176" customFormat="1" ht="24" x14ac:dyDescent="0.25">
      <c r="A38" s="208">
        <v>36</v>
      </c>
      <c r="B38" s="148" t="s">
        <v>187</v>
      </c>
      <c r="C38" s="149" t="s">
        <v>151</v>
      </c>
      <c r="D38" s="150" t="s">
        <v>139</v>
      </c>
      <c r="E38" s="150">
        <v>1809042</v>
      </c>
      <c r="F38" s="148" t="s">
        <v>188</v>
      </c>
      <c r="G38" s="41" t="s">
        <v>189</v>
      </c>
      <c r="H38" s="148" t="s">
        <v>82</v>
      </c>
      <c r="I38" s="42">
        <v>0.38500000000000001</v>
      </c>
      <c r="J38" s="151" t="s">
        <v>315</v>
      </c>
      <c r="K38" s="164">
        <v>1494500</v>
      </c>
      <c r="L38" s="165">
        <f>ROUNDDOWN(K38*N38,1)</f>
        <v>1120875</v>
      </c>
      <c r="M38" s="164">
        <f>K38-L38</f>
        <v>373625</v>
      </c>
      <c r="N38" s="152">
        <v>0.75</v>
      </c>
      <c r="O38" s="165">
        <v>0</v>
      </c>
      <c r="P38" s="165">
        <v>0</v>
      </c>
      <c r="Q38" s="165">
        <v>0</v>
      </c>
      <c r="R38" s="165">
        <v>0</v>
      </c>
      <c r="S38" s="165">
        <f>L38</f>
        <v>1120875</v>
      </c>
      <c r="T38" s="164">
        <v>0</v>
      </c>
      <c r="U38" s="164">
        <v>0</v>
      </c>
      <c r="V38" s="164">
        <v>0</v>
      </c>
      <c r="W38" s="164">
        <v>0</v>
      </c>
      <c r="X38" s="164">
        <v>0</v>
      </c>
      <c r="Y38" s="174" t="b">
        <f t="shared" si="8"/>
        <v>1</v>
      </c>
      <c r="Z38" s="178">
        <f t="shared" si="9"/>
        <v>0.75</v>
      </c>
      <c r="AA38" s="179" t="b">
        <f t="shared" si="10"/>
        <v>1</v>
      </c>
      <c r="AB38" s="179" t="b">
        <f t="shared" si="11"/>
        <v>1</v>
      </c>
      <c r="AC38" s="211"/>
    </row>
    <row r="39" spans="1:29" s="176" customFormat="1" ht="24" x14ac:dyDescent="0.25">
      <c r="A39" s="208">
        <v>37</v>
      </c>
      <c r="B39" s="148" t="s">
        <v>190</v>
      </c>
      <c r="C39" s="149" t="s">
        <v>151</v>
      </c>
      <c r="D39" s="150" t="s">
        <v>191</v>
      </c>
      <c r="E39" s="150">
        <v>1814032</v>
      </c>
      <c r="F39" s="148" t="s">
        <v>168</v>
      </c>
      <c r="G39" s="41" t="s">
        <v>192</v>
      </c>
      <c r="H39" s="148" t="s">
        <v>82</v>
      </c>
      <c r="I39" s="42">
        <v>0.33</v>
      </c>
      <c r="J39" s="151" t="s">
        <v>316</v>
      </c>
      <c r="K39" s="164">
        <v>1450956.88</v>
      </c>
      <c r="L39" s="157">
        <f>ROUNDDOWN(K39*N39,1)</f>
        <v>1160765.5</v>
      </c>
      <c r="M39" s="164">
        <f>K39-L39</f>
        <v>290191.37999999989</v>
      </c>
      <c r="N39" s="152">
        <v>0.8</v>
      </c>
      <c r="O39" s="165">
        <v>0</v>
      </c>
      <c r="P39" s="165">
        <v>0</v>
      </c>
      <c r="Q39" s="165">
        <v>0</v>
      </c>
      <c r="R39" s="165">
        <v>0</v>
      </c>
      <c r="S39" s="157">
        <f>L39</f>
        <v>1160765.5</v>
      </c>
      <c r="T39" s="164">
        <v>0</v>
      </c>
      <c r="U39" s="164">
        <v>0</v>
      </c>
      <c r="V39" s="164">
        <v>0</v>
      </c>
      <c r="W39" s="164">
        <v>0</v>
      </c>
      <c r="X39" s="164">
        <v>0</v>
      </c>
      <c r="Y39" s="174" t="b">
        <f t="shared" si="8"/>
        <v>1</v>
      </c>
      <c r="Z39" s="178">
        <f t="shared" si="9"/>
        <v>0.8</v>
      </c>
      <c r="AA39" s="179" t="b">
        <f t="shared" si="10"/>
        <v>1</v>
      </c>
      <c r="AB39" s="179" t="b">
        <f t="shared" si="11"/>
        <v>1</v>
      </c>
      <c r="AC39" s="211"/>
    </row>
    <row r="40" spans="1:29" s="176" customFormat="1" ht="24" x14ac:dyDescent="0.25">
      <c r="A40" s="208">
        <v>38</v>
      </c>
      <c r="B40" s="148" t="s">
        <v>193</v>
      </c>
      <c r="C40" s="149" t="s">
        <v>151</v>
      </c>
      <c r="D40" s="150" t="s">
        <v>194</v>
      </c>
      <c r="E40" s="150">
        <v>1801083</v>
      </c>
      <c r="F40" s="148" t="s">
        <v>195</v>
      </c>
      <c r="G40" s="41" t="s">
        <v>196</v>
      </c>
      <c r="H40" s="148" t="s">
        <v>197</v>
      </c>
      <c r="I40" s="42">
        <v>0.96399999999999997</v>
      </c>
      <c r="J40" s="151" t="s">
        <v>309</v>
      </c>
      <c r="K40" s="164">
        <v>1600638.47</v>
      </c>
      <c r="L40" s="165">
        <v>800319</v>
      </c>
      <c r="M40" s="166">
        <v>800319.47</v>
      </c>
      <c r="N40" s="152">
        <v>0.5</v>
      </c>
      <c r="O40" s="165">
        <v>0</v>
      </c>
      <c r="P40" s="165">
        <v>0</v>
      </c>
      <c r="Q40" s="165">
        <v>0</v>
      </c>
      <c r="R40" s="165">
        <v>0</v>
      </c>
      <c r="S40" s="165">
        <v>800319</v>
      </c>
      <c r="T40" s="164">
        <v>0</v>
      </c>
      <c r="U40" s="164">
        <v>0</v>
      </c>
      <c r="V40" s="164">
        <v>0</v>
      </c>
      <c r="W40" s="164">
        <v>0</v>
      </c>
      <c r="X40" s="164">
        <v>0</v>
      </c>
      <c r="Y40" s="174" t="b">
        <f t="shared" si="8"/>
        <v>1</v>
      </c>
      <c r="Z40" s="178">
        <f t="shared" si="9"/>
        <v>0.5</v>
      </c>
      <c r="AA40" s="179" t="b">
        <f t="shared" si="10"/>
        <v>1</v>
      </c>
      <c r="AB40" s="179" t="b">
        <f t="shared" si="11"/>
        <v>1</v>
      </c>
      <c r="AC40" s="211"/>
    </row>
    <row r="41" spans="1:29" s="155" customFormat="1" ht="24" x14ac:dyDescent="0.25">
      <c r="A41" s="228">
        <v>39</v>
      </c>
      <c r="B41" s="158" t="s">
        <v>198</v>
      </c>
      <c r="C41" s="159" t="s">
        <v>147</v>
      </c>
      <c r="D41" s="160" t="s">
        <v>136</v>
      </c>
      <c r="E41" s="160">
        <v>1804011</v>
      </c>
      <c r="F41" s="158" t="s">
        <v>176</v>
      </c>
      <c r="G41" s="153" t="s">
        <v>199</v>
      </c>
      <c r="H41" s="158" t="s">
        <v>69</v>
      </c>
      <c r="I41" s="154">
        <v>0.999</v>
      </c>
      <c r="J41" s="161" t="s">
        <v>317</v>
      </c>
      <c r="K41" s="156">
        <v>13107596.970000001</v>
      </c>
      <c r="L41" s="157">
        <v>6553797</v>
      </c>
      <c r="M41" s="163">
        <v>6553799.9700000007</v>
      </c>
      <c r="N41" s="162">
        <v>0.5</v>
      </c>
      <c r="O41" s="157">
        <v>0</v>
      </c>
      <c r="P41" s="157">
        <v>0</v>
      </c>
      <c r="Q41" s="157">
        <v>0</v>
      </c>
      <c r="R41" s="157">
        <v>0</v>
      </c>
      <c r="S41" s="157">
        <v>3040080</v>
      </c>
      <c r="T41" s="156">
        <v>3513717</v>
      </c>
      <c r="U41" s="156">
        <v>0</v>
      </c>
      <c r="V41" s="156">
        <v>0</v>
      </c>
      <c r="W41" s="156">
        <v>0</v>
      </c>
      <c r="X41" s="156">
        <v>0</v>
      </c>
      <c r="Y41" s="229" t="b">
        <f t="shared" si="8"/>
        <v>1</v>
      </c>
      <c r="Z41" s="230">
        <f t="shared" si="9"/>
        <v>0.5</v>
      </c>
      <c r="AA41" s="231" t="b">
        <f t="shared" si="10"/>
        <v>1</v>
      </c>
      <c r="AB41" s="231" t="b">
        <f t="shared" si="11"/>
        <v>1</v>
      </c>
      <c r="AC41" s="210"/>
    </row>
    <row r="42" spans="1:29" s="176" customFormat="1" ht="36" x14ac:dyDescent="0.25">
      <c r="A42" s="208">
        <v>40</v>
      </c>
      <c r="B42" s="148" t="s">
        <v>200</v>
      </c>
      <c r="C42" s="149" t="s">
        <v>151</v>
      </c>
      <c r="D42" s="150" t="s">
        <v>201</v>
      </c>
      <c r="E42" s="150">
        <v>1804042</v>
      </c>
      <c r="F42" s="148" t="s">
        <v>176</v>
      </c>
      <c r="G42" s="41" t="s">
        <v>202</v>
      </c>
      <c r="H42" s="148" t="s">
        <v>69</v>
      </c>
      <c r="I42" s="42">
        <v>1.087</v>
      </c>
      <c r="J42" s="151" t="s">
        <v>315</v>
      </c>
      <c r="K42" s="164">
        <v>3806516.48</v>
      </c>
      <c r="L42" s="165">
        <v>2283909</v>
      </c>
      <c r="M42" s="166">
        <v>1522607.48</v>
      </c>
      <c r="N42" s="152">
        <v>0.6</v>
      </c>
      <c r="O42" s="165">
        <v>0</v>
      </c>
      <c r="P42" s="165">
        <v>0</v>
      </c>
      <c r="Q42" s="165">
        <v>0</v>
      </c>
      <c r="R42" s="165">
        <v>0</v>
      </c>
      <c r="S42" s="165">
        <v>2283909</v>
      </c>
      <c r="T42" s="164">
        <v>0</v>
      </c>
      <c r="U42" s="164">
        <v>0</v>
      </c>
      <c r="V42" s="164">
        <v>0</v>
      </c>
      <c r="W42" s="164">
        <v>0</v>
      </c>
      <c r="X42" s="164">
        <v>0</v>
      </c>
      <c r="Y42" s="174" t="b">
        <f t="shared" si="8"/>
        <v>1</v>
      </c>
      <c r="Z42" s="178">
        <f t="shared" si="9"/>
        <v>0.6</v>
      </c>
      <c r="AA42" s="179" t="b">
        <f t="shared" si="10"/>
        <v>1</v>
      </c>
      <c r="AB42" s="179" t="b">
        <f t="shared" si="11"/>
        <v>1</v>
      </c>
      <c r="AC42" s="211"/>
    </row>
    <row r="43" spans="1:29" s="176" customFormat="1" ht="24" x14ac:dyDescent="0.25">
      <c r="A43" s="208">
        <v>41</v>
      </c>
      <c r="B43" s="148" t="s">
        <v>203</v>
      </c>
      <c r="C43" s="149" t="s">
        <v>151</v>
      </c>
      <c r="D43" s="150" t="s">
        <v>94</v>
      </c>
      <c r="E43" s="150">
        <v>1814053</v>
      </c>
      <c r="F43" s="148" t="s">
        <v>168</v>
      </c>
      <c r="G43" s="41" t="s">
        <v>204</v>
      </c>
      <c r="H43" s="148" t="s">
        <v>69</v>
      </c>
      <c r="I43" s="42">
        <v>0.20471</v>
      </c>
      <c r="J43" s="151" t="s">
        <v>318</v>
      </c>
      <c r="K43" s="164">
        <v>1369029.62</v>
      </c>
      <c r="L43" s="165">
        <v>821417</v>
      </c>
      <c r="M43" s="166">
        <v>547612.62000000011</v>
      </c>
      <c r="N43" s="152">
        <v>0.6</v>
      </c>
      <c r="O43" s="165">
        <v>0</v>
      </c>
      <c r="P43" s="165">
        <v>0</v>
      </c>
      <c r="Q43" s="165">
        <v>0</v>
      </c>
      <c r="R43" s="165">
        <v>0</v>
      </c>
      <c r="S43" s="165">
        <v>821417</v>
      </c>
      <c r="T43" s="164">
        <v>0</v>
      </c>
      <c r="U43" s="164">
        <v>0</v>
      </c>
      <c r="V43" s="164">
        <v>0</v>
      </c>
      <c r="W43" s="164">
        <v>0</v>
      </c>
      <c r="X43" s="164">
        <v>0</v>
      </c>
      <c r="Y43" s="174" t="b">
        <f t="shared" si="8"/>
        <v>1</v>
      </c>
      <c r="Z43" s="178">
        <f t="shared" si="9"/>
        <v>0.6</v>
      </c>
      <c r="AA43" s="179" t="b">
        <f t="shared" si="10"/>
        <v>1</v>
      </c>
      <c r="AB43" s="179" t="b">
        <f t="shared" si="11"/>
        <v>1</v>
      </c>
      <c r="AC43" s="211"/>
    </row>
    <row r="44" spans="1:29" s="176" customFormat="1" ht="24" x14ac:dyDescent="0.25">
      <c r="A44" s="208">
        <v>42</v>
      </c>
      <c r="B44" s="148" t="s">
        <v>205</v>
      </c>
      <c r="C44" s="149" t="s">
        <v>151</v>
      </c>
      <c r="D44" s="150" t="s">
        <v>206</v>
      </c>
      <c r="E44" s="150">
        <v>1803023</v>
      </c>
      <c r="F44" s="148" t="s">
        <v>207</v>
      </c>
      <c r="G44" s="41" t="s">
        <v>208</v>
      </c>
      <c r="H44" s="148" t="s">
        <v>69</v>
      </c>
      <c r="I44" s="42">
        <v>1.29</v>
      </c>
      <c r="J44" s="151" t="s">
        <v>309</v>
      </c>
      <c r="K44" s="164">
        <v>6136325.5</v>
      </c>
      <c r="L44" s="165">
        <v>3681795</v>
      </c>
      <c r="M44" s="166">
        <v>2454530.5</v>
      </c>
      <c r="N44" s="152">
        <v>0.6</v>
      </c>
      <c r="O44" s="165">
        <v>0</v>
      </c>
      <c r="P44" s="165">
        <v>0</v>
      </c>
      <c r="Q44" s="165">
        <v>0</v>
      </c>
      <c r="R44" s="165">
        <v>0</v>
      </c>
      <c r="S44" s="165">
        <v>3681795</v>
      </c>
      <c r="T44" s="164">
        <v>0</v>
      </c>
      <c r="U44" s="164">
        <v>0</v>
      </c>
      <c r="V44" s="164">
        <v>0</v>
      </c>
      <c r="W44" s="164">
        <v>0</v>
      </c>
      <c r="X44" s="164">
        <v>0</v>
      </c>
      <c r="Y44" s="174" t="b">
        <f t="shared" si="8"/>
        <v>1</v>
      </c>
      <c r="Z44" s="178">
        <f t="shared" si="9"/>
        <v>0.6</v>
      </c>
      <c r="AA44" s="179" t="b">
        <f t="shared" si="10"/>
        <v>1</v>
      </c>
      <c r="AB44" s="179" t="b">
        <f t="shared" si="11"/>
        <v>1</v>
      </c>
      <c r="AC44" s="211"/>
    </row>
    <row r="45" spans="1:29" s="176" customFormat="1" ht="48" x14ac:dyDescent="0.25">
      <c r="A45" s="208">
        <v>43</v>
      </c>
      <c r="B45" s="148" t="s">
        <v>209</v>
      </c>
      <c r="C45" s="149" t="s">
        <v>151</v>
      </c>
      <c r="D45" s="150" t="s">
        <v>210</v>
      </c>
      <c r="E45" s="150">
        <v>1805092</v>
      </c>
      <c r="F45" s="148" t="s">
        <v>211</v>
      </c>
      <c r="G45" s="41" t="s">
        <v>212</v>
      </c>
      <c r="H45" s="148" t="s">
        <v>82</v>
      </c>
      <c r="I45" s="42">
        <v>0.23350000000000001</v>
      </c>
      <c r="J45" s="151" t="s">
        <v>319</v>
      </c>
      <c r="K45" s="164">
        <v>802087.54</v>
      </c>
      <c r="L45" s="165">
        <v>481252</v>
      </c>
      <c r="M45" s="166">
        <v>320835.54000000004</v>
      </c>
      <c r="N45" s="152">
        <v>0.6</v>
      </c>
      <c r="O45" s="165">
        <v>0</v>
      </c>
      <c r="P45" s="165">
        <v>0</v>
      </c>
      <c r="Q45" s="165">
        <v>0</v>
      </c>
      <c r="R45" s="165">
        <v>0</v>
      </c>
      <c r="S45" s="165">
        <v>481252</v>
      </c>
      <c r="T45" s="164">
        <v>0</v>
      </c>
      <c r="U45" s="164">
        <v>0</v>
      </c>
      <c r="V45" s="164">
        <v>0</v>
      </c>
      <c r="W45" s="164">
        <v>0</v>
      </c>
      <c r="X45" s="164">
        <v>0</v>
      </c>
      <c r="Y45" s="174" t="b">
        <f t="shared" si="8"/>
        <v>1</v>
      </c>
      <c r="Z45" s="178">
        <f t="shared" si="9"/>
        <v>0.6</v>
      </c>
      <c r="AA45" s="179" t="b">
        <f t="shared" si="10"/>
        <v>1</v>
      </c>
      <c r="AB45" s="179" t="b">
        <f t="shared" si="11"/>
        <v>1</v>
      </c>
      <c r="AC45" s="211"/>
    </row>
    <row r="46" spans="1:29" s="176" customFormat="1" ht="24" x14ac:dyDescent="0.25">
      <c r="A46" s="208">
        <v>44</v>
      </c>
      <c r="B46" s="148" t="s">
        <v>213</v>
      </c>
      <c r="C46" s="149" t="s">
        <v>151</v>
      </c>
      <c r="D46" s="150" t="s">
        <v>214</v>
      </c>
      <c r="E46" s="150">
        <v>1816063</v>
      </c>
      <c r="F46" s="148" t="s">
        <v>215</v>
      </c>
      <c r="G46" s="41" t="s">
        <v>216</v>
      </c>
      <c r="H46" s="148" t="s">
        <v>82</v>
      </c>
      <c r="I46" s="42">
        <v>2.4952800000000002</v>
      </c>
      <c r="J46" s="151" t="s">
        <v>320</v>
      </c>
      <c r="K46" s="164">
        <v>6456076.0700000003</v>
      </c>
      <c r="L46" s="165">
        <v>3228038</v>
      </c>
      <c r="M46" s="166">
        <v>3228038.0700000003</v>
      </c>
      <c r="N46" s="152">
        <v>0.5</v>
      </c>
      <c r="O46" s="165">
        <v>0</v>
      </c>
      <c r="P46" s="165">
        <v>0</v>
      </c>
      <c r="Q46" s="165">
        <v>0</v>
      </c>
      <c r="R46" s="165">
        <v>0</v>
      </c>
      <c r="S46" s="165">
        <v>3228038</v>
      </c>
      <c r="T46" s="164">
        <v>0</v>
      </c>
      <c r="U46" s="164">
        <v>0</v>
      </c>
      <c r="V46" s="164">
        <v>0</v>
      </c>
      <c r="W46" s="164">
        <v>0</v>
      </c>
      <c r="X46" s="164">
        <v>0</v>
      </c>
      <c r="Y46" s="174" t="b">
        <f t="shared" si="4"/>
        <v>1</v>
      </c>
      <c r="Z46" s="178">
        <f t="shared" si="5"/>
        <v>0.5</v>
      </c>
      <c r="AA46" s="179" t="b">
        <f t="shared" si="6"/>
        <v>1</v>
      </c>
      <c r="AB46" s="179" t="b">
        <f t="shared" si="7"/>
        <v>1</v>
      </c>
      <c r="AC46" s="211"/>
    </row>
    <row r="47" spans="1:29" s="176" customFormat="1" ht="24" x14ac:dyDescent="0.25">
      <c r="A47" s="208">
        <v>45</v>
      </c>
      <c r="B47" s="148" t="s">
        <v>217</v>
      </c>
      <c r="C47" s="149" t="s">
        <v>151</v>
      </c>
      <c r="D47" s="150" t="s">
        <v>218</v>
      </c>
      <c r="E47" s="150">
        <v>1816122</v>
      </c>
      <c r="F47" s="148" t="s">
        <v>215</v>
      </c>
      <c r="G47" s="41" t="s">
        <v>219</v>
      </c>
      <c r="H47" s="148" t="s">
        <v>82</v>
      </c>
      <c r="I47" s="42">
        <v>1.1639999999999999</v>
      </c>
      <c r="J47" s="151" t="s">
        <v>321</v>
      </c>
      <c r="K47" s="164">
        <v>2984593.73</v>
      </c>
      <c r="L47" s="165">
        <v>1790756</v>
      </c>
      <c r="M47" s="166">
        <v>1193837.73</v>
      </c>
      <c r="N47" s="152">
        <v>0.6</v>
      </c>
      <c r="O47" s="165">
        <v>0</v>
      </c>
      <c r="P47" s="165">
        <v>0</v>
      </c>
      <c r="Q47" s="165">
        <v>0</v>
      </c>
      <c r="R47" s="165">
        <v>0</v>
      </c>
      <c r="S47" s="165">
        <v>1790756</v>
      </c>
      <c r="T47" s="164">
        <v>0</v>
      </c>
      <c r="U47" s="164">
        <v>0</v>
      </c>
      <c r="V47" s="164">
        <v>0</v>
      </c>
      <c r="W47" s="164">
        <v>0</v>
      </c>
      <c r="X47" s="164">
        <v>0</v>
      </c>
      <c r="Y47" s="174" t="b">
        <f t="shared" si="4"/>
        <v>1</v>
      </c>
      <c r="Z47" s="178">
        <f t="shared" si="5"/>
        <v>0.6</v>
      </c>
      <c r="AA47" s="179" t="b">
        <f t="shared" si="6"/>
        <v>1</v>
      </c>
      <c r="AB47" s="179" t="b">
        <f t="shared" si="7"/>
        <v>1</v>
      </c>
      <c r="AC47" s="211"/>
    </row>
    <row r="48" spans="1:29" s="176" customFormat="1" ht="24" x14ac:dyDescent="0.25">
      <c r="A48" s="208">
        <v>46</v>
      </c>
      <c r="B48" s="148" t="s">
        <v>220</v>
      </c>
      <c r="C48" s="149" t="s">
        <v>151</v>
      </c>
      <c r="D48" s="150" t="s">
        <v>221</v>
      </c>
      <c r="E48" s="150">
        <v>1817022</v>
      </c>
      <c r="F48" s="148" t="s">
        <v>222</v>
      </c>
      <c r="G48" s="41" t="s">
        <v>223</v>
      </c>
      <c r="H48" s="148" t="s">
        <v>82</v>
      </c>
      <c r="I48" s="42">
        <v>0.9</v>
      </c>
      <c r="J48" s="151" t="s">
        <v>315</v>
      </c>
      <c r="K48" s="164">
        <v>2838645.73</v>
      </c>
      <c r="L48" s="165">
        <v>1703187</v>
      </c>
      <c r="M48" s="166">
        <v>1135458.73</v>
      </c>
      <c r="N48" s="152">
        <v>0.6</v>
      </c>
      <c r="O48" s="165">
        <v>0</v>
      </c>
      <c r="P48" s="165">
        <v>0</v>
      </c>
      <c r="Q48" s="165">
        <v>0</v>
      </c>
      <c r="R48" s="165">
        <v>0</v>
      </c>
      <c r="S48" s="164">
        <v>1703187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74" t="b">
        <f t="shared" si="4"/>
        <v>1</v>
      </c>
      <c r="Z48" s="178">
        <f t="shared" si="5"/>
        <v>0.6</v>
      </c>
      <c r="AA48" s="179" t="b">
        <f t="shared" si="6"/>
        <v>1</v>
      </c>
      <c r="AB48" s="179" t="b">
        <f t="shared" si="7"/>
        <v>1</v>
      </c>
      <c r="AC48" s="211"/>
    </row>
    <row r="49" spans="1:29" s="176" customFormat="1" ht="24" x14ac:dyDescent="0.25">
      <c r="A49" s="208">
        <v>47</v>
      </c>
      <c r="B49" s="148" t="s">
        <v>224</v>
      </c>
      <c r="C49" s="149" t="s">
        <v>151</v>
      </c>
      <c r="D49" s="150" t="s">
        <v>201</v>
      </c>
      <c r="E49" s="150">
        <v>1804042</v>
      </c>
      <c r="F49" s="148" t="s">
        <v>176</v>
      </c>
      <c r="G49" s="41" t="s">
        <v>225</v>
      </c>
      <c r="H49" s="148" t="s">
        <v>82</v>
      </c>
      <c r="I49" s="42">
        <v>0.41099999999999998</v>
      </c>
      <c r="J49" s="151" t="s">
        <v>315</v>
      </c>
      <c r="K49" s="164">
        <v>716068.66</v>
      </c>
      <c r="L49" s="165">
        <v>429641</v>
      </c>
      <c r="M49" s="166">
        <v>286427.66000000003</v>
      </c>
      <c r="N49" s="152">
        <v>0.6</v>
      </c>
      <c r="O49" s="165">
        <v>0</v>
      </c>
      <c r="P49" s="165">
        <v>0</v>
      </c>
      <c r="Q49" s="165">
        <v>0</v>
      </c>
      <c r="R49" s="165">
        <v>0</v>
      </c>
      <c r="S49" s="164">
        <v>429641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74" t="b">
        <f t="shared" si="4"/>
        <v>1</v>
      </c>
      <c r="Z49" s="178">
        <f t="shared" si="5"/>
        <v>0.6</v>
      </c>
      <c r="AA49" s="179" t="b">
        <f t="shared" si="6"/>
        <v>1</v>
      </c>
      <c r="AB49" s="179" t="b">
        <f t="shared" si="7"/>
        <v>1</v>
      </c>
      <c r="AC49" s="211"/>
    </row>
    <row r="50" spans="1:29" s="155" customFormat="1" ht="24" x14ac:dyDescent="0.25">
      <c r="A50" s="228">
        <v>48</v>
      </c>
      <c r="B50" s="158" t="s">
        <v>226</v>
      </c>
      <c r="C50" s="159" t="s">
        <v>147</v>
      </c>
      <c r="D50" s="160" t="s">
        <v>142</v>
      </c>
      <c r="E50" s="160">
        <v>1803042</v>
      </c>
      <c r="F50" s="158" t="s">
        <v>207</v>
      </c>
      <c r="G50" s="153" t="s">
        <v>227</v>
      </c>
      <c r="H50" s="158" t="s">
        <v>82</v>
      </c>
      <c r="I50" s="154">
        <v>0.29638999999999999</v>
      </c>
      <c r="J50" s="161" t="s">
        <v>322</v>
      </c>
      <c r="K50" s="156">
        <v>1454108.79</v>
      </c>
      <c r="L50" s="157">
        <v>727053</v>
      </c>
      <c r="M50" s="163">
        <v>727055.79</v>
      </c>
      <c r="N50" s="162">
        <v>0.5</v>
      </c>
      <c r="O50" s="157">
        <v>0</v>
      </c>
      <c r="P50" s="157">
        <v>0</v>
      </c>
      <c r="Q50" s="157">
        <v>0</v>
      </c>
      <c r="R50" s="157">
        <v>0</v>
      </c>
      <c r="S50" s="156">
        <v>317297</v>
      </c>
      <c r="T50" s="156">
        <v>409756</v>
      </c>
      <c r="U50" s="156">
        <v>0</v>
      </c>
      <c r="V50" s="156">
        <v>0</v>
      </c>
      <c r="W50" s="156">
        <v>0</v>
      </c>
      <c r="X50" s="156">
        <v>0</v>
      </c>
      <c r="Y50" s="229" t="b">
        <f t="shared" si="4"/>
        <v>1</v>
      </c>
      <c r="Z50" s="230">
        <f t="shared" si="5"/>
        <v>0.5</v>
      </c>
      <c r="AA50" s="231" t="b">
        <f t="shared" si="6"/>
        <v>1</v>
      </c>
      <c r="AB50" s="231" t="b">
        <f t="shared" si="7"/>
        <v>1</v>
      </c>
      <c r="AC50" s="210"/>
    </row>
    <row r="51" spans="1:29" s="176" customFormat="1" ht="24" x14ac:dyDescent="0.25">
      <c r="A51" s="208">
        <v>49</v>
      </c>
      <c r="B51" s="148" t="s">
        <v>228</v>
      </c>
      <c r="C51" s="149" t="s">
        <v>151</v>
      </c>
      <c r="D51" s="150" t="s">
        <v>229</v>
      </c>
      <c r="E51" s="150">
        <v>1818032</v>
      </c>
      <c r="F51" s="148" t="s">
        <v>230</v>
      </c>
      <c r="G51" s="41" t="s">
        <v>231</v>
      </c>
      <c r="H51" s="148" t="s">
        <v>82</v>
      </c>
      <c r="I51" s="42">
        <v>0.99</v>
      </c>
      <c r="J51" s="151" t="s">
        <v>323</v>
      </c>
      <c r="K51" s="164">
        <v>708624.78</v>
      </c>
      <c r="L51" s="157">
        <f>ROUNDDOWN(K51*N51,1)</f>
        <v>425174.8</v>
      </c>
      <c r="M51" s="164">
        <f>K51-L51</f>
        <v>283449.98000000004</v>
      </c>
      <c r="N51" s="152">
        <v>0.6</v>
      </c>
      <c r="O51" s="165">
        <v>0</v>
      </c>
      <c r="P51" s="165">
        <v>0</v>
      </c>
      <c r="Q51" s="165">
        <v>0</v>
      </c>
      <c r="R51" s="165">
        <v>0</v>
      </c>
      <c r="S51" s="156">
        <f>L51</f>
        <v>425174.8</v>
      </c>
      <c r="T51" s="164">
        <v>0</v>
      </c>
      <c r="U51" s="164">
        <v>0</v>
      </c>
      <c r="V51" s="164">
        <v>0</v>
      </c>
      <c r="W51" s="164">
        <v>0</v>
      </c>
      <c r="X51" s="164">
        <v>0</v>
      </c>
      <c r="Y51" s="174" t="b">
        <f t="shared" si="4"/>
        <v>1</v>
      </c>
      <c r="Z51" s="178">
        <f t="shared" si="5"/>
        <v>0.6</v>
      </c>
      <c r="AA51" s="179" t="b">
        <f t="shared" si="6"/>
        <v>1</v>
      </c>
      <c r="AB51" s="179" t="b">
        <f t="shared" si="7"/>
        <v>1</v>
      </c>
      <c r="AC51" s="211"/>
    </row>
    <row r="52" spans="1:29" s="176" customFormat="1" ht="24" x14ac:dyDescent="0.25">
      <c r="A52" s="208">
        <v>50</v>
      </c>
      <c r="B52" s="148" t="s">
        <v>232</v>
      </c>
      <c r="C52" s="149" t="s">
        <v>151</v>
      </c>
      <c r="D52" s="150" t="s">
        <v>233</v>
      </c>
      <c r="E52" s="150">
        <v>1813072</v>
      </c>
      <c r="F52" s="148" t="s">
        <v>172</v>
      </c>
      <c r="G52" s="41" t="s">
        <v>234</v>
      </c>
      <c r="H52" s="148" t="s">
        <v>82</v>
      </c>
      <c r="I52" s="42">
        <v>0.65</v>
      </c>
      <c r="J52" s="151" t="s">
        <v>324</v>
      </c>
      <c r="K52" s="164">
        <v>871125.14</v>
      </c>
      <c r="L52" s="165">
        <v>522675</v>
      </c>
      <c r="M52" s="166">
        <v>348450.14</v>
      </c>
      <c r="N52" s="152">
        <v>0.6</v>
      </c>
      <c r="O52" s="165">
        <v>0</v>
      </c>
      <c r="P52" s="165">
        <v>0</v>
      </c>
      <c r="Q52" s="165">
        <v>0</v>
      </c>
      <c r="R52" s="165">
        <v>0</v>
      </c>
      <c r="S52" s="164">
        <v>522675</v>
      </c>
      <c r="T52" s="164">
        <v>0</v>
      </c>
      <c r="U52" s="164">
        <v>0</v>
      </c>
      <c r="V52" s="164">
        <v>0</v>
      </c>
      <c r="W52" s="164">
        <v>0</v>
      </c>
      <c r="X52" s="164">
        <v>0</v>
      </c>
      <c r="Y52" s="174" t="b">
        <f t="shared" si="4"/>
        <v>1</v>
      </c>
      <c r="Z52" s="178">
        <f t="shared" si="5"/>
        <v>0.6</v>
      </c>
      <c r="AA52" s="179" t="b">
        <f t="shared" si="6"/>
        <v>1</v>
      </c>
      <c r="AB52" s="179" t="b">
        <f t="shared" si="7"/>
        <v>1</v>
      </c>
      <c r="AC52" s="211"/>
    </row>
    <row r="53" spans="1:29" s="176" customFormat="1" ht="36" x14ac:dyDescent="0.25">
      <c r="A53" s="208">
        <v>51</v>
      </c>
      <c r="B53" s="148" t="s">
        <v>235</v>
      </c>
      <c r="C53" s="149" t="s">
        <v>151</v>
      </c>
      <c r="D53" s="150" t="s">
        <v>71</v>
      </c>
      <c r="E53" s="150">
        <v>1810042</v>
      </c>
      <c r="F53" s="148" t="s">
        <v>179</v>
      </c>
      <c r="G53" s="41" t="s">
        <v>236</v>
      </c>
      <c r="H53" s="148" t="s">
        <v>69</v>
      </c>
      <c r="I53" s="42">
        <v>0.15084</v>
      </c>
      <c r="J53" s="151" t="s">
        <v>309</v>
      </c>
      <c r="K53" s="164">
        <v>829959.93</v>
      </c>
      <c r="L53" s="165">
        <v>497975</v>
      </c>
      <c r="M53" s="166">
        <v>331984.93000000005</v>
      </c>
      <c r="N53" s="152">
        <v>0.6</v>
      </c>
      <c r="O53" s="165">
        <v>0</v>
      </c>
      <c r="P53" s="165">
        <v>0</v>
      </c>
      <c r="Q53" s="165">
        <v>0</v>
      </c>
      <c r="R53" s="165">
        <v>0</v>
      </c>
      <c r="S53" s="164">
        <v>497975</v>
      </c>
      <c r="T53" s="164">
        <v>0</v>
      </c>
      <c r="U53" s="164">
        <v>0</v>
      </c>
      <c r="V53" s="164">
        <v>0</v>
      </c>
      <c r="W53" s="164">
        <v>0</v>
      </c>
      <c r="X53" s="164">
        <v>0</v>
      </c>
      <c r="Y53" s="174" t="b">
        <f t="shared" si="4"/>
        <v>1</v>
      </c>
      <c r="Z53" s="178">
        <f t="shared" si="5"/>
        <v>0.6</v>
      </c>
      <c r="AA53" s="179" t="b">
        <f t="shared" si="6"/>
        <v>1</v>
      </c>
      <c r="AB53" s="179" t="b">
        <f t="shared" si="7"/>
        <v>1</v>
      </c>
      <c r="AC53" s="211"/>
    </row>
    <row r="54" spans="1:29" s="176" customFormat="1" ht="24" x14ac:dyDescent="0.25">
      <c r="A54" s="208">
        <v>52</v>
      </c>
      <c r="B54" s="148" t="s">
        <v>237</v>
      </c>
      <c r="C54" s="149" t="s">
        <v>151</v>
      </c>
      <c r="D54" s="150" t="s">
        <v>238</v>
      </c>
      <c r="E54" s="150">
        <v>1812032</v>
      </c>
      <c r="F54" s="148" t="s">
        <v>157</v>
      </c>
      <c r="G54" s="41" t="s">
        <v>239</v>
      </c>
      <c r="H54" s="148" t="s">
        <v>82</v>
      </c>
      <c r="I54" s="42">
        <v>0.999</v>
      </c>
      <c r="J54" s="151" t="s">
        <v>314</v>
      </c>
      <c r="K54" s="164">
        <v>2618580.33</v>
      </c>
      <c r="L54" s="165">
        <v>1571148</v>
      </c>
      <c r="M54" s="166">
        <v>1047432.3300000001</v>
      </c>
      <c r="N54" s="152">
        <v>0.6</v>
      </c>
      <c r="O54" s="165">
        <v>0</v>
      </c>
      <c r="P54" s="165">
        <v>0</v>
      </c>
      <c r="Q54" s="165">
        <v>0</v>
      </c>
      <c r="R54" s="165">
        <v>0</v>
      </c>
      <c r="S54" s="164">
        <v>1571148</v>
      </c>
      <c r="T54" s="164">
        <v>0</v>
      </c>
      <c r="U54" s="164">
        <v>0</v>
      </c>
      <c r="V54" s="164">
        <v>0</v>
      </c>
      <c r="W54" s="164">
        <v>0</v>
      </c>
      <c r="X54" s="164">
        <v>0</v>
      </c>
      <c r="Y54" s="174" t="b">
        <f t="shared" si="4"/>
        <v>1</v>
      </c>
      <c r="Z54" s="178">
        <f t="shared" si="5"/>
        <v>0.6</v>
      </c>
      <c r="AA54" s="179" t="b">
        <f t="shared" si="6"/>
        <v>1</v>
      </c>
      <c r="AB54" s="179" t="b">
        <f t="shared" si="7"/>
        <v>1</v>
      </c>
      <c r="AC54" s="211"/>
    </row>
    <row r="55" spans="1:29" s="176" customFormat="1" ht="36" x14ac:dyDescent="0.25">
      <c r="A55" s="208">
        <v>53</v>
      </c>
      <c r="B55" s="148" t="s">
        <v>240</v>
      </c>
      <c r="C55" s="149" t="s">
        <v>151</v>
      </c>
      <c r="D55" s="150" t="s">
        <v>160</v>
      </c>
      <c r="E55" s="150">
        <v>1820013</v>
      </c>
      <c r="F55" s="148" t="s">
        <v>161</v>
      </c>
      <c r="G55" s="41" t="s">
        <v>241</v>
      </c>
      <c r="H55" s="148" t="s">
        <v>82</v>
      </c>
      <c r="I55" s="42">
        <v>0.28000000000000003</v>
      </c>
      <c r="J55" s="151" t="s">
        <v>318</v>
      </c>
      <c r="K55" s="164">
        <v>921125.8</v>
      </c>
      <c r="L55" s="165">
        <v>460562</v>
      </c>
      <c r="M55" s="166">
        <v>460563.80000000005</v>
      </c>
      <c r="N55" s="152">
        <v>0.5</v>
      </c>
      <c r="O55" s="165">
        <v>0</v>
      </c>
      <c r="P55" s="165">
        <v>0</v>
      </c>
      <c r="Q55" s="165">
        <v>0</v>
      </c>
      <c r="R55" s="165">
        <v>0</v>
      </c>
      <c r="S55" s="164">
        <v>460562</v>
      </c>
      <c r="T55" s="164">
        <v>0</v>
      </c>
      <c r="U55" s="164">
        <v>0</v>
      </c>
      <c r="V55" s="164">
        <v>0</v>
      </c>
      <c r="W55" s="164">
        <v>0</v>
      </c>
      <c r="X55" s="164">
        <v>0</v>
      </c>
      <c r="Y55" s="174" t="b">
        <f t="shared" si="4"/>
        <v>1</v>
      </c>
      <c r="Z55" s="178">
        <f t="shared" si="5"/>
        <v>0.5</v>
      </c>
      <c r="AA55" s="179" t="b">
        <f t="shared" si="6"/>
        <v>1</v>
      </c>
      <c r="AB55" s="179" t="b">
        <f t="shared" si="7"/>
        <v>1</v>
      </c>
      <c r="AC55" s="211"/>
    </row>
    <row r="56" spans="1:29" s="176" customFormat="1" ht="24" x14ac:dyDescent="0.25">
      <c r="A56" s="208">
        <v>54</v>
      </c>
      <c r="B56" s="148" t="s">
        <v>242</v>
      </c>
      <c r="C56" s="149" t="s">
        <v>151</v>
      </c>
      <c r="D56" s="150" t="s">
        <v>243</v>
      </c>
      <c r="E56" s="150">
        <v>1803072</v>
      </c>
      <c r="F56" s="148" t="s">
        <v>207</v>
      </c>
      <c r="G56" s="41" t="s">
        <v>244</v>
      </c>
      <c r="H56" s="148" t="s">
        <v>82</v>
      </c>
      <c r="I56" s="42">
        <v>0.42399999999999999</v>
      </c>
      <c r="J56" s="151" t="s">
        <v>325</v>
      </c>
      <c r="K56" s="164">
        <v>1881500</v>
      </c>
      <c r="L56" s="165">
        <v>1128900</v>
      </c>
      <c r="M56" s="166">
        <v>752600</v>
      </c>
      <c r="N56" s="152">
        <v>0.6</v>
      </c>
      <c r="O56" s="165">
        <v>0</v>
      </c>
      <c r="P56" s="165">
        <v>0</v>
      </c>
      <c r="Q56" s="165">
        <v>0</v>
      </c>
      <c r="R56" s="165">
        <v>0</v>
      </c>
      <c r="S56" s="164">
        <v>1128900</v>
      </c>
      <c r="T56" s="164">
        <v>0</v>
      </c>
      <c r="U56" s="164">
        <v>0</v>
      </c>
      <c r="V56" s="164">
        <v>0</v>
      </c>
      <c r="W56" s="164">
        <v>0</v>
      </c>
      <c r="X56" s="164">
        <v>0</v>
      </c>
      <c r="Y56" s="174" t="b">
        <f t="shared" si="4"/>
        <v>1</v>
      </c>
      <c r="Z56" s="178">
        <f t="shared" si="5"/>
        <v>0.6</v>
      </c>
      <c r="AA56" s="179" t="b">
        <f t="shared" si="6"/>
        <v>1</v>
      </c>
      <c r="AB56" s="179" t="b">
        <f t="shared" si="7"/>
        <v>1</v>
      </c>
      <c r="AC56" s="211"/>
    </row>
    <row r="57" spans="1:29" s="176" customFormat="1" ht="24" x14ac:dyDescent="0.25">
      <c r="A57" s="208">
        <v>55</v>
      </c>
      <c r="B57" s="148" t="s">
        <v>245</v>
      </c>
      <c r="C57" s="149" t="s">
        <v>151</v>
      </c>
      <c r="D57" s="150" t="s">
        <v>246</v>
      </c>
      <c r="E57" s="150">
        <v>1864011</v>
      </c>
      <c r="F57" s="148" t="s">
        <v>247</v>
      </c>
      <c r="G57" s="41" t="s">
        <v>248</v>
      </c>
      <c r="H57" s="148" t="s">
        <v>82</v>
      </c>
      <c r="I57" s="42">
        <v>0.21</v>
      </c>
      <c r="J57" s="151" t="s">
        <v>318</v>
      </c>
      <c r="K57" s="164">
        <v>1564802.57</v>
      </c>
      <c r="L57" s="165">
        <v>782401</v>
      </c>
      <c r="M57" s="166">
        <v>782401.57000000007</v>
      </c>
      <c r="N57" s="152">
        <v>0.5</v>
      </c>
      <c r="O57" s="165">
        <v>0</v>
      </c>
      <c r="P57" s="165">
        <v>0</v>
      </c>
      <c r="Q57" s="165">
        <v>0</v>
      </c>
      <c r="R57" s="165">
        <v>0</v>
      </c>
      <c r="S57" s="164">
        <v>782401</v>
      </c>
      <c r="T57" s="164">
        <v>0</v>
      </c>
      <c r="U57" s="164">
        <v>0</v>
      </c>
      <c r="V57" s="164">
        <v>0</v>
      </c>
      <c r="W57" s="164">
        <v>0</v>
      </c>
      <c r="X57" s="164">
        <v>0</v>
      </c>
      <c r="Y57" s="174" t="b">
        <f t="shared" si="4"/>
        <v>1</v>
      </c>
      <c r="Z57" s="178">
        <f t="shared" si="5"/>
        <v>0.5</v>
      </c>
      <c r="AA57" s="179" t="b">
        <f t="shared" si="6"/>
        <v>1</v>
      </c>
      <c r="AB57" s="179" t="b">
        <f t="shared" si="7"/>
        <v>1</v>
      </c>
      <c r="AC57" s="211"/>
    </row>
    <row r="58" spans="1:29" s="176" customFormat="1" ht="24" x14ac:dyDescent="0.25">
      <c r="A58" s="208">
        <v>56</v>
      </c>
      <c r="B58" s="148" t="s">
        <v>249</v>
      </c>
      <c r="C58" s="149" t="s">
        <v>151</v>
      </c>
      <c r="D58" s="150" t="s">
        <v>175</v>
      </c>
      <c r="E58" s="150">
        <v>1804032</v>
      </c>
      <c r="F58" s="148" t="s">
        <v>176</v>
      </c>
      <c r="G58" s="41" t="s">
        <v>250</v>
      </c>
      <c r="H58" s="148" t="s">
        <v>82</v>
      </c>
      <c r="I58" s="42">
        <v>1.395</v>
      </c>
      <c r="J58" s="151" t="s">
        <v>326</v>
      </c>
      <c r="K58" s="164">
        <v>1956577.9</v>
      </c>
      <c r="L58" s="165">
        <v>1173946</v>
      </c>
      <c r="M58" s="166">
        <v>782631.89999999991</v>
      </c>
      <c r="N58" s="152">
        <v>0.6</v>
      </c>
      <c r="O58" s="165">
        <v>0</v>
      </c>
      <c r="P58" s="165">
        <v>0</v>
      </c>
      <c r="Q58" s="165">
        <v>0</v>
      </c>
      <c r="R58" s="165">
        <v>0</v>
      </c>
      <c r="S58" s="164">
        <v>1173946</v>
      </c>
      <c r="T58" s="164">
        <v>0</v>
      </c>
      <c r="U58" s="164">
        <v>0</v>
      </c>
      <c r="V58" s="164">
        <v>0</v>
      </c>
      <c r="W58" s="164">
        <v>0</v>
      </c>
      <c r="X58" s="164">
        <v>0</v>
      </c>
      <c r="Y58" s="174" t="b">
        <f t="shared" si="4"/>
        <v>1</v>
      </c>
      <c r="Z58" s="178">
        <f t="shared" si="5"/>
        <v>0.6</v>
      </c>
      <c r="AA58" s="179" t="b">
        <f t="shared" si="6"/>
        <v>1</v>
      </c>
      <c r="AB58" s="179" t="b">
        <f t="shared" si="7"/>
        <v>1</v>
      </c>
      <c r="AC58" s="211"/>
    </row>
    <row r="59" spans="1:29" s="176" customFormat="1" ht="24" x14ac:dyDescent="0.25">
      <c r="A59" s="208">
        <v>57</v>
      </c>
      <c r="B59" s="148" t="s">
        <v>251</v>
      </c>
      <c r="C59" s="149" t="s">
        <v>151</v>
      </c>
      <c r="D59" s="150" t="s">
        <v>252</v>
      </c>
      <c r="E59" s="150">
        <v>1813052</v>
      </c>
      <c r="F59" s="148" t="s">
        <v>172</v>
      </c>
      <c r="G59" s="41" t="s">
        <v>253</v>
      </c>
      <c r="H59" s="148" t="s">
        <v>82</v>
      </c>
      <c r="I59" s="42">
        <v>1.2549999999999999</v>
      </c>
      <c r="J59" s="151" t="s">
        <v>320</v>
      </c>
      <c r="K59" s="164">
        <v>2323194.17</v>
      </c>
      <c r="L59" s="165">
        <v>1161597</v>
      </c>
      <c r="M59" s="166">
        <v>1161597.17</v>
      </c>
      <c r="N59" s="152">
        <v>0.5</v>
      </c>
      <c r="O59" s="165">
        <v>0</v>
      </c>
      <c r="P59" s="165">
        <v>0</v>
      </c>
      <c r="Q59" s="165">
        <v>0</v>
      </c>
      <c r="R59" s="165">
        <v>0</v>
      </c>
      <c r="S59" s="164">
        <v>1161597</v>
      </c>
      <c r="T59" s="164">
        <v>0</v>
      </c>
      <c r="U59" s="164">
        <v>0</v>
      </c>
      <c r="V59" s="164">
        <v>0</v>
      </c>
      <c r="W59" s="164">
        <v>0</v>
      </c>
      <c r="X59" s="164">
        <v>0</v>
      </c>
      <c r="Y59" s="174" t="b">
        <f t="shared" si="4"/>
        <v>1</v>
      </c>
      <c r="Z59" s="178">
        <f t="shared" si="5"/>
        <v>0.5</v>
      </c>
      <c r="AA59" s="179" t="b">
        <f t="shared" si="6"/>
        <v>1</v>
      </c>
      <c r="AB59" s="179" t="b">
        <f t="shared" si="7"/>
        <v>1</v>
      </c>
      <c r="AC59" s="211"/>
    </row>
    <row r="60" spans="1:29" s="176" customFormat="1" ht="24" x14ac:dyDescent="0.25">
      <c r="A60" s="208">
        <v>58</v>
      </c>
      <c r="B60" s="148" t="s">
        <v>254</v>
      </c>
      <c r="C60" s="149" t="s">
        <v>151</v>
      </c>
      <c r="D60" s="150" t="s">
        <v>171</v>
      </c>
      <c r="E60" s="150">
        <v>1813032</v>
      </c>
      <c r="F60" s="148" t="s">
        <v>172</v>
      </c>
      <c r="G60" s="41" t="s">
        <v>255</v>
      </c>
      <c r="H60" s="148" t="s">
        <v>82</v>
      </c>
      <c r="I60" s="42">
        <v>0.999</v>
      </c>
      <c r="J60" s="151" t="s">
        <v>311</v>
      </c>
      <c r="K60" s="164">
        <v>1182744.8899999999</v>
      </c>
      <c r="L60" s="165">
        <v>591372</v>
      </c>
      <c r="M60" s="166">
        <v>591372.8899999999</v>
      </c>
      <c r="N60" s="152">
        <v>0.5</v>
      </c>
      <c r="O60" s="165">
        <v>0</v>
      </c>
      <c r="P60" s="165">
        <v>0</v>
      </c>
      <c r="Q60" s="165">
        <v>0</v>
      </c>
      <c r="R60" s="165">
        <v>0</v>
      </c>
      <c r="S60" s="164">
        <v>591372</v>
      </c>
      <c r="T60" s="164">
        <v>0</v>
      </c>
      <c r="U60" s="164">
        <v>0</v>
      </c>
      <c r="V60" s="164">
        <v>0</v>
      </c>
      <c r="W60" s="164">
        <v>0</v>
      </c>
      <c r="X60" s="164">
        <v>0</v>
      </c>
      <c r="Y60" s="174" t="b">
        <f t="shared" si="4"/>
        <v>1</v>
      </c>
      <c r="Z60" s="178">
        <f t="shared" si="5"/>
        <v>0.5</v>
      </c>
      <c r="AA60" s="179" t="b">
        <f t="shared" si="6"/>
        <v>1</v>
      </c>
      <c r="AB60" s="179" t="b">
        <f t="shared" si="7"/>
        <v>1</v>
      </c>
      <c r="AC60" s="211"/>
    </row>
    <row r="61" spans="1:29" s="176" customFormat="1" ht="36" x14ac:dyDescent="0.25">
      <c r="A61" s="208">
        <v>59</v>
      </c>
      <c r="B61" s="148" t="s">
        <v>256</v>
      </c>
      <c r="C61" s="149" t="s">
        <v>151</v>
      </c>
      <c r="D61" s="150" t="s">
        <v>257</v>
      </c>
      <c r="E61" s="150">
        <v>1802032</v>
      </c>
      <c r="F61" s="148" t="s">
        <v>258</v>
      </c>
      <c r="G61" s="41" t="s">
        <v>259</v>
      </c>
      <c r="H61" s="148" t="s">
        <v>82</v>
      </c>
      <c r="I61" s="42">
        <v>0.998</v>
      </c>
      <c r="J61" s="151" t="s">
        <v>321</v>
      </c>
      <c r="K61" s="164">
        <v>1220218.6200000001</v>
      </c>
      <c r="L61" s="165">
        <v>610109</v>
      </c>
      <c r="M61" s="166">
        <v>610109.62000000011</v>
      </c>
      <c r="N61" s="152">
        <v>0.5</v>
      </c>
      <c r="O61" s="165">
        <v>0</v>
      </c>
      <c r="P61" s="165">
        <v>0</v>
      </c>
      <c r="Q61" s="165">
        <v>0</v>
      </c>
      <c r="R61" s="165">
        <v>0</v>
      </c>
      <c r="S61" s="164">
        <v>610109</v>
      </c>
      <c r="T61" s="164">
        <v>0</v>
      </c>
      <c r="U61" s="164">
        <v>0</v>
      </c>
      <c r="V61" s="164">
        <v>0</v>
      </c>
      <c r="W61" s="164">
        <v>0</v>
      </c>
      <c r="X61" s="164">
        <v>0</v>
      </c>
      <c r="Y61" s="174" t="b">
        <f t="shared" si="4"/>
        <v>1</v>
      </c>
      <c r="Z61" s="178">
        <f t="shared" si="5"/>
        <v>0.5</v>
      </c>
      <c r="AA61" s="179" t="b">
        <f t="shared" si="6"/>
        <v>1</v>
      </c>
      <c r="AB61" s="179" t="b">
        <f t="shared" si="7"/>
        <v>1</v>
      </c>
      <c r="AC61" s="211"/>
    </row>
    <row r="62" spans="1:29" s="176" customFormat="1" ht="24" x14ac:dyDescent="0.25">
      <c r="A62" s="208">
        <v>60</v>
      </c>
      <c r="B62" s="148" t="s">
        <v>260</v>
      </c>
      <c r="C62" s="149" t="s">
        <v>151</v>
      </c>
      <c r="D62" s="150" t="s">
        <v>152</v>
      </c>
      <c r="E62" s="150">
        <v>1821042</v>
      </c>
      <c r="F62" s="148" t="s">
        <v>153</v>
      </c>
      <c r="G62" s="41" t="s">
        <v>261</v>
      </c>
      <c r="H62" s="148" t="s">
        <v>82</v>
      </c>
      <c r="I62" s="42">
        <v>0.8</v>
      </c>
      <c r="J62" s="151" t="s">
        <v>307</v>
      </c>
      <c r="K62" s="164">
        <v>795041</v>
      </c>
      <c r="L62" s="165">
        <v>397520</v>
      </c>
      <c r="M62" s="166">
        <v>397521</v>
      </c>
      <c r="N62" s="152">
        <v>0.5</v>
      </c>
      <c r="O62" s="165">
        <v>0</v>
      </c>
      <c r="P62" s="165">
        <v>0</v>
      </c>
      <c r="Q62" s="165">
        <v>0</v>
      </c>
      <c r="R62" s="165">
        <v>0</v>
      </c>
      <c r="S62" s="164">
        <v>397520</v>
      </c>
      <c r="T62" s="164">
        <v>0</v>
      </c>
      <c r="U62" s="164">
        <v>0</v>
      </c>
      <c r="V62" s="164">
        <v>0</v>
      </c>
      <c r="W62" s="164">
        <v>0</v>
      </c>
      <c r="X62" s="164">
        <v>0</v>
      </c>
      <c r="Y62" s="174" t="b">
        <f t="shared" si="4"/>
        <v>1</v>
      </c>
      <c r="Z62" s="178">
        <f t="shared" si="5"/>
        <v>0.5</v>
      </c>
      <c r="AA62" s="179" t="b">
        <f t="shared" si="6"/>
        <v>1</v>
      </c>
      <c r="AB62" s="179" t="b">
        <f t="shared" si="7"/>
        <v>1</v>
      </c>
      <c r="AC62" s="211"/>
    </row>
    <row r="63" spans="1:29" s="176" customFormat="1" ht="24" x14ac:dyDescent="0.25">
      <c r="A63" s="208">
        <v>61</v>
      </c>
      <c r="B63" s="148" t="s">
        <v>262</v>
      </c>
      <c r="C63" s="149" t="s">
        <v>151</v>
      </c>
      <c r="D63" s="150" t="s">
        <v>263</v>
      </c>
      <c r="E63" s="150">
        <v>1819032</v>
      </c>
      <c r="F63" s="148" t="s">
        <v>264</v>
      </c>
      <c r="G63" s="41" t="s">
        <v>265</v>
      </c>
      <c r="H63" s="148" t="s">
        <v>197</v>
      </c>
      <c r="I63" s="42">
        <v>0.56000000000000005</v>
      </c>
      <c r="J63" s="151" t="s">
        <v>327</v>
      </c>
      <c r="K63" s="164">
        <v>343143.63</v>
      </c>
      <c r="L63" s="165">
        <v>205886</v>
      </c>
      <c r="M63" s="166">
        <v>137257.63</v>
      </c>
      <c r="N63" s="152">
        <v>0.6</v>
      </c>
      <c r="O63" s="165">
        <v>0</v>
      </c>
      <c r="P63" s="165">
        <v>0</v>
      </c>
      <c r="Q63" s="165">
        <v>0</v>
      </c>
      <c r="R63" s="165">
        <v>0</v>
      </c>
      <c r="S63" s="164">
        <v>205886</v>
      </c>
      <c r="T63" s="164">
        <v>0</v>
      </c>
      <c r="U63" s="164">
        <v>0</v>
      </c>
      <c r="V63" s="164">
        <v>0</v>
      </c>
      <c r="W63" s="164">
        <v>0</v>
      </c>
      <c r="X63" s="164">
        <v>0</v>
      </c>
      <c r="Y63" s="174" t="b">
        <f t="shared" si="4"/>
        <v>1</v>
      </c>
      <c r="Z63" s="178">
        <f t="shared" si="5"/>
        <v>0.6</v>
      </c>
      <c r="AA63" s="179" t="b">
        <f t="shared" si="6"/>
        <v>1</v>
      </c>
      <c r="AB63" s="179" t="b">
        <f t="shared" si="7"/>
        <v>1</v>
      </c>
      <c r="AC63" s="211"/>
    </row>
    <row r="64" spans="1:29" s="176" customFormat="1" ht="36" x14ac:dyDescent="0.25">
      <c r="A64" s="208">
        <v>62</v>
      </c>
      <c r="B64" s="148" t="s">
        <v>266</v>
      </c>
      <c r="C64" s="149" t="s">
        <v>151</v>
      </c>
      <c r="D64" s="150" t="s">
        <v>267</v>
      </c>
      <c r="E64" s="150">
        <v>1804082</v>
      </c>
      <c r="F64" s="148" t="s">
        <v>176</v>
      </c>
      <c r="G64" s="41" t="s">
        <v>268</v>
      </c>
      <c r="H64" s="148" t="s">
        <v>197</v>
      </c>
      <c r="I64" s="42">
        <v>2.5710000000000002</v>
      </c>
      <c r="J64" s="151" t="s">
        <v>328</v>
      </c>
      <c r="K64" s="164">
        <v>1788722.71</v>
      </c>
      <c r="L64" s="165">
        <v>894361</v>
      </c>
      <c r="M64" s="166">
        <v>894361.71</v>
      </c>
      <c r="N64" s="152">
        <v>0.5</v>
      </c>
      <c r="O64" s="165">
        <v>0</v>
      </c>
      <c r="P64" s="165">
        <v>0</v>
      </c>
      <c r="Q64" s="165">
        <v>0</v>
      </c>
      <c r="R64" s="165">
        <v>0</v>
      </c>
      <c r="S64" s="164">
        <v>894361</v>
      </c>
      <c r="T64" s="164">
        <v>0</v>
      </c>
      <c r="U64" s="164">
        <v>0</v>
      </c>
      <c r="V64" s="164">
        <v>0</v>
      </c>
      <c r="W64" s="164">
        <v>0</v>
      </c>
      <c r="X64" s="164">
        <v>0</v>
      </c>
      <c r="Y64" s="174" t="b">
        <f t="shared" si="4"/>
        <v>1</v>
      </c>
      <c r="Z64" s="178">
        <f t="shared" si="5"/>
        <v>0.5</v>
      </c>
      <c r="AA64" s="179" t="b">
        <f t="shared" si="6"/>
        <v>1</v>
      </c>
      <c r="AB64" s="179" t="b">
        <f t="shared" si="7"/>
        <v>1</v>
      </c>
      <c r="AC64" s="211"/>
    </row>
    <row r="65" spans="1:29" s="176" customFormat="1" ht="24" x14ac:dyDescent="0.25">
      <c r="A65" s="208">
        <v>63</v>
      </c>
      <c r="B65" s="148" t="s">
        <v>269</v>
      </c>
      <c r="C65" s="149" t="s">
        <v>151</v>
      </c>
      <c r="D65" s="150" t="s">
        <v>156</v>
      </c>
      <c r="E65" s="150">
        <v>1812073</v>
      </c>
      <c r="F65" s="148" t="s">
        <v>157</v>
      </c>
      <c r="G65" s="41" t="s">
        <v>270</v>
      </c>
      <c r="H65" s="148" t="s">
        <v>197</v>
      </c>
      <c r="I65" s="42">
        <v>1.052</v>
      </c>
      <c r="J65" s="151" t="s">
        <v>318</v>
      </c>
      <c r="K65" s="164">
        <v>593726.68999999994</v>
      </c>
      <c r="L65" s="165">
        <v>296863</v>
      </c>
      <c r="M65" s="166">
        <v>296863.68999999994</v>
      </c>
      <c r="N65" s="152">
        <v>0.5</v>
      </c>
      <c r="O65" s="165">
        <v>0</v>
      </c>
      <c r="P65" s="165">
        <v>0</v>
      </c>
      <c r="Q65" s="165">
        <v>0</v>
      </c>
      <c r="R65" s="165">
        <v>0</v>
      </c>
      <c r="S65" s="164">
        <v>296863</v>
      </c>
      <c r="T65" s="164">
        <v>0</v>
      </c>
      <c r="U65" s="164">
        <v>0</v>
      </c>
      <c r="V65" s="164">
        <v>0</v>
      </c>
      <c r="W65" s="164">
        <v>0</v>
      </c>
      <c r="X65" s="164">
        <v>0</v>
      </c>
      <c r="Y65" s="174" t="b">
        <f t="shared" si="4"/>
        <v>1</v>
      </c>
      <c r="Z65" s="178">
        <f t="shared" si="5"/>
        <v>0.5</v>
      </c>
      <c r="AA65" s="179" t="b">
        <f t="shared" si="6"/>
        <v>1</v>
      </c>
      <c r="AB65" s="179" t="b">
        <f t="shared" si="7"/>
        <v>1</v>
      </c>
      <c r="AC65" s="211"/>
    </row>
    <row r="66" spans="1:29" s="176" customFormat="1" ht="36" x14ac:dyDescent="0.25">
      <c r="A66" s="208">
        <v>64</v>
      </c>
      <c r="B66" s="148" t="s">
        <v>271</v>
      </c>
      <c r="C66" s="149" t="s">
        <v>151</v>
      </c>
      <c r="D66" s="150" t="s">
        <v>94</v>
      </c>
      <c r="E66" s="150">
        <v>1814053</v>
      </c>
      <c r="F66" s="148" t="s">
        <v>168</v>
      </c>
      <c r="G66" s="41" t="s">
        <v>272</v>
      </c>
      <c r="H66" s="148" t="s">
        <v>197</v>
      </c>
      <c r="I66" s="42">
        <v>0.69399999999999995</v>
      </c>
      <c r="J66" s="151" t="s">
        <v>328</v>
      </c>
      <c r="K66" s="164">
        <v>338567.92</v>
      </c>
      <c r="L66" s="165">
        <v>203140</v>
      </c>
      <c r="M66" s="166">
        <v>135427.91999999998</v>
      </c>
      <c r="N66" s="152">
        <v>0.6</v>
      </c>
      <c r="O66" s="165">
        <v>0</v>
      </c>
      <c r="P66" s="165">
        <v>0</v>
      </c>
      <c r="Q66" s="165">
        <v>0</v>
      </c>
      <c r="R66" s="165">
        <v>0</v>
      </c>
      <c r="S66" s="164">
        <v>203140</v>
      </c>
      <c r="T66" s="164">
        <v>0</v>
      </c>
      <c r="U66" s="164">
        <v>0</v>
      </c>
      <c r="V66" s="164">
        <v>0</v>
      </c>
      <c r="W66" s="164">
        <v>0</v>
      </c>
      <c r="X66" s="164">
        <v>0</v>
      </c>
      <c r="Y66" s="174" t="b">
        <f t="shared" si="4"/>
        <v>1</v>
      </c>
      <c r="Z66" s="178">
        <f t="shared" si="5"/>
        <v>0.6</v>
      </c>
      <c r="AA66" s="179" t="b">
        <f t="shared" si="6"/>
        <v>1</v>
      </c>
      <c r="AB66" s="179" t="b">
        <f t="shared" si="7"/>
        <v>1</v>
      </c>
      <c r="AC66" s="211"/>
    </row>
    <row r="67" spans="1:29" s="176" customFormat="1" ht="24" x14ac:dyDescent="0.25">
      <c r="A67" s="208">
        <v>65</v>
      </c>
      <c r="B67" s="148" t="s">
        <v>273</v>
      </c>
      <c r="C67" s="149" t="s">
        <v>151</v>
      </c>
      <c r="D67" s="150" t="s">
        <v>274</v>
      </c>
      <c r="E67" s="150">
        <v>1817042</v>
      </c>
      <c r="F67" s="148" t="s">
        <v>222</v>
      </c>
      <c r="G67" s="41" t="s">
        <v>275</v>
      </c>
      <c r="H67" s="148" t="s">
        <v>197</v>
      </c>
      <c r="I67" s="42">
        <v>0.37</v>
      </c>
      <c r="J67" s="151" t="s">
        <v>315</v>
      </c>
      <c r="K67" s="164">
        <v>568963.82999999996</v>
      </c>
      <c r="L67" s="165">
        <v>284481</v>
      </c>
      <c r="M67" s="166">
        <v>284482.82999999996</v>
      </c>
      <c r="N67" s="152">
        <v>0.5</v>
      </c>
      <c r="O67" s="165">
        <v>0</v>
      </c>
      <c r="P67" s="165">
        <v>0</v>
      </c>
      <c r="Q67" s="165">
        <v>0</v>
      </c>
      <c r="R67" s="165">
        <v>0</v>
      </c>
      <c r="S67" s="164">
        <v>284481</v>
      </c>
      <c r="T67" s="164">
        <v>0</v>
      </c>
      <c r="U67" s="164">
        <v>0</v>
      </c>
      <c r="V67" s="164">
        <v>0</v>
      </c>
      <c r="W67" s="164">
        <v>0</v>
      </c>
      <c r="X67" s="164">
        <v>0</v>
      </c>
      <c r="Y67" s="174" t="b">
        <f t="shared" si="4"/>
        <v>1</v>
      </c>
      <c r="Z67" s="178">
        <f t="shared" si="5"/>
        <v>0.5</v>
      </c>
      <c r="AA67" s="179" t="b">
        <f t="shared" si="6"/>
        <v>1</v>
      </c>
      <c r="AB67" s="179" t="b">
        <f t="shared" si="7"/>
        <v>1</v>
      </c>
      <c r="AC67" s="211"/>
    </row>
    <row r="68" spans="1:29" s="176" customFormat="1" ht="24" x14ac:dyDescent="0.25">
      <c r="A68" s="208">
        <v>66</v>
      </c>
      <c r="B68" s="148" t="s">
        <v>276</v>
      </c>
      <c r="C68" s="149" t="s">
        <v>151</v>
      </c>
      <c r="D68" s="150" t="s">
        <v>206</v>
      </c>
      <c r="E68" s="150">
        <v>1803023</v>
      </c>
      <c r="F68" s="148" t="s">
        <v>207</v>
      </c>
      <c r="G68" s="41" t="s">
        <v>277</v>
      </c>
      <c r="H68" s="148" t="s">
        <v>69</v>
      </c>
      <c r="I68" s="42">
        <v>0.89200000000000002</v>
      </c>
      <c r="J68" s="151" t="s">
        <v>329</v>
      </c>
      <c r="K68" s="164">
        <v>6169343</v>
      </c>
      <c r="L68" s="165">
        <v>3701605</v>
      </c>
      <c r="M68" s="166">
        <v>2467738</v>
      </c>
      <c r="N68" s="152">
        <v>0.6</v>
      </c>
      <c r="O68" s="165">
        <v>0</v>
      </c>
      <c r="P68" s="165">
        <v>0</v>
      </c>
      <c r="Q68" s="165">
        <v>0</v>
      </c>
      <c r="R68" s="165">
        <v>0</v>
      </c>
      <c r="S68" s="164">
        <v>3701605</v>
      </c>
      <c r="T68" s="164">
        <v>0</v>
      </c>
      <c r="U68" s="164">
        <v>0</v>
      </c>
      <c r="V68" s="164">
        <v>0</v>
      </c>
      <c r="W68" s="164">
        <v>0</v>
      </c>
      <c r="X68" s="164">
        <v>0</v>
      </c>
      <c r="Y68" s="174" t="b">
        <f t="shared" si="4"/>
        <v>1</v>
      </c>
      <c r="Z68" s="178">
        <f t="shared" si="5"/>
        <v>0.6</v>
      </c>
      <c r="AA68" s="179" t="b">
        <f t="shared" si="6"/>
        <v>1</v>
      </c>
      <c r="AB68" s="179" t="b">
        <f t="shared" si="7"/>
        <v>1</v>
      </c>
      <c r="AC68" s="211"/>
    </row>
    <row r="69" spans="1:29" s="155" customFormat="1" ht="24" x14ac:dyDescent="0.25">
      <c r="A69" s="228">
        <v>67</v>
      </c>
      <c r="B69" s="158" t="s">
        <v>278</v>
      </c>
      <c r="C69" s="159" t="s">
        <v>147</v>
      </c>
      <c r="D69" s="160" t="s">
        <v>133</v>
      </c>
      <c r="E69" s="160">
        <v>1818011</v>
      </c>
      <c r="F69" s="158" t="s">
        <v>230</v>
      </c>
      <c r="G69" s="153" t="s">
        <v>279</v>
      </c>
      <c r="H69" s="158" t="s">
        <v>69</v>
      </c>
      <c r="I69" s="154">
        <v>1.4339999999999999</v>
      </c>
      <c r="J69" s="161" t="s">
        <v>330</v>
      </c>
      <c r="K69" s="156">
        <v>22605282.41</v>
      </c>
      <c r="L69" s="157">
        <f>ROUNDDOWN(K69*N69,1)</f>
        <v>13563169.4</v>
      </c>
      <c r="M69" s="157">
        <f>K69-L69</f>
        <v>9042113.0099999998</v>
      </c>
      <c r="N69" s="162">
        <v>0.6</v>
      </c>
      <c r="O69" s="157">
        <v>0</v>
      </c>
      <c r="P69" s="157">
        <v>0</v>
      </c>
      <c r="Q69" s="157">
        <v>0</v>
      </c>
      <c r="R69" s="157">
        <v>0</v>
      </c>
      <c r="S69" s="156">
        <f>L69-T69-U69-V69-W69-X69</f>
        <v>2260529.4000000004</v>
      </c>
      <c r="T69" s="156">
        <v>2159035</v>
      </c>
      <c r="U69" s="156">
        <v>3000000</v>
      </c>
      <c r="V69" s="156">
        <v>5229245</v>
      </c>
      <c r="W69" s="156">
        <v>914360</v>
      </c>
      <c r="X69" s="156">
        <v>0</v>
      </c>
      <c r="Y69" s="174" t="b">
        <f t="shared" ref="Y69:Y80" si="12">L69=SUM(O69:X69)</f>
        <v>1</v>
      </c>
      <c r="Z69" s="178">
        <f t="shared" ref="Z69:Z80" si="13">ROUND(L69/K69,4)</f>
        <v>0.6</v>
      </c>
      <c r="AA69" s="179" t="b">
        <f t="shared" ref="AA69:AA80" si="14">Z69=N69</f>
        <v>1</v>
      </c>
      <c r="AB69" s="179" t="b">
        <f t="shared" ref="AB69:AB80" si="15">K69=L69+M69</f>
        <v>1</v>
      </c>
      <c r="AC69" s="210"/>
    </row>
    <row r="70" spans="1:29" s="222" customFormat="1" ht="48.75" customHeight="1" x14ac:dyDescent="0.25">
      <c r="A70" s="208">
        <v>68</v>
      </c>
      <c r="B70" s="148" t="s">
        <v>344</v>
      </c>
      <c r="C70" s="149" t="s">
        <v>151</v>
      </c>
      <c r="D70" s="150" t="s">
        <v>345</v>
      </c>
      <c r="E70" s="150">
        <v>1808011</v>
      </c>
      <c r="F70" s="148" t="s">
        <v>346</v>
      </c>
      <c r="G70" s="41" t="s">
        <v>347</v>
      </c>
      <c r="H70" s="148" t="s">
        <v>82</v>
      </c>
      <c r="I70" s="42">
        <v>0.78366999999999998</v>
      </c>
      <c r="J70" s="151" t="s">
        <v>474</v>
      </c>
      <c r="K70" s="164">
        <v>6100823.3499999996</v>
      </c>
      <c r="L70" s="165">
        <v>3050411</v>
      </c>
      <c r="M70" s="166">
        <v>3050412.35</v>
      </c>
      <c r="N70" s="152">
        <v>0.5</v>
      </c>
      <c r="O70" s="164">
        <v>0</v>
      </c>
      <c r="P70" s="164">
        <v>0</v>
      </c>
      <c r="Q70" s="165">
        <v>0</v>
      </c>
      <c r="R70" s="165">
        <v>0</v>
      </c>
      <c r="S70" s="163">
        <v>3050411</v>
      </c>
      <c r="T70" s="166">
        <v>0</v>
      </c>
      <c r="U70" s="166">
        <v>0</v>
      </c>
      <c r="V70" s="166">
        <v>0</v>
      </c>
      <c r="W70" s="165">
        <v>0</v>
      </c>
      <c r="X70" s="164">
        <v>0</v>
      </c>
      <c r="Y70" s="174" t="b">
        <f t="shared" si="12"/>
        <v>1</v>
      </c>
      <c r="Z70" s="178">
        <f t="shared" si="13"/>
        <v>0.5</v>
      </c>
      <c r="AA70" s="179" t="b">
        <f t="shared" si="14"/>
        <v>1</v>
      </c>
      <c r="AB70" s="179" t="b">
        <f t="shared" si="15"/>
        <v>1</v>
      </c>
      <c r="AC70" s="221"/>
    </row>
    <row r="71" spans="1:29" s="222" customFormat="1" x14ac:dyDescent="0.25">
      <c r="A71" s="228">
        <v>69</v>
      </c>
      <c r="B71" s="158" t="s">
        <v>350</v>
      </c>
      <c r="C71" s="159" t="s">
        <v>147</v>
      </c>
      <c r="D71" s="160" t="s">
        <v>351</v>
      </c>
      <c r="E71" s="160">
        <v>1812042</v>
      </c>
      <c r="F71" s="158" t="s">
        <v>157</v>
      </c>
      <c r="G71" s="153" t="s">
        <v>352</v>
      </c>
      <c r="H71" s="158" t="s">
        <v>82</v>
      </c>
      <c r="I71" s="154">
        <v>1.125</v>
      </c>
      <c r="J71" s="161" t="s">
        <v>475</v>
      </c>
      <c r="K71" s="156">
        <v>1987306.66</v>
      </c>
      <c r="L71" s="157">
        <v>993653</v>
      </c>
      <c r="M71" s="163">
        <v>993653.65999999992</v>
      </c>
      <c r="N71" s="162">
        <v>0.5</v>
      </c>
      <c r="O71" s="156">
        <v>0</v>
      </c>
      <c r="P71" s="156">
        <v>0</v>
      </c>
      <c r="Q71" s="157">
        <v>0</v>
      </c>
      <c r="R71" s="157">
        <v>0</v>
      </c>
      <c r="S71" s="163">
        <v>993653</v>
      </c>
      <c r="T71" s="163">
        <v>0</v>
      </c>
      <c r="U71" s="163">
        <v>0</v>
      </c>
      <c r="V71" s="163">
        <v>0</v>
      </c>
      <c r="W71" s="157">
        <v>0</v>
      </c>
      <c r="X71" s="156">
        <v>0</v>
      </c>
      <c r="Y71" s="174" t="b">
        <f t="shared" si="12"/>
        <v>1</v>
      </c>
      <c r="Z71" s="178">
        <f t="shared" si="13"/>
        <v>0.5</v>
      </c>
      <c r="AA71" s="179" t="b">
        <f t="shared" si="14"/>
        <v>1</v>
      </c>
      <c r="AB71" s="179" t="b">
        <f t="shared" si="15"/>
        <v>1</v>
      </c>
      <c r="AC71" s="221"/>
    </row>
    <row r="72" spans="1:29" s="222" customFormat="1" ht="24" x14ac:dyDescent="0.25">
      <c r="A72" s="208">
        <v>70</v>
      </c>
      <c r="B72" s="148" t="s">
        <v>418</v>
      </c>
      <c r="C72" s="149" t="s">
        <v>151</v>
      </c>
      <c r="D72" s="150" t="s">
        <v>419</v>
      </c>
      <c r="E72" s="150">
        <v>1805042</v>
      </c>
      <c r="F72" s="148" t="s">
        <v>211</v>
      </c>
      <c r="G72" s="41" t="s">
        <v>420</v>
      </c>
      <c r="H72" s="148" t="s">
        <v>82</v>
      </c>
      <c r="I72" s="42">
        <v>0.53749999999999998</v>
      </c>
      <c r="J72" s="151" t="s">
        <v>313</v>
      </c>
      <c r="K72" s="164">
        <v>1818224</v>
      </c>
      <c r="L72" s="165">
        <f>ROUNDDOWN(K72*N72,1)</f>
        <v>909112</v>
      </c>
      <c r="M72" s="165">
        <f>K72-L72</f>
        <v>909112</v>
      </c>
      <c r="N72" s="152">
        <v>0.5</v>
      </c>
      <c r="O72" s="164">
        <v>0</v>
      </c>
      <c r="P72" s="164">
        <v>0</v>
      </c>
      <c r="Q72" s="165">
        <v>0</v>
      </c>
      <c r="R72" s="165">
        <v>0</v>
      </c>
      <c r="S72" s="166">
        <f>L72</f>
        <v>909112</v>
      </c>
      <c r="T72" s="166">
        <v>0</v>
      </c>
      <c r="U72" s="166">
        <v>0</v>
      </c>
      <c r="V72" s="166">
        <v>0</v>
      </c>
      <c r="W72" s="165">
        <v>0</v>
      </c>
      <c r="X72" s="164">
        <v>0</v>
      </c>
      <c r="Y72" s="174" t="b">
        <f t="shared" si="12"/>
        <v>1</v>
      </c>
      <c r="Z72" s="178">
        <f t="shared" si="13"/>
        <v>0.5</v>
      </c>
      <c r="AA72" s="179" t="b">
        <f t="shared" si="14"/>
        <v>1</v>
      </c>
      <c r="AB72" s="179" t="b">
        <f t="shared" si="15"/>
        <v>1</v>
      </c>
      <c r="AC72" s="221"/>
    </row>
    <row r="73" spans="1:29" s="222" customFormat="1" x14ac:dyDescent="0.25">
      <c r="A73" s="208">
        <v>71</v>
      </c>
      <c r="B73" s="148" t="s">
        <v>357</v>
      </c>
      <c r="C73" s="149" t="s">
        <v>151</v>
      </c>
      <c r="D73" s="150" t="s">
        <v>358</v>
      </c>
      <c r="E73" s="150">
        <v>1804021</v>
      </c>
      <c r="F73" s="148" t="s">
        <v>176</v>
      </c>
      <c r="G73" s="41" t="s">
        <v>359</v>
      </c>
      <c r="H73" s="148" t="s">
        <v>82</v>
      </c>
      <c r="I73" s="42">
        <v>0.44950000000000001</v>
      </c>
      <c r="J73" s="151" t="s">
        <v>476</v>
      </c>
      <c r="K73" s="164">
        <v>1772315.36</v>
      </c>
      <c r="L73" s="157">
        <v>886157</v>
      </c>
      <c r="M73" s="166">
        <v>886158.3600000001</v>
      </c>
      <c r="N73" s="152">
        <v>0.5</v>
      </c>
      <c r="O73" s="164">
        <v>0</v>
      </c>
      <c r="P73" s="164">
        <v>0</v>
      </c>
      <c r="Q73" s="165">
        <v>0</v>
      </c>
      <c r="R73" s="165">
        <v>0</v>
      </c>
      <c r="S73" s="166">
        <v>886157</v>
      </c>
      <c r="T73" s="166">
        <v>0</v>
      </c>
      <c r="U73" s="166">
        <v>0</v>
      </c>
      <c r="V73" s="166">
        <v>0</v>
      </c>
      <c r="W73" s="165">
        <v>0</v>
      </c>
      <c r="X73" s="164">
        <v>0</v>
      </c>
      <c r="Y73" s="174" t="b">
        <f t="shared" si="12"/>
        <v>1</v>
      </c>
      <c r="Z73" s="178">
        <f t="shared" si="13"/>
        <v>0.5</v>
      </c>
      <c r="AA73" s="179" t="b">
        <f t="shared" si="14"/>
        <v>1</v>
      </c>
      <c r="AB73" s="179" t="b">
        <f t="shared" si="15"/>
        <v>1</v>
      </c>
      <c r="AC73" s="221"/>
    </row>
    <row r="74" spans="1:29" s="222" customFormat="1" ht="24" x14ac:dyDescent="0.25">
      <c r="A74" s="208">
        <v>72</v>
      </c>
      <c r="B74" s="148" t="s">
        <v>368</v>
      </c>
      <c r="C74" s="149" t="s">
        <v>151</v>
      </c>
      <c r="D74" s="150" t="s">
        <v>369</v>
      </c>
      <c r="E74" s="150">
        <v>1818053</v>
      </c>
      <c r="F74" s="148" t="s">
        <v>230</v>
      </c>
      <c r="G74" s="41" t="s">
        <v>370</v>
      </c>
      <c r="H74" s="148" t="s">
        <v>82</v>
      </c>
      <c r="I74" s="42">
        <v>0.98820000000000008</v>
      </c>
      <c r="J74" s="151" t="s">
        <v>476</v>
      </c>
      <c r="K74" s="164">
        <v>1533415.46</v>
      </c>
      <c r="L74" s="165">
        <f>ROUNDDOWN(K74*N74,1)</f>
        <v>843378.5</v>
      </c>
      <c r="M74" s="164">
        <f>K74-L74</f>
        <v>690036.96</v>
      </c>
      <c r="N74" s="152">
        <v>0.55000000000000004</v>
      </c>
      <c r="O74" s="164">
        <v>0</v>
      </c>
      <c r="P74" s="164">
        <v>0</v>
      </c>
      <c r="Q74" s="165">
        <v>0</v>
      </c>
      <c r="R74" s="165">
        <v>0</v>
      </c>
      <c r="S74" s="166">
        <f>L74</f>
        <v>843378.5</v>
      </c>
      <c r="T74" s="166">
        <v>0</v>
      </c>
      <c r="U74" s="166">
        <v>0</v>
      </c>
      <c r="V74" s="166">
        <v>0</v>
      </c>
      <c r="W74" s="165">
        <v>0</v>
      </c>
      <c r="X74" s="164">
        <v>0</v>
      </c>
      <c r="Y74" s="174" t="b">
        <f t="shared" si="12"/>
        <v>1</v>
      </c>
      <c r="Z74" s="178">
        <f t="shared" si="13"/>
        <v>0.55000000000000004</v>
      </c>
      <c r="AA74" s="179" t="b">
        <f t="shared" si="14"/>
        <v>1</v>
      </c>
      <c r="AB74" s="179" t="b">
        <f t="shared" si="15"/>
        <v>1</v>
      </c>
      <c r="AC74" s="221"/>
    </row>
    <row r="75" spans="1:29" s="222" customFormat="1" ht="24" x14ac:dyDescent="0.25">
      <c r="A75" s="208">
        <v>73</v>
      </c>
      <c r="B75" s="148" t="s">
        <v>444</v>
      </c>
      <c r="C75" s="149" t="s">
        <v>151</v>
      </c>
      <c r="D75" s="150" t="s">
        <v>445</v>
      </c>
      <c r="E75" s="150">
        <v>1811092</v>
      </c>
      <c r="F75" s="148" t="s">
        <v>342</v>
      </c>
      <c r="G75" s="41" t="s">
        <v>446</v>
      </c>
      <c r="H75" s="148" t="s">
        <v>82</v>
      </c>
      <c r="I75" s="42">
        <v>0.4506</v>
      </c>
      <c r="J75" s="151" t="s">
        <v>318</v>
      </c>
      <c r="K75" s="164">
        <v>1015295.57</v>
      </c>
      <c r="L75" s="165">
        <f>ROUNDDOWN(K75*N75,1)</f>
        <v>812236.4</v>
      </c>
      <c r="M75" s="164">
        <f>K75-L75</f>
        <v>203059.16999999993</v>
      </c>
      <c r="N75" s="152">
        <v>0.8</v>
      </c>
      <c r="O75" s="164">
        <v>0</v>
      </c>
      <c r="P75" s="164">
        <v>0</v>
      </c>
      <c r="Q75" s="165">
        <v>0</v>
      </c>
      <c r="R75" s="165">
        <v>0</v>
      </c>
      <c r="S75" s="166">
        <f>L75</f>
        <v>812236.4</v>
      </c>
      <c r="T75" s="166">
        <v>0</v>
      </c>
      <c r="U75" s="166">
        <v>0</v>
      </c>
      <c r="V75" s="166">
        <v>0</v>
      </c>
      <c r="W75" s="165">
        <v>0</v>
      </c>
      <c r="X75" s="164">
        <v>0</v>
      </c>
      <c r="Y75" s="174" t="b">
        <f t="shared" si="12"/>
        <v>1</v>
      </c>
      <c r="Z75" s="178">
        <f t="shared" si="13"/>
        <v>0.8</v>
      </c>
      <c r="AA75" s="179" t="b">
        <f t="shared" si="14"/>
        <v>1</v>
      </c>
      <c r="AB75" s="179" t="b">
        <f t="shared" si="15"/>
        <v>1</v>
      </c>
      <c r="AC75" s="221"/>
    </row>
    <row r="76" spans="1:29" s="222" customFormat="1" ht="24" x14ac:dyDescent="0.25">
      <c r="A76" s="208">
        <v>74</v>
      </c>
      <c r="B76" s="148" t="s">
        <v>355</v>
      </c>
      <c r="C76" s="149" t="s">
        <v>151</v>
      </c>
      <c r="D76" s="150" t="s">
        <v>238</v>
      </c>
      <c r="E76" s="150">
        <v>1812032</v>
      </c>
      <c r="F76" s="148" t="s">
        <v>157</v>
      </c>
      <c r="G76" s="41" t="s">
        <v>356</v>
      </c>
      <c r="H76" s="148" t="s">
        <v>82</v>
      </c>
      <c r="I76" s="42">
        <v>0.48</v>
      </c>
      <c r="J76" s="151" t="s">
        <v>314</v>
      </c>
      <c r="K76" s="164">
        <v>1047886.38</v>
      </c>
      <c r="L76" s="157">
        <v>628731</v>
      </c>
      <c r="M76" s="164">
        <v>419155.38</v>
      </c>
      <c r="N76" s="152">
        <v>0.6</v>
      </c>
      <c r="O76" s="164">
        <v>0</v>
      </c>
      <c r="P76" s="164">
        <v>0</v>
      </c>
      <c r="Q76" s="165">
        <v>0</v>
      </c>
      <c r="R76" s="165">
        <v>0</v>
      </c>
      <c r="S76" s="166">
        <v>628731</v>
      </c>
      <c r="T76" s="166">
        <v>0</v>
      </c>
      <c r="U76" s="166">
        <v>0</v>
      </c>
      <c r="V76" s="166">
        <v>0</v>
      </c>
      <c r="W76" s="165">
        <v>0</v>
      </c>
      <c r="X76" s="164">
        <v>0</v>
      </c>
      <c r="Y76" s="174" t="b">
        <f t="shared" si="12"/>
        <v>1</v>
      </c>
      <c r="Z76" s="178">
        <f t="shared" si="13"/>
        <v>0.6</v>
      </c>
      <c r="AA76" s="179" t="b">
        <f t="shared" si="14"/>
        <v>1</v>
      </c>
      <c r="AB76" s="179" t="b">
        <f t="shared" si="15"/>
        <v>1</v>
      </c>
      <c r="AC76" s="221"/>
    </row>
    <row r="77" spans="1:29" s="222" customFormat="1" ht="24" x14ac:dyDescent="0.25">
      <c r="A77" s="208">
        <v>75</v>
      </c>
      <c r="B77" s="148" t="s">
        <v>433</v>
      </c>
      <c r="C77" s="149" t="s">
        <v>151</v>
      </c>
      <c r="D77" s="150" t="s">
        <v>372</v>
      </c>
      <c r="E77" s="150">
        <v>1818062</v>
      </c>
      <c r="F77" s="148" t="s">
        <v>230</v>
      </c>
      <c r="G77" s="41" t="s">
        <v>434</v>
      </c>
      <c r="H77" s="148" t="s">
        <v>82</v>
      </c>
      <c r="I77" s="42">
        <v>0.999</v>
      </c>
      <c r="J77" s="151" t="s">
        <v>478</v>
      </c>
      <c r="K77" s="164">
        <v>829136.15</v>
      </c>
      <c r="L77" s="157">
        <f>ROUNDDOWN(K77*N77,1)</f>
        <v>497481.6</v>
      </c>
      <c r="M77" s="164">
        <f>K77-L77</f>
        <v>331654.55000000005</v>
      </c>
      <c r="N77" s="152">
        <v>0.6</v>
      </c>
      <c r="O77" s="164">
        <v>0</v>
      </c>
      <c r="P77" s="164">
        <v>0</v>
      </c>
      <c r="Q77" s="165">
        <v>0</v>
      </c>
      <c r="R77" s="165">
        <v>0</v>
      </c>
      <c r="S77" s="163">
        <f>L77</f>
        <v>497481.6</v>
      </c>
      <c r="T77" s="166">
        <v>0</v>
      </c>
      <c r="U77" s="166">
        <v>0</v>
      </c>
      <c r="V77" s="166">
        <v>0</v>
      </c>
      <c r="W77" s="165">
        <v>0</v>
      </c>
      <c r="X77" s="164">
        <v>0</v>
      </c>
      <c r="Y77" s="174" t="b">
        <f t="shared" si="12"/>
        <v>1</v>
      </c>
      <c r="Z77" s="178">
        <f t="shared" si="13"/>
        <v>0.6</v>
      </c>
      <c r="AA77" s="179" t="b">
        <f t="shared" si="14"/>
        <v>1</v>
      </c>
      <c r="AB77" s="179" t="b">
        <f t="shared" si="15"/>
        <v>1</v>
      </c>
      <c r="AC77" s="221"/>
    </row>
    <row r="78" spans="1:29" s="222" customFormat="1" ht="24" x14ac:dyDescent="0.25">
      <c r="A78" s="208">
        <v>76</v>
      </c>
      <c r="B78" s="148" t="s">
        <v>360</v>
      </c>
      <c r="C78" s="149" t="s">
        <v>151</v>
      </c>
      <c r="D78" s="150" t="s">
        <v>358</v>
      </c>
      <c r="E78" s="150">
        <v>1804021</v>
      </c>
      <c r="F78" s="148" t="s">
        <v>176</v>
      </c>
      <c r="G78" s="41" t="s">
        <v>361</v>
      </c>
      <c r="H78" s="148" t="s">
        <v>82</v>
      </c>
      <c r="I78" s="42">
        <v>0.26635000000000003</v>
      </c>
      <c r="J78" s="151" t="s">
        <v>476</v>
      </c>
      <c r="K78" s="164">
        <v>926983.05</v>
      </c>
      <c r="L78" s="157">
        <v>463491</v>
      </c>
      <c r="M78" s="166">
        <v>463492.05000000005</v>
      </c>
      <c r="N78" s="152">
        <v>0.5</v>
      </c>
      <c r="O78" s="164">
        <v>0</v>
      </c>
      <c r="P78" s="164">
        <v>0</v>
      </c>
      <c r="Q78" s="165">
        <v>0</v>
      </c>
      <c r="R78" s="165">
        <v>0</v>
      </c>
      <c r="S78" s="163">
        <v>463491</v>
      </c>
      <c r="T78" s="166">
        <v>0</v>
      </c>
      <c r="U78" s="166">
        <v>0</v>
      </c>
      <c r="V78" s="166">
        <v>0</v>
      </c>
      <c r="W78" s="165">
        <v>0</v>
      </c>
      <c r="X78" s="164">
        <v>0</v>
      </c>
      <c r="Y78" s="174" t="b">
        <f t="shared" si="12"/>
        <v>1</v>
      </c>
      <c r="Z78" s="178">
        <f t="shared" si="13"/>
        <v>0.5</v>
      </c>
      <c r="AA78" s="179" t="b">
        <f t="shared" si="14"/>
        <v>1</v>
      </c>
      <c r="AB78" s="179" t="b">
        <f t="shared" si="15"/>
        <v>1</v>
      </c>
      <c r="AC78" s="221"/>
    </row>
    <row r="79" spans="1:29" s="222" customFormat="1" ht="36" x14ac:dyDescent="0.25">
      <c r="A79" s="208">
        <v>77</v>
      </c>
      <c r="B79" s="148" t="s">
        <v>399</v>
      </c>
      <c r="C79" s="149" t="s">
        <v>151</v>
      </c>
      <c r="D79" s="150" t="s">
        <v>400</v>
      </c>
      <c r="E79" s="150">
        <v>1805082</v>
      </c>
      <c r="F79" s="148" t="s">
        <v>211</v>
      </c>
      <c r="G79" s="41" t="s">
        <v>401</v>
      </c>
      <c r="H79" s="148" t="s">
        <v>197</v>
      </c>
      <c r="I79" s="42">
        <v>1.6879999999999999</v>
      </c>
      <c r="J79" s="151" t="s">
        <v>481</v>
      </c>
      <c r="K79" s="164">
        <v>856946.18</v>
      </c>
      <c r="L79" s="157">
        <v>428473</v>
      </c>
      <c r="M79" s="166">
        <v>428473.18000000005</v>
      </c>
      <c r="N79" s="152">
        <v>0.5</v>
      </c>
      <c r="O79" s="164">
        <v>0</v>
      </c>
      <c r="P79" s="164">
        <v>0</v>
      </c>
      <c r="Q79" s="165">
        <v>0</v>
      </c>
      <c r="R79" s="165">
        <v>0</v>
      </c>
      <c r="S79" s="163">
        <v>428473</v>
      </c>
      <c r="T79" s="166">
        <v>0</v>
      </c>
      <c r="U79" s="166">
        <v>0</v>
      </c>
      <c r="V79" s="166">
        <v>0</v>
      </c>
      <c r="W79" s="165">
        <v>0</v>
      </c>
      <c r="X79" s="164">
        <v>0</v>
      </c>
      <c r="Y79" s="174" t="b">
        <f t="shared" si="12"/>
        <v>1</v>
      </c>
      <c r="Z79" s="178">
        <f t="shared" si="13"/>
        <v>0.5</v>
      </c>
      <c r="AA79" s="179" t="b">
        <f t="shared" si="14"/>
        <v>1</v>
      </c>
      <c r="AB79" s="179" t="b">
        <f t="shared" si="15"/>
        <v>1</v>
      </c>
      <c r="AC79" s="221"/>
    </row>
    <row r="80" spans="1:29" s="222" customFormat="1" x14ac:dyDescent="0.25">
      <c r="A80" s="208">
        <v>78</v>
      </c>
      <c r="B80" s="148"/>
      <c r="C80" s="149" t="s">
        <v>151</v>
      </c>
      <c r="D80" s="41" t="s">
        <v>167</v>
      </c>
      <c r="E80" s="148">
        <v>1814082</v>
      </c>
      <c r="F80" s="41" t="s">
        <v>168</v>
      </c>
      <c r="G80" s="41" t="s">
        <v>606</v>
      </c>
      <c r="H80" s="148" t="s">
        <v>82</v>
      </c>
      <c r="I80" s="42"/>
      <c r="J80" s="295">
        <v>2023</v>
      </c>
      <c r="K80" s="164">
        <v>423073.68</v>
      </c>
      <c r="L80" s="164">
        <f>ROUNDDOWN(K80*N80,1)</f>
        <v>211536.8</v>
      </c>
      <c r="M80" s="164">
        <f>K80-L80</f>
        <v>211536.88</v>
      </c>
      <c r="N80" s="152">
        <v>0.5</v>
      </c>
      <c r="O80" s="165">
        <v>0</v>
      </c>
      <c r="P80" s="165">
        <v>0</v>
      </c>
      <c r="Q80" s="165">
        <v>0</v>
      </c>
      <c r="R80" s="165">
        <v>0</v>
      </c>
      <c r="S80" s="166">
        <v>211536.8</v>
      </c>
      <c r="T80" s="166">
        <v>0</v>
      </c>
      <c r="U80" s="166">
        <v>0</v>
      </c>
      <c r="V80" s="166">
        <v>0</v>
      </c>
      <c r="W80" s="165">
        <v>0</v>
      </c>
      <c r="X80" s="164">
        <v>0</v>
      </c>
      <c r="Y80" s="174" t="b">
        <f t="shared" si="12"/>
        <v>1</v>
      </c>
      <c r="Z80" s="178">
        <f t="shared" si="13"/>
        <v>0.5</v>
      </c>
      <c r="AA80" s="179" t="b">
        <f t="shared" si="14"/>
        <v>1</v>
      </c>
      <c r="AB80" s="179" t="b">
        <f t="shared" si="15"/>
        <v>1</v>
      </c>
      <c r="AC80" s="221"/>
    </row>
    <row r="81" spans="1:29" s="270" customFormat="1" ht="36" x14ac:dyDescent="0.25">
      <c r="A81" s="251" t="s">
        <v>612</v>
      </c>
      <c r="B81" s="214" t="s">
        <v>280</v>
      </c>
      <c r="C81" s="215" t="s">
        <v>151</v>
      </c>
      <c r="D81" s="216" t="s">
        <v>281</v>
      </c>
      <c r="E81" s="216">
        <v>1815012</v>
      </c>
      <c r="F81" s="214" t="s">
        <v>282</v>
      </c>
      <c r="G81" s="217" t="s">
        <v>283</v>
      </c>
      <c r="H81" s="214" t="s">
        <v>69</v>
      </c>
      <c r="I81" s="218">
        <v>0.91200000000000003</v>
      </c>
      <c r="J81" s="219" t="s">
        <v>323</v>
      </c>
      <c r="K81" s="205">
        <v>2520925.36</v>
      </c>
      <c r="L81" s="206">
        <f>274347.81+31700.73</f>
        <v>306048.53999999998</v>
      </c>
      <c r="M81" s="207">
        <f>2246577.55-31700.73</f>
        <v>2214876.8199999998</v>
      </c>
      <c r="N81" s="220">
        <v>0.6</v>
      </c>
      <c r="O81" s="206">
        <v>0</v>
      </c>
      <c r="P81" s="206">
        <v>0</v>
      </c>
      <c r="Q81" s="206">
        <v>0</v>
      </c>
      <c r="R81" s="206">
        <v>0</v>
      </c>
      <c r="S81" s="205">
        <v>306048.53999999998</v>
      </c>
      <c r="T81" s="205">
        <v>0</v>
      </c>
      <c r="U81" s="205">
        <v>0</v>
      </c>
      <c r="V81" s="205">
        <v>0</v>
      </c>
      <c r="W81" s="205">
        <v>0</v>
      </c>
      <c r="X81" s="205">
        <v>0</v>
      </c>
      <c r="Y81" s="266" t="b">
        <f t="shared" si="4"/>
        <v>1</v>
      </c>
      <c r="Z81" s="267">
        <f t="shared" si="5"/>
        <v>0.12139999999999999</v>
      </c>
      <c r="AA81" s="268" t="b">
        <f>Z81=N81</f>
        <v>0</v>
      </c>
      <c r="AB81" s="268" t="b">
        <f t="shared" si="7"/>
        <v>1</v>
      </c>
      <c r="AC81" s="269"/>
    </row>
    <row r="82" spans="1:29" x14ac:dyDescent="0.25">
      <c r="A82" s="335" t="s">
        <v>46</v>
      </c>
      <c r="B82" s="336"/>
      <c r="C82" s="336"/>
      <c r="D82" s="336"/>
      <c r="E82" s="336"/>
      <c r="F82" s="336"/>
      <c r="G82" s="336"/>
      <c r="H82" s="337"/>
      <c r="I82" s="277">
        <f>SUM(I3:I81)</f>
        <v>84.277610000000024</v>
      </c>
      <c r="J82" s="278" t="s">
        <v>14</v>
      </c>
      <c r="K82" s="44">
        <f>SUM(K3:K81)</f>
        <v>351563615.69000006</v>
      </c>
      <c r="L82" s="44">
        <f>SUM(L3:L81)</f>
        <v>207147572.84000003</v>
      </c>
      <c r="M82" s="44">
        <f>SUM(M3:M81)</f>
        <v>144416042.85000002</v>
      </c>
      <c r="N82" s="279" t="s">
        <v>14</v>
      </c>
      <c r="O82" s="44">
        <f t="shared" ref="O82:W82" si="16">SUM(O3:O81)</f>
        <v>0</v>
      </c>
      <c r="P82" s="44">
        <f>SUM(P3:P81)</f>
        <v>2567417</v>
      </c>
      <c r="Q82" s="44">
        <f t="shared" si="16"/>
        <v>7639785</v>
      </c>
      <c r="R82" s="44">
        <f t="shared" si="16"/>
        <v>45890826</v>
      </c>
      <c r="S82" s="44">
        <f t="shared" si="16"/>
        <v>93479792.890000001</v>
      </c>
      <c r="T82" s="44">
        <f t="shared" si="16"/>
        <v>32123902.950000003</v>
      </c>
      <c r="U82" s="44">
        <f t="shared" si="16"/>
        <v>19302244</v>
      </c>
      <c r="V82" s="44">
        <f t="shared" si="16"/>
        <v>5229245</v>
      </c>
      <c r="W82" s="44">
        <f t="shared" si="16"/>
        <v>914360</v>
      </c>
      <c r="X82" s="44">
        <f t="shared" ref="X82" si="17">SUM(X3:X81)</f>
        <v>0</v>
      </c>
      <c r="Y82" s="174" t="b">
        <f>L82=SUM(O82:X82)</f>
        <v>1</v>
      </c>
      <c r="Z82" s="178">
        <f>ROUND(L82/K82,4)</f>
        <v>0.58919999999999995</v>
      </c>
      <c r="AA82" s="179" t="b">
        <f>Z82=N82</f>
        <v>0</v>
      </c>
      <c r="AB82" s="179" t="b">
        <f>K82=L82+M82</f>
        <v>1</v>
      </c>
    </row>
    <row r="83" spans="1:29" x14ac:dyDescent="0.25">
      <c r="A83" s="335" t="s">
        <v>39</v>
      </c>
      <c r="B83" s="336"/>
      <c r="C83" s="336"/>
      <c r="D83" s="336"/>
      <c r="E83" s="336"/>
      <c r="F83" s="336"/>
      <c r="G83" s="336"/>
      <c r="H83" s="337"/>
      <c r="I83" s="277">
        <f>SUMIF($C$3:$C$81,"K",I3:I81)</f>
        <v>38.17962</v>
      </c>
      <c r="J83" s="278" t="s">
        <v>14</v>
      </c>
      <c r="K83" s="44">
        <f>SUMIF($C$3:$C$81,"K",K3:K81)</f>
        <v>158746730.01000002</v>
      </c>
      <c r="L83" s="44">
        <f>SUMIF($C$3:$C$81,"K",L3:L81)</f>
        <v>97485355</v>
      </c>
      <c r="M83" s="44">
        <f>SUMIF($C$3:$C$81,"K",M3:M81)</f>
        <v>61261375.010000005</v>
      </c>
      <c r="N83" s="279" t="s">
        <v>14</v>
      </c>
      <c r="O83" s="44">
        <f t="shared" ref="O83:W83" si="18">SUMIF($C$3:$C$81,"K",O3:O81)</f>
        <v>0</v>
      </c>
      <c r="P83" s="44">
        <f t="shared" si="18"/>
        <v>2567417</v>
      </c>
      <c r="Q83" s="44">
        <f t="shared" si="18"/>
        <v>7639785</v>
      </c>
      <c r="R83" s="44">
        <f t="shared" si="18"/>
        <v>45890826</v>
      </c>
      <c r="S83" s="44">
        <f t="shared" si="18"/>
        <v>30202189.049999997</v>
      </c>
      <c r="T83" s="44">
        <f t="shared" si="18"/>
        <v>11185137.950000003</v>
      </c>
      <c r="U83" s="44">
        <f t="shared" si="18"/>
        <v>0</v>
      </c>
      <c r="V83" s="44">
        <f t="shared" si="18"/>
        <v>0</v>
      </c>
      <c r="W83" s="44">
        <f t="shared" si="18"/>
        <v>0</v>
      </c>
      <c r="X83" s="44">
        <f t="shared" ref="X83" si="19">SUMIF($C$3:$C$81,"K",X3:X81)</f>
        <v>0</v>
      </c>
      <c r="Y83" s="174" t="b">
        <f>L83=SUM(O83:X83)</f>
        <v>1</v>
      </c>
      <c r="Z83" s="178">
        <f>ROUND(L83/K83,4)</f>
        <v>0.61409999999999998</v>
      </c>
      <c r="AA83" s="179" t="b">
        <f>Z83=N83</f>
        <v>0</v>
      </c>
      <c r="AB83" s="179" t="b">
        <f>K83=L83+M83</f>
        <v>1</v>
      </c>
    </row>
    <row r="84" spans="1:29" x14ac:dyDescent="0.25">
      <c r="A84" s="335" t="s">
        <v>40</v>
      </c>
      <c r="B84" s="336"/>
      <c r="C84" s="336"/>
      <c r="D84" s="336"/>
      <c r="E84" s="336"/>
      <c r="F84" s="336"/>
      <c r="G84" s="336"/>
      <c r="H84" s="337"/>
      <c r="I84" s="277">
        <f>SUMIF($C$3:$C$81,"N",I3:I81)</f>
        <v>40.067200000000007</v>
      </c>
      <c r="J84" s="278" t="s">
        <v>14</v>
      </c>
      <c r="K84" s="44">
        <f>SUMIF($C$3:$C$81,"N",K3:K81)</f>
        <v>89337521.23999998</v>
      </c>
      <c r="L84" s="44">
        <f>SUMIF($C$3:$C$81,"N",L3:L81)</f>
        <v>49229504.439999998</v>
      </c>
      <c r="M84" s="44">
        <f>SUMIF($C$3:$C$81,"N",M3:M81)</f>
        <v>40108016.800000004</v>
      </c>
      <c r="N84" s="279" t="s">
        <v>14</v>
      </c>
      <c r="O84" s="44">
        <f t="shared" ref="O84:W84" si="20">SUMIF($C$3:$C$81,"N",O3:O81)</f>
        <v>0</v>
      </c>
      <c r="P84" s="44">
        <f t="shared" si="20"/>
        <v>0</v>
      </c>
      <c r="Q84" s="44">
        <f t="shared" si="20"/>
        <v>0</v>
      </c>
      <c r="R84" s="44">
        <f t="shared" si="20"/>
        <v>0</v>
      </c>
      <c r="S84" s="44">
        <f t="shared" si="20"/>
        <v>49229504.439999998</v>
      </c>
      <c r="T84" s="44">
        <f t="shared" si="20"/>
        <v>0</v>
      </c>
      <c r="U84" s="44">
        <f t="shared" si="20"/>
        <v>0</v>
      </c>
      <c r="V84" s="44">
        <f t="shared" si="20"/>
        <v>0</v>
      </c>
      <c r="W84" s="44">
        <f t="shared" si="20"/>
        <v>0</v>
      </c>
      <c r="X84" s="44">
        <f t="shared" ref="X84" si="21">SUMIF($C$3:$C$81,"N",X3:X81)</f>
        <v>0</v>
      </c>
      <c r="Y84" s="174" t="b">
        <f>L84=SUM(O84:X84)</f>
        <v>1</v>
      </c>
      <c r="Z84" s="178">
        <f>ROUND(L84/K84,4)</f>
        <v>0.55110000000000003</v>
      </c>
      <c r="AA84" s="179" t="b">
        <f>Z84=N84</f>
        <v>0</v>
      </c>
      <c r="AB84" s="179" t="b">
        <f>K84=L84+M84</f>
        <v>1</v>
      </c>
    </row>
    <row r="85" spans="1:29" x14ac:dyDescent="0.25">
      <c r="A85" s="332" t="s">
        <v>41</v>
      </c>
      <c r="B85" s="333"/>
      <c r="C85" s="333"/>
      <c r="D85" s="333"/>
      <c r="E85" s="333"/>
      <c r="F85" s="333"/>
      <c r="G85" s="333"/>
      <c r="H85" s="334"/>
      <c r="I85" s="280">
        <f>SUMIF($C$3:$C$81,"W",I3:I81)</f>
        <v>6.0307900000000005</v>
      </c>
      <c r="J85" s="281" t="s">
        <v>14</v>
      </c>
      <c r="K85" s="45">
        <f>SUMIF($C$3:$C$81,"W",K3:K81)</f>
        <v>103479364.44</v>
      </c>
      <c r="L85" s="45">
        <f>SUMIF($C$3:$C$81,"W",L3:L81)</f>
        <v>60432713.399999999</v>
      </c>
      <c r="M85" s="45">
        <f>SUMIF($C$3:$C$81,"W",M3:M81)</f>
        <v>43046651.039999992</v>
      </c>
      <c r="N85" s="282" t="s">
        <v>14</v>
      </c>
      <c r="O85" s="45">
        <f t="shared" ref="O85:W85" si="22">SUMIF($C$3:$C$81,"W",O3:O81)</f>
        <v>0</v>
      </c>
      <c r="P85" s="45">
        <f t="shared" si="22"/>
        <v>0</v>
      </c>
      <c r="Q85" s="45">
        <f t="shared" si="22"/>
        <v>0</v>
      </c>
      <c r="R85" s="45">
        <f t="shared" si="22"/>
        <v>0</v>
      </c>
      <c r="S85" s="45">
        <f t="shared" si="22"/>
        <v>14048099.4</v>
      </c>
      <c r="T85" s="45">
        <f t="shared" si="22"/>
        <v>20938765</v>
      </c>
      <c r="U85" s="45">
        <f t="shared" si="22"/>
        <v>19302244</v>
      </c>
      <c r="V85" s="45">
        <f t="shared" si="22"/>
        <v>5229245</v>
      </c>
      <c r="W85" s="45">
        <f t="shared" si="22"/>
        <v>914360</v>
      </c>
      <c r="X85" s="45">
        <f t="shared" ref="X85" si="23">SUMIF($C$3:$C$81,"W",X3:X81)</f>
        <v>0</v>
      </c>
      <c r="Y85" s="174" t="b">
        <f>L85=SUM(O85:X85)</f>
        <v>1</v>
      </c>
      <c r="Z85" s="178">
        <f>ROUND(L85/K85,4)</f>
        <v>0.58399999999999996</v>
      </c>
      <c r="AA85" s="179" t="b">
        <f>Z85=N85</f>
        <v>0</v>
      </c>
      <c r="AB85" s="179" t="b">
        <f>K85=L85+M85</f>
        <v>1</v>
      </c>
    </row>
    <row r="86" spans="1:29" x14ac:dyDescent="0.25">
      <c r="A86" s="250"/>
      <c r="K86" s="5"/>
    </row>
    <row r="87" spans="1:29" ht="26.25" customHeight="1" x14ac:dyDescent="0.25">
      <c r="A87" s="250"/>
      <c r="H87" s="4"/>
      <c r="J87" s="4"/>
      <c r="N87" s="4"/>
    </row>
    <row r="88" spans="1:29" ht="26.25" customHeight="1" x14ac:dyDescent="0.25">
      <c r="A88" s="250"/>
      <c r="H88" s="4"/>
      <c r="J88" s="4"/>
      <c r="N88" s="296">
        <f>K29*N29</f>
        <v>29635577.765999999</v>
      </c>
    </row>
    <row r="89" spans="1:29" ht="26.25" customHeight="1" x14ac:dyDescent="0.25">
      <c r="A89" s="31" t="s">
        <v>25</v>
      </c>
      <c r="H89" s="4"/>
      <c r="J89" s="4"/>
      <c r="N89" s="4"/>
      <c r="S89" s="290"/>
    </row>
    <row r="90" spans="1:29" ht="26.25" customHeight="1" x14ac:dyDescent="0.25">
      <c r="A90" s="31" t="s">
        <v>26</v>
      </c>
      <c r="H90" s="4"/>
      <c r="J90" s="4"/>
      <c r="N90" s="4"/>
    </row>
    <row r="91" spans="1:29" ht="26.25" customHeight="1" x14ac:dyDescent="0.25">
      <c r="A91" s="31" t="s">
        <v>44</v>
      </c>
      <c r="H91" s="4"/>
      <c r="J91" s="4"/>
      <c r="N91" s="4"/>
    </row>
    <row r="92" spans="1:29" x14ac:dyDescent="0.25">
      <c r="A92" s="286" t="s">
        <v>29</v>
      </c>
    </row>
  </sheetData>
  <protectedRanges>
    <protectedRange sqref="D80" name="Rozstęp1_1_6_1"/>
    <protectedRange sqref="E80" name="Rozstęp1_1_6_2"/>
    <protectedRange sqref="F80" name="Rozstęp1_1_6_3"/>
    <protectedRange sqref="G80" name="Rozstęp1_1_6_4"/>
  </protectedRanges>
  <autoFilter ref="A2:AC85"/>
  <mergeCells count="19">
    <mergeCell ref="O1:X1"/>
    <mergeCell ref="L1:L2"/>
    <mergeCell ref="M1:M2"/>
    <mergeCell ref="A82:H82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  <mergeCell ref="A85:H85"/>
    <mergeCell ref="A84:H84"/>
    <mergeCell ref="E1:E2"/>
    <mergeCell ref="A83:H83"/>
    <mergeCell ref="N1:N2"/>
  </mergeCells>
  <conditionalFormatting sqref="Y82:AB85">
    <cfRule type="cellIs" dxfId="24" priority="29" operator="equal">
      <formula>FALSE</formula>
    </cfRule>
  </conditionalFormatting>
  <conditionalFormatting sqref="Y82:AA85">
    <cfRule type="containsText" dxfId="23" priority="27" operator="containsText" text="fałsz">
      <formula>NOT(ISERROR(SEARCH("fałsz",Y82)))</formula>
    </cfRule>
  </conditionalFormatting>
  <conditionalFormatting sqref="Y3:AB81">
    <cfRule type="cellIs" dxfId="22" priority="4" operator="equal">
      <formula>FALSE</formula>
    </cfRule>
  </conditionalFormatting>
  <conditionalFormatting sqref="Y3:AA81">
    <cfRule type="containsText" dxfId="21" priority="3" operator="containsText" text="fałsz">
      <formula>NOT(ISERROR(SEARCH("fałsz",Y3)))</formula>
    </cfRule>
  </conditionalFormatting>
  <dataValidations count="3">
    <dataValidation type="list" allowBlank="1" showInputMessage="1" showErrorMessage="1" sqref="H3:H81">
      <formula1>"B,P,R"</formula1>
    </dataValidation>
    <dataValidation type="list" allowBlank="1" showInputMessage="1" showErrorMessage="1" sqref="C3:C71 C73:C74 C76 C78:C81">
      <formula1>"N,K,W"</formula1>
    </dataValidation>
    <dataValidation type="list" allowBlank="1" showInputMessage="1" showErrorMessage="1" sqref="C72 C75 C77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&amp;LWojewództw&amp;"Arial,Normalny"&amp;9&amp;K000000o  Podkarpackie &amp;"-,Standardowy"&amp;11&amp;K01+000- zadania gminne lista podstawowa</oddHeader>
    <oddFooter>Strona &amp;P z &amp;N</oddFooter>
  </headerFooter>
  <ignoredErrors>
    <ignoredError sqref="B67:B68 B61 B52 B46 B44 B8" twoDigitTextYear="1"/>
    <ignoredError sqref="Q82:X82" formulaRange="1"/>
    <ignoredError sqref="E3:E5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showGridLines="0" view="pageBreakPreview" topLeftCell="A10" zoomScale="90" zoomScaleNormal="78" zoomScaleSheetLayoutView="90" workbookViewId="0">
      <selection activeCell="A10" sqref="A1:W1048576"/>
    </sheetView>
  </sheetViews>
  <sheetFormatPr defaultRowHeight="15" x14ac:dyDescent="0.25"/>
  <cols>
    <col min="1" max="1" width="10.42578125" style="34" customWidth="1"/>
    <col min="2" max="5" width="15.7109375" style="34" customWidth="1"/>
    <col min="6" max="6" width="54" style="34" customWidth="1"/>
    <col min="7" max="10" width="15.7109375" style="34" customWidth="1"/>
    <col min="11" max="11" width="19.5703125" style="34" customWidth="1"/>
    <col min="12" max="12" width="15.7109375" style="34" customWidth="1"/>
    <col min="13" max="13" width="15.7109375" style="291" customWidth="1"/>
    <col min="14" max="14" width="15.7109375" style="34" customWidth="1"/>
    <col min="15" max="15" width="14.85546875" style="34" customWidth="1"/>
    <col min="16" max="23" width="15.7109375" style="34" customWidth="1"/>
    <col min="24" max="27" width="15.7109375" style="180" customWidth="1"/>
    <col min="28" max="16384" width="9.140625" style="13"/>
  </cols>
  <sheetData>
    <row r="1" spans="1:28" ht="20.100000000000001" customHeight="1" x14ac:dyDescent="0.25">
      <c r="A1" s="329" t="s">
        <v>4</v>
      </c>
      <c r="B1" s="329" t="s">
        <v>5</v>
      </c>
      <c r="C1" s="330" t="s">
        <v>47</v>
      </c>
      <c r="D1" s="327" t="s">
        <v>6</v>
      </c>
      <c r="E1" s="330" t="s">
        <v>34</v>
      </c>
      <c r="F1" s="327" t="s">
        <v>7</v>
      </c>
      <c r="G1" s="329" t="s">
        <v>27</v>
      </c>
      <c r="H1" s="329" t="s">
        <v>8</v>
      </c>
      <c r="I1" s="329" t="s">
        <v>24</v>
      </c>
      <c r="J1" s="329" t="s">
        <v>9</v>
      </c>
      <c r="K1" s="329" t="s">
        <v>10</v>
      </c>
      <c r="L1" s="327" t="s">
        <v>13</v>
      </c>
      <c r="M1" s="329" t="s">
        <v>11</v>
      </c>
      <c r="N1" s="329" t="s">
        <v>12</v>
      </c>
      <c r="O1" s="329"/>
      <c r="P1" s="329"/>
      <c r="Q1" s="329"/>
      <c r="R1" s="329"/>
      <c r="S1" s="329"/>
      <c r="T1" s="329"/>
      <c r="U1" s="329"/>
      <c r="V1" s="329"/>
      <c r="W1" s="329"/>
    </row>
    <row r="2" spans="1:28" ht="28.5" customHeight="1" x14ac:dyDescent="0.25">
      <c r="A2" s="329"/>
      <c r="B2" s="329"/>
      <c r="C2" s="331"/>
      <c r="D2" s="328"/>
      <c r="E2" s="331"/>
      <c r="F2" s="328"/>
      <c r="G2" s="329"/>
      <c r="H2" s="329"/>
      <c r="I2" s="329"/>
      <c r="J2" s="329"/>
      <c r="K2" s="329"/>
      <c r="L2" s="328"/>
      <c r="M2" s="329"/>
      <c r="N2" s="260">
        <v>2019</v>
      </c>
      <c r="O2" s="260">
        <v>2020</v>
      </c>
      <c r="P2" s="260">
        <v>2021</v>
      </c>
      <c r="Q2" s="260">
        <v>2022</v>
      </c>
      <c r="R2" s="260">
        <v>2023</v>
      </c>
      <c r="S2" s="260">
        <v>2024</v>
      </c>
      <c r="T2" s="260">
        <v>2025</v>
      </c>
      <c r="U2" s="260">
        <v>2026</v>
      </c>
      <c r="V2" s="260">
        <v>2027</v>
      </c>
      <c r="W2" s="260">
        <v>2028</v>
      </c>
      <c r="X2" s="174" t="s">
        <v>30</v>
      </c>
      <c r="Y2" s="174" t="s">
        <v>31</v>
      </c>
      <c r="Z2" s="174" t="s">
        <v>32</v>
      </c>
      <c r="AA2" s="177" t="s">
        <v>33</v>
      </c>
    </row>
    <row r="3" spans="1:28" s="37" customFormat="1" x14ac:dyDescent="0.25">
      <c r="A3" s="208">
        <v>1</v>
      </c>
      <c r="B3" s="148" t="s">
        <v>365</v>
      </c>
      <c r="C3" s="149" t="s">
        <v>151</v>
      </c>
      <c r="D3" s="150" t="s">
        <v>514</v>
      </c>
      <c r="E3" s="150">
        <v>1812</v>
      </c>
      <c r="F3" s="147" t="s">
        <v>539</v>
      </c>
      <c r="G3" s="148" t="s">
        <v>82</v>
      </c>
      <c r="H3" s="43">
        <v>0.93600000000000005</v>
      </c>
      <c r="I3" s="151" t="s">
        <v>556</v>
      </c>
      <c r="J3" s="196">
        <v>2799597.02</v>
      </c>
      <c r="K3" s="197">
        <v>1399798</v>
      </c>
      <c r="L3" s="198">
        <v>1399799.02</v>
      </c>
      <c r="M3" s="152">
        <v>0.5</v>
      </c>
      <c r="N3" s="197">
        <v>0</v>
      </c>
      <c r="O3" s="197">
        <v>0</v>
      </c>
      <c r="P3" s="198">
        <v>0</v>
      </c>
      <c r="Q3" s="198">
        <v>0</v>
      </c>
      <c r="R3" s="198">
        <v>1399798</v>
      </c>
      <c r="S3" s="198">
        <v>0</v>
      </c>
      <c r="T3" s="198">
        <v>0</v>
      </c>
      <c r="U3" s="198">
        <v>0</v>
      </c>
      <c r="V3" s="197">
        <v>0</v>
      </c>
      <c r="W3" s="196">
        <v>0</v>
      </c>
      <c r="X3" s="174" t="b">
        <f>K3=SUM(N3:W3)</f>
        <v>1</v>
      </c>
      <c r="Y3" s="178">
        <f>ROUND(K3/J3,4)</f>
        <v>0.5</v>
      </c>
      <c r="Z3" s="179" t="b">
        <f>Y3=M3</f>
        <v>1</v>
      </c>
      <c r="AA3" s="179" t="b">
        <f>J3=K3+L3</f>
        <v>1</v>
      </c>
      <c r="AB3" s="38"/>
    </row>
    <row r="4" spans="1:28" s="246" customFormat="1" ht="24" x14ac:dyDescent="0.25">
      <c r="A4" s="208">
        <v>2</v>
      </c>
      <c r="B4" s="148"/>
      <c r="C4" s="149" t="s">
        <v>151</v>
      </c>
      <c r="D4" s="150" t="s">
        <v>607</v>
      </c>
      <c r="E4" s="150">
        <v>1812</v>
      </c>
      <c r="F4" s="147" t="s">
        <v>615</v>
      </c>
      <c r="G4" s="148" t="s">
        <v>69</v>
      </c>
      <c r="H4" s="43"/>
      <c r="I4" s="295">
        <v>2023</v>
      </c>
      <c r="J4" s="196">
        <v>6121009</v>
      </c>
      <c r="K4" s="197">
        <f>ROUNDDOWN(J4*M4,1)</f>
        <v>3672605.4</v>
      </c>
      <c r="L4" s="197">
        <f>J4-K4</f>
        <v>2448403.6</v>
      </c>
      <c r="M4" s="152">
        <v>0.6</v>
      </c>
      <c r="N4" s="197">
        <v>0</v>
      </c>
      <c r="O4" s="197">
        <v>0</v>
      </c>
      <c r="P4" s="198">
        <v>0</v>
      </c>
      <c r="Q4" s="198">
        <v>0</v>
      </c>
      <c r="R4" s="198">
        <v>3672605.4</v>
      </c>
      <c r="S4" s="198">
        <v>0</v>
      </c>
      <c r="T4" s="198">
        <v>0</v>
      </c>
      <c r="U4" s="198">
        <v>0</v>
      </c>
      <c r="V4" s="197">
        <v>0</v>
      </c>
      <c r="W4" s="196">
        <v>0</v>
      </c>
      <c r="X4" s="174" t="b">
        <f>K4=SUM(N4:W4)</f>
        <v>1</v>
      </c>
      <c r="Y4" s="178">
        <f>ROUND(K4/J4,4)</f>
        <v>0.6</v>
      </c>
      <c r="Z4" s="179" t="b">
        <f>Y4=M4</f>
        <v>1</v>
      </c>
      <c r="AA4" s="179" t="b">
        <f>J4=K4+L4</f>
        <v>1</v>
      </c>
      <c r="AB4" s="245"/>
    </row>
    <row r="5" spans="1:28" s="173" customFormat="1" ht="36" x14ac:dyDescent="0.25">
      <c r="A5" s="228">
        <v>3</v>
      </c>
      <c r="B5" s="158" t="s">
        <v>540</v>
      </c>
      <c r="C5" s="159" t="s">
        <v>147</v>
      </c>
      <c r="D5" s="160" t="s">
        <v>103</v>
      </c>
      <c r="E5" s="160">
        <v>1808</v>
      </c>
      <c r="F5" s="170" t="s">
        <v>541</v>
      </c>
      <c r="G5" s="158" t="s">
        <v>82</v>
      </c>
      <c r="H5" s="171">
        <v>8.8610000000000007</v>
      </c>
      <c r="I5" s="161" t="s">
        <v>553</v>
      </c>
      <c r="J5" s="199">
        <v>16083073.640000001</v>
      </c>
      <c r="K5" s="200">
        <v>8041536</v>
      </c>
      <c r="L5" s="201">
        <v>8041537.6400000006</v>
      </c>
      <c r="M5" s="162">
        <v>0.5</v>
      </c>
      <c r="N5" s="200">
        <v>0</v>
      </c>
      <c r="O5" s="200">
        <v>0</v>
      </c>
      <c r="P5" s="201">
        <v>0</v>
      </c>
      <c r="Q5" s="201">
        <v>0</v>
      </c>
      <c r="R5" s="201">
        <v>4020768</v>
      </c>
      <c r="S5" s="201">
        <v>4020768</v>
      </c>
      <c r="T5" s="201">
        <v>0</v>
      </c>
      <c r="U5" s="201">
        <v>0</v>
      </c>
      <c r="V5" s="200">
        <v>0</v>
      </c>
      <c r="W5" s="199">
        <v>0</v>
      </c>
      <c r="X5" s="229" t="b">
        <f t="shared" ref="X5:X32" si="0">K5=SUM(N5:W5)</f>
        <v>1</v>
      </c>
      <c r="Y5" s="230">
        <f t="shared" ref="Y5:Y32" si="1">ROUND(K5/J5,4)</f>
        <v>0.5</v>
      </c>
      <c r="Z5" s="231" t="b">
        <f t="shared" ref="Z5:Z29" si="2">Y5=M5</f>
        <v>1</v>
      </c>
      <c r="AA5" s="231" t="b">
        <f t="shared" ref="AA5:AA32" si="3">J5=K5+L5</f>
        <v>1</v>
      </c>
      <c r="AB5" s="172"/>
    </row>
    <row r="6" spans="1:28" s="37" customFormat="1" ht="60" x14ac:dyDescent="0.25">
      <c r="A6" s="208">
        <v>4</v>
      </c>
      <c r="B6" s="148" t="s">
        <v>360</v>
      </c>
      <c r="C6" s="149" t="s">
        <v>151</v>
      </c>
      <c r="D6" s="150" t="s">
        <v>557</v>
      </c>
      <c r="E6" s="150">
        <v>1811</v>
      </c>
      <c r="F6" s="147" t="s">
        <v>558</v>
      </c>
      <c r="G6" s="148" t="s">
        <v>82</v>
      </c>
      <c r="H6" s="43">
        <v>4.5</v>
      </c>
      <c r="I6" s="151" t="s">
        <v>307</v>
      </c>
      <c r="J6" s="196">
        <v>11925000</v>
      </c>
      <c r="K6" s="197">
        <v>7155000</v>
      </c>
      <c r="L6" s="198">
        <v>4770000</v>
      </c>
      <c r="M6" s="152">
        <v>0.6</v>
      </c>
      <c r="N6" s="197">
        <v>0</v>
      </c>
      <c r="O6" s="197">
        <v>0</v>
      </c>
      <c r="P6" s="198">
        <v>0</v>
      </c>
      <c r="Q6" s="198">
        <v>0</v>
      </c>
      <c r="R6" s="198">
        <v>7155000</v>
      </c>
      <c r="S6" s="198">
        <v>0</v>
      </c>
      <c r="T6" s="198">
        <v>0</v>
      </c>
      <c r="U6" s="198">
        <v>0</v>
      </c>
      <c r="V6" s="197">
        <v>0</v>
      </c>
      <c r="W6" s="196">
        <v>0</v>
      </c>
      <c r="X6" s="174" t="b">
        <f t="shared" si="0"/>
        <v>1</v>
      </c>
      <c r="Y6" s="178">
        <f t="shared" si="1"/>
        <v>0.6</v>
      </c>
      <c r="Z6" s="179" t="b">
        <f t="shared" si="2"/>
        <v>1</v>
      </c>
      <c r="AA6" s="179" t="b">
        <f t="shared" si="3"/>
        <v>1</v>
      </c>
      <c r="AB6" s="38"/>
    </row>
    <row r="7" spans="1:28" s="173" customFormat="1" ht="24" x14ac:dyDescent="0.25">
      <c r="A7" s="228">
        <v>5</v>
      </c>
      <c r="B7" s="158" t="s">
        <v>562</v>
      </c>
      <c r="C7" s="159" t="s">
        <v>147</v>
      </c>
      <c r="D7" s="160" t="s">
        <v>508</v>
      </c>
      <c r="E7" s="160">
        <v>1818</v>
      </c>
      <c r="F7" s="170" t="s">
        <v>563</v>
      </c>
      <c r="G7" s="158" t="s">
        <v>82</v>
      </c>
      <c r="H7" s="171">
        <v>2.2673800000000002</v>
      </c>
      <c r="I7" s="161" t="s">
        <v>306</v>
      </c>
      <c r="J7" s="199">
        <v>11880457</v>
      </c>
      <c r="K7" s="200">
        <v>7128274</v>
      </c>
      <c r="L7" s="201">
        <v>4752183</v>
      </c>
      <c r="M7" s="162">
        <v>0.6</v>
      </c>
      <c r="N7" s="200">
        <v>0</v>
      </c>
      <c r="O7" s="200">
        <v>0</v>
      </c>
      <c r="P7" s="201">
        <v>0</v>
      </c>
      <c r="Q7" s="201">
        <v>0</v>
      </c>
      <c r="R7" s="201">
        <v>3000000</v>
      </c>
      <c r="S7" s="201">
        <v>4128274</v>
      </c>
      <c r="T7" s="201">
        <v>0</v>
      </c>
      <c r="U7" s="201">
        <v>0</v>
      </c>
      <c r="V7" s="200">
        <v>0</v>
      </c>
      <c r="W7" s="199">
        <v>0</v>
      </c>
      <c r="X7" s="229" t="b">
        <f t="shared" si="0"/>
        <v>1</v>
      </c>
      <c r="Y7" s="230">
        <f t="shared" si="1"/>
        <v>0.6</v>
      </c>
      <c r="Z7" s="231" t="b">
        <f t="shared" si="2"/>
        <v>1</v>
      </c>
      <c r="AA7" s="231" t="b">
        <f t="shared" si="3"/>
        <v>1</v>
      </c>
      <c r="AB7" s="172"/>
    </row>
    <row r="8" spans="1:28" s="173" customFormat="1" ht="24" x14ac:dyDescent="0.25">
      <c r="A8" s="208">
        <v>6</v>
      </c>
      <c r="B8" s="148" t="s">
        <v>433</v>
      </c>
      <c r="C8" s="149" t="s">
        <v>151</v>
      </c>
      <c r="D8" s="150" t="s">
        <v>497</v>
      </c>
      <c r="E8" s="150">
        <v>1809</v>
      </c>
      <c r="F8" s="147" t="s">
        <v>596</v>
      </c>
      <c r="G8" s="148" t="s">
        <v>82</v>
      </c>
      <c r="H8" s="43">
        <v>1.7290000000000001</v>
      </c>
      <c r="I8" s="151" t="s">
        <v>309</v>
      </c>
      <c r="J8" s="196">
        <v>4392500</v>
      </c>
      <c r="K8" s="197">
        <f>ROUNDDOWN(J8*M8,0)</f>
        <v>2635500</v>
      </c>
      <c r="L8" s="198">
        <f>J8-K8</f>
        <v>1757000</v>
      </c>
      <c r="M8" s="152">
        <v>0.6</v>
      </c>
      <c r="N8" s="197">
        <v>0</v>
      </c>
      <c r="O8" s="197">
        <v>0</v>
      </c>
      <c r="P8" s="198">
        <v>0</v>
      </c>
      <c r="Q8" s="198">
        <v>0</v>
      </c>
      <c r="R8" s="198">
        <f>K8</f>
        <v>2635500</v>
      </c>
      <c r="S8" s="198">
        <v>0</v>
      </c>
      <c r="T8" s="198">
        <v>0</v>
      </c>
      <c r="U8" s="198">
        <v>0</v>
      </c>
      <c r="V8" s="197">
        <v>0</v>
      </c>
      <c r="W8" s="196">
        <v>0</v>
      </c>
      <c r="X8" s="174" t="b">
        <f t="shared" ref="X8" si="4">K8=SUM(N8:W8)</f>
        <v>1</v>
      </c>
      <c r="Y8" s="178">
        <f t="shared" ref="Y8" si="5">ROUND(K8/J8,4)</f>
        <v>0.6</v>
      </c>
      <c r="Z8" s="179" t="b">
        <f t="shared" ref="Z8" si="6">Y8=M8</f>
        <v>1</v>
      </c>
      <c r="AA8" s="179" t="b">
        <f t="shared" ref="AA8" si="7">J8=K8+L8</f>
        <v>1</v>
      </c>
      <c r="AB8" s="172"/>
    </row>
    <row r="9" spans="1:28" s="37" customFormat="1" ht="36" x14ac:dyDescent="0.25">
      <c r="A9" s="208">
        <v>7</v>
      </c>
      <c r="B9" s="148" t="s">
        <v>220</v>
      </c>
      <c r="C9" s="149" t="s">
        <v>151</v>
      </c>
      <c r="D9" s="150" t="s">
        <v>523</v>
      </c>
      <c r="E9" s="150">
        <v>1815</v>
      </c>
      <c r="F9" s="147" t="s">
        <v>564</v>
      </c>
      <c r="G9" s="148" t="s">
        <v>82</v>
      </c>
      <c r="H9" s="43">
        <v>1.6705000000000001</v>
      </c>
      <c r="I9" s="151" t="s">
        <v>309</v>
      </c>
      <c r="J9" s="196">
        <v>4193138</v>
      </c>
      <c r="K9" s="197">
        <v>2096569</v>
      </c>
      <c r="L9" s="198">
        <v>2096569</v>
      </c>
      <c r="M9" s="152">
        <v>0.5</v>
      </c>
      <c r="N9" s="197">
        <v>0</v>
      </c>
      <c r="O9" s="197">
        <v>0</v>
      </c>
      <c r="P9" s="198">
        <v>0</v>
      </c>
      <c r="Q9" s="198">
        <v>0</v>
      </c>
      <c r="R9" s="198">
        <v>2096569</v>
      </c>
      <c r="S9" s="198">
        <v>0</v>
      </c>
      <c r="T9" s="198">
        <v>0</v>
      </c>
      <c r="U9" s="198">
        <v>0</v>
      </c>
      <c r="V9" s="197">
        <v>0</v>
      </c>
      <c r="W9" s="196">
        <v>0</v>
      </c>
      <c r="X9" s="174" t="b">
        <f t="shared" si="0"/>
        <v>1</v>
      </c>
      <c r="Y9" s="178">
        <f t="shared" si="1"/>
        <v>0.5</v>
      </c>
      <c r="Z9" s="179" t="b">
        <f t="shared" si="2"/>
        <v>1</v>
      </c>
      <c r="AA9" s="179" t="b">
        <f t="shared" si="3"/>
        <v>1</v>
      </c>
      <c r="AB9" s="38"/>
    </row>
    <row r="10" spans="1:28" s="37" customFormat="1" ht="24" x14ac:dyDescent="0.25">
      <c r="A10" s="208">
        <v>8</v>
      </c>
      <c r="B10" s="148" t="s">
        <v>567</v>
      </c>
      <c r="C10" s="149" t="s">
        <v>151</v>
      </c>
      <c r="D10" s="150" t="s">
        <v>530</v>
      </c>
      <c r="E10" s="150">
        <v>1810</v>
      </c>
      <c r="F10" s="147" t="s">
        <v>568</v>
      </c>
      <c r="G10" s="148" t="s">
        <v>82</v>
      </c>
      <c r="H10" s="43">
        <v>0.91720000000000002</v>
      </c>
      <c r="I10" s="151" t="s">
        <v>329</v>
      </c>
      <c r="J10" s="196">
        <v>4063060</v>
      </c>
      <c r="K10" s="197">
        <v>2437836</v>
      </c>
      <c r="L10" s="198">
        <v>1625224</v>
      </c>
      <c r="M10" s="152">
        <v>0.6</v>
      </c>
      <c r="N10" s="197">
        <v>0</v>
      </c>
      <c r="O10" s="197">
        <v>0</v>
      </c>
      <c r="P10" s="198">
        <v>0</v>
      </c>
      <c r="Q10" s="198">
        <v>0</v>
      </c>
      <c r="R10" s="198">
        <v>2437836</v>
      </c>
      <c r="S10" s="198">
        <v>0</v>
      </c>
      <c r="T10" s="198">
        <v>0</v>
      </c>
      <c r="U10" s="198">
        <v>0</v>
      </c>
      <c r="V10" s="197">
        <v>0</v>
      </c>
      <c r="W10" s="196">
        <v>0</v>
      </c>
      <c r="X10" s="174" t="b">
        <f t="shared" si="0"/>
        <v>1</v>
      </c>
      <c r="Y10" s="178">
        <f t="shared" si="1"/>
        <v>0.6</v>
      </c>
      <c r="Z10" s="179" t="b">
        <f t="shared" si="2"/>
        <v>1</v>
      </c>
      <c r="AA10" s="179" t="b">
        <f t="shared" si="3"/>
        <v>1</v>
      </c>
      <c r="AB10" s="38"/>
    </row>
    <row r="11" spans="1:28" s="37" customFormat="1" ht="36" x14ac:dyDescent="0.25">
      <c r="A11" s="208">
        <v>9</v>
      </c>
      <c r="B11" s="148" t="s">
        <v>569</v>
      </c>
      <c r="C11" s="149" t="s">
        <v>151</v>
      </c>
      <c r="D11" s="150" t="s">
        <v>87</v>
      </c>
      <c r="E11" s="150">
        <v>1820</v>
      </c>
      <c r="F11" s="147" t="s">
        <v>570</v>
      </c>
      <c r="G11" s="148" t="s">
        <v>82</v>
      </c>
      <c r="H11" s="43">
        <v>0.2555</v>
      </c>
      <c r="I11" s="151" t="s">
        <v>478</v>
      </c>
      <c r="J11" s="196">
        <v>350000</v>
      </c>
      <c r="K11" s="197">
        <v>210000</v>
      </c>
      <c r="L11" s="198">
        <v>140000</v>
      </c>
      <c r="M11" s="152">
        <v>0.6</v>
      </c>
      <c r="N11" s="197">
        <v>0</v>
      </c>
      <c r="O11" s="197">
        <v>0</v>
      </c>
      <c r="P11" s="198">
        <v>0</v>
      </c>
      <c r="Q11" s="198">
        <v>0</v>
      </c>
      <c r="R11" s="198">
        <v>210000</v>
      </c>
      <c r="S11" s="198">
        <v>0</v>
      </c>
      <c r="T11" s="198">
        <v>0</v>
      </c>
      <c r="U11" s="198">
        <v>0</v>
      </c>
      <c r="V11" s="197">
        <v>0</v>
      </c>
      <c r="W11" s="196">
        <v>0</v>
      </c>
      <c r="X11" s="174" t="b">
        <f t="shared" si="0"/>
        <v>1</v>
      </c>
      <c r="Y11" s="178">
        <f t="shared" si="1"/>
        <v>0.6</v>
      </c>
      <c r="Z11" s="179" t="b">
        <f t="shared" si="2"/>
        <v>1</v>
      </c>
      <c r="AA11" s="179" t="b">
        <f t="shared" si="3"/>
        <v>1</v>
      </c>
      <c r="AB11" s="38"/>
    </row>
    <row r="12" spans="1:28" s="37" customFormat="1" ht="36" x14ac:dyDescent="0.25">
      <c r="A12" s="208">
        <v>10</v>
      </c>
      <c r="B12" s="148" t="s">
        <v>376</v>
      </c>
      <c r="C12" s="149" t="s">
        <v>151</v>
      </c>
      <c r="D12" s="150" t="s">
        <v>494</v>
      </c>
      <c r="E12" s="150">
        <v>1801</v>
      </c>
      <c r="F12" s="147" t="s">
        <v>571</v>
      </c>
      <c r="G12" s="148" t="s">
        <v>82</v>
      </c>
      <c r="H12" s="43">
        <v>2.4209999999999998</v>
      </c>
      <c r="I12" s="151" t="s">
        <v>307</v>
      </c>
      <c r="J12" s="196">
        <v>4742372.4000000004</v>
      </c>
      <c r="K12" s="197">
        <v>2371186</v>
      </c>
      <c r="L12" s="198">
        <v>2371186.4000000004</v>
      </c>
      <c r="M12" s="152">
        <v>0.5</v>
      </c>
      <c r="N12" s="197">
        <v>0</v>
      </c>
      <c r="O12" s="197">
        <v>0</v>
      </c>
      <c r="P12" s="198">
        <v>0</v>
      </c>
      <c r="Q12" s="198">
        <v>0</v>
      </c>
      <c r="R12" s="198">
        <v>2371186</v>
      </c>
      <c r="S12" s="198">
        <v>0</v>
      </c>
      <c r="T12" s="198">
        <v>0</v>
      </c>
      <c r="U12" s="198">
        <v>0</v>
      </c>
      <c r="V12" s="197">
        <v>0</v>
      </c>
      <c r="W12" s="196">
        <v>0</v>
      </c>
      <c r="X12" s="174" t="b">
        <f t="shared" si="0"/>
        <v>1</v>
      </c>
      <c r="Y12" s="178">
        <f t="shared" si="1"/>
        <v>0.5</v>
      </c>
      <c r="Z12" s="179" t="b">
        <f t="shared" si="2"/>
        <v>1</v>
      </c>
      <c r="AA12" s="179" t="b">
        <f t="shared" si="3"/>
        <v>1</v>
      </c>
      <c r="AB12" s="38"/>
    </row>
    <row r="13" spans="1:28" s="37" customFormat="1" ht="24" x14ac:dyDescent="0.25">
      <c r="A13" s="208">
        <v>11</v>
      </c>
      <c r="B13" s="148" t="s">
        <v>256</v>
      </c>
      <c r="C13" s="149" t="s">
        <v>151</v>
      </c>
      <c r="D13" s="150" t="s">
        <v>534</v>
      </c>
      <c r="E13" s="150">
        <v>1816</v>
      </c>
      <c r="F13" s="147" t="s">
        <v>572</v>
      </c>
      <c r="G13" s="148" t="s">
        <v>82</v>
      </c>
      <c r="H13" s="43">
        <v>0.25</v>
      </c>
      <c r="I13" s="151" t="s">
        <v>309</v>
      </c>
      <c r="J13" s="196">
        <v>1600000</v>
      </c>
      <c r="K13" s="197">
        <v>960000</v>
      </c>
      <c r="L13" s="198">
        <v>640000</v>
      </c>
      <c r="M13" s="152">
        <v>0.6</v>
      </c>
      <c r="N13" s="197">
        <v>0</v>
      </c>
      <c r="O13" s="197">
        <v>0</v>
      </c>
      <c r="P13" s="198">
        <v>0</v>
      </c>
      <c r="Q13" s="198">
        <v>0</v>
      </c>
      <c r="R13" s="198">
        <v>960000</v>
      </c>
      <c r="S13" s="198">
        <v>0</v>
      </c>
      <c r="T13" s="198">
        <v>0</v>
      </c>
      <c r="U13" s="198">
        <v>0</v>
      </c>
      <c r="V13" s="197">
        <v>0</v>
      </c>
      <c r="W13" s="196">
        <v>0</v>
      </c>
      <c r="X13" s="174" t="b">
        <f t="shared" si="0"/>
        <v>1</v>
      </c>
      <c r="Y13" s="178">
        <f t="shared" si="1"/>
        <v>0.6</v>
      </c>
      <c r="Z13" s="179" t="b">
        <f t="shared" si="2"/>
        <v>1</v>
      </c>
      <c r="AA13" s="179" t="b">
        <f t="shared" si="3"/>
        <v>1</v>
      </c>
      <c r="AB13" s="38"/>
    </row>
    <row r="14" spans="1:28" s="173" customFormat="1" ht="24" x14ac:dyDescent="0.25">
      <c r="A14" s="228">
        <v>12</v>
      </c>
      <c r="B14" s="158" t="s">
        <v>464</v>
      </c>
      <c r="C14" s="159" t="s">
        <v>147</v>
      </c>
      <c r="D14" s="160" t="s">
        <v>500</v>
      </c>
      <c r="E14" s="160">
        <v>1817</v>
      </c>
      <c r="F14" s="170" t="s">
        <v>573</v>
      </c>
      <c r="G14" s="158" t="s">
        <v>197</v>
      </c>
      <c r="H14" s="171">
        <v>1.8520000000000001</v>
      </c>
      <c r="I14" s="161" t="s">
        <v>551</v>
      </c>
      <c r="J14" s="199">
        <v>3678094.84</v>
      </c>
      <c r="K14" s="200">
        <v>2206856</v>
      </c>
      <c r="L14" s="201">
        <v>1471238.8399999999</v>
      </c>
      <c r="M14" s="162">
        <v>0.6</v>
      </c>
      <c r="N14" s="200">
        <v>0</v>
      </c>
      <c r="O14" s="200">
        <v>0</v>
      </c>
      <c r="P14" s="201">
        <v>0</v>
      </c>
      <c r="Q14" s="201">
        <v>0</v>
      </c>
      <c r="R14" s="201">
        <v>1103428</v>
      </c>
      <c r="S14" s="201">
        <v>1103428</v>
      </c>
      <c r="T14" s="201">
        <v>0</v>
      </c>
      <c r="U14" s="201">
        <v>0</v>
      </c>
      <c r="V14" s="200">
        <v>0</v>
      </c>
      <c r="W14" s="199">
        <v>0</v>
      </c>
      <c r="X14" s="229" t="b">
        <f t="shared" si="0"/>
        <v>1</v>
      </c>
      <c r="Y14" s="230">
        <f t="shared" si="1"/>
        <v>0.6</v>
      </c>
      <c r="Z14" s="231" t="b">
        <f t="shared" si="2"/>
        <v>1</v>
      </c>
      <c r="AA14" s="231" t="b">
        <f t="shared" si="3"/>
        <v>1</v>
      </c>
      <c r="AB14" s="172"/>
    </row>
    <row r="15" spans="1:28" s="37" customFormat="1" ht="24" x14ac:dyDescent="0.25">
      <c r="A15" s="208">
        <v>13</v>
      </c>
      <c r="B15" s="148" t="s">
        <v>357</v>
      </c>
      <c r="C15" s="149" t="s">
        <v>151</v>
      </c>
      <c r="D15" s="150" t="s">
        <v>494</v>
      </c>
      <c r="E15" s="150">
        <v>1801</v>
      </c>
      <c r="F15" s="147" t="s">
        <v>574</v>
      </c>
      <c r="G15" s="148" t="s">
        <v>197</v>
      </c>
      <c r="H15" s="43">
        <v>0.61</v>
      </c>
      <c r="I15" s="151" t="s">
        <v>307</v>
      </c>
      <c r="J15" s="196">
        <v>871988.29</v>
      </c>
      <c r="K15" s="197">
        <v>435994</v>
      </c>
      <c r="L15" s="198">
        <v>435994.29000000004</v>
      </c>
      <c r="M15" s="152">
        <v>0.5</v>
      </c>
      <c r="N15" s="197">
        <v>0</v>
      </c>
      <c r="O15" s="197">
        <v>0</v>
      </c>
      <c r="P15" s="198">
        <v>0</v>
      </c>
      <c r="Q15" s="198">
        <v>0</v>
      </c>
      <c r="R15" s="198">
        <v>435994</v>
      </c>
      <c r="S15" s="198">
        <v>0</v>
      </c>
      <c r="T15" s="198">
        <v>0</v>
      </c>
      <c r="U15" s="198">
        <v>0</v>
      </c>
      <c r="V15" s="197">
        <v>0</v>
      </c>
      <c r="W15" s="196">
        <v>0</v>
      </c>
      <c r="X15" s="174" t="b">
        <f t="shared" si="0"/>
        <v>1</v>
      </c>
      <c r="Y15" s="178">
        <f t="shared" si="1"/>
        <v>0.5</v>
      </c>
      <c r="Z15" s="179" t="b">
        <f t="shared" si="2"/>
        <v>1</v>
      </c>
      <c r="AA15" s="179" t="b">
        <f t="shared" si="3"/>
        <v>1</v>
      </c>
      <c r="AB15" s="38"/>
    </row>
    <row r="16" spans="1:28" s="173" customFormat="1" ht="24" x14ac:dyDescent="0.25">
      <c r="A16" s="228">
        <v>14</v>
      </c>
      <c r="B16" s="158" t="s">
        <v>276</v>
      </c>
      <c r="C16" s="159" t="s">
        <v>147</v>
      </c>
      <c r="D16" s="160" t="s">
        <v>503</v>
      </c>
      <c r="E16" s="160">
        <v>1814</v>
      </c>
      <c r="F16" s="170" t="s">
        <v>575</v>
      </c>
      <c r="G16" s="158" t="s">
        <v>69</v>
      </c>
      <c r="H16" s="171">
        <v>0.82399999999999995</v>
      </c>
      <c r="I16" s="161" t="s">
        <v>599</v>
      </c>
      <c r="J16" s="199">
        <v>16122422.48</v>
      </c>
      <c r="K16" s="200">
        <v>8061210</v>
      </c>
      <c r="L16" s="201">
        <v>8061212.4800000004</v>
      </c>
      <c r="M16" s="162">
        <v>0.5</v>
      </c>
      <c r="N16" s="200">
        <v>0</v>
      </c>
      <c r="O16" s="200">
        <v>0</v>
      </c>
      <c r="P16" s="201">
        <v>0</v>
      </c>
      <c r="Q16" s="201">
        <v>0</v>
      </c>
      <c r="R16" s="201">
        <v>4296214</v>
      </c>
      <c r="S16" s="201">
        <v>3764996</v>
      </c>
      <c r="T16" s="201">
        <v>0</v>
      </c>
      <c r="U16" s="201">
        <v>0</v>
      </c>
      <c r="V16" s="200">
        <v>0</v>
      </c>
      <c r="W16" s="199">
        <v>0</v>
      </c>
      <c r="X16" s="229" t="b">
        <f t="shared" si="0"/>
        <v>1</v>
      </c>
      <c r="Y16" s="230">
        <f t="shared" si="1"/>
        <v>0.5</v>
      </c>
      <c r="Z16" s="231" t="b">
        <f t="shared" si="2"/>
        <v>1</v>
      </c>
      <c r="AA16" s="231" t="b">
        <f t="shared" si="3"/>
        <v>1</v>
      </c>
      <c r="AB16" s="172"/>
    </row>
    <row r="17" spans="1:28" s="37" customFormat="1" ht="24" x14ac:dyDescent="0.25">
      <c r="A17" s="208">
        <v>15</v>
      </c>
      <c r="B17" s="148" t="s">
        <v>576</v>
      </c>
      <c r="C17" s="149" t="s">
        <v>151</v>
      </c>
      <c r="D17" s="150" t="s">
        <v>577</v>
      </c>
      <c r="E17" s="150">
        <v>1805</v>
      </c>
      <c r="F17" s="147" t="s">
        <v>578</v>
      </c>
      <c r="G17" s="148" t="s">
        <v>69</v>
      </c>
      <c r="H17" s="43">
        <v>0.81562999999999997</v>
      </c>
      <c r="I17" s="151" t="s">
        <v>307</v>
      </c>
      <c r="J17" s="196">
        <v>5498473.2000000002</v>
      </c>
      <c r="K17" s="197">
        <v>3299083</v>
      </c>
      <c r="L17" s="198">
        <v>2199390.2000000002</v>
      </c>
      <c r="M17" s="152">
        <v>0.6</v>
      </c>
      <c r="N17" s="197">
        <v>0</v>
      </c>
      <c r="O17" s="197">
        <v>0</v>
      </c>
      <c r="P17" s="198">
        <v>0</v>
      </c>
      <c r="Q17" s="198">
        <v>0</v>
      </c>
      <c r="R17" s="198">
        <v>3299083</v>
      </c>
      <c r="S17" s="198">
        <v>0</v>
      </c>
      <c r="T17" s="198">
        <v>0</v>
      </c>
      <c r="U17" s="198">
        <v>0</v>
      </c>
      <c r="V17" s="197">
        <v>0</v>
      </c>
      <c r="W17" s="196">
        <v>0</v>
      </c>
      <c r="X17" s="174" t="b">
        <f t="shared" si="0"/>
        <v>1</v>
      </c>
      <c r="Y17" s="178">
        <f t="shared" si="1"/>
        <v>0.6</v>
      </c>
      <c r="Z17" s="179" t="b">
        <f t="shared" si="2"/>
        <v>1</v>
      </c>
      <c r="AA17" s="179" t="b">
        <f t="shared" si="3"/>
        <v>1</v>
      </c>
      <c r="AB17" s="38"/>
    </row>
    <row r="18" spans="1:28" s="37" customFormat="1" ht="36" x14ac:dyDescent="0.25">
      <c r="A18" s="208">
        <v>16</v>
      </c>
      <c r="B18" s="148" t="s">
        <v>393</v>
      </c>
      <c r="C18" s="149" t="s">
        <v>151</v>
      </c>
      <c r="D18" s="150" t="s">
        <v>520</v>
      </c>
      <c r="E18" s="150">
        <v>1806</v>
      </c>
      <c r="F18" s="147" t="s">
        <v>579</v>
      </c>
      <c r="G18" s="148" t="s">
        <v>82</v>
      </c>
      <c r="H18" s="43">
        <v>1.5680000000000001</v>
      </c>
      <c r="I18" s="151" t="s">
        <v>312</v>
      </c>
      <c r="J18" s="196">
        <v>3169711.84</v>
      </c>
      <c r="K18" s="197">
        <v>1901827</v>
      </c>
      <c r="L18" s="198">
        <v>1267884.8399999999</v>
      </c>
      <c r="M18" s="152">
        <v>0.6</v>
      </c>
      <c r="N18" s="197">
        <v>0</v>
      </c>
      <c r="O18" s="197">
        <v>0</v>
      </c>
      <c r="P18" s="198">
        <v>0</v>
      </c>
      <c r="Q18" s="198">
        <v>0</v>
      </c>
      <c r="R18" s="198">
        <v>1901827</v>
      </c>
      <c r="S18" s="198">
        <v>0</v>
      </c>
      <c r="T18" s="198">
        <v>0</v>
      </c>
      <c r="U18" s="198">
        <v>0</v>
      </c>
      <c r="V18" s="197">
        <v>0</v>
      </c>
      <c r="W18" s="196">
        <v>0</v>
      </c>
      <c r="X18" s="174" t="b">
        <f t="shared" si="0"/>
        <v>1</v>
      </c>
      <c r="Y18" s="178">
        <f t="shared" si="1"/>
        <v>0.6</v>
      </c>
      <c r="Z18" s="179" t="b">
        <f t="shared" si="2"/>
        <v>1</v>
      </c>
      <c r="AA18" s="179" t="b">
        <f t="shared" si="3"/>
        <v>1</v>
      </c>
      <c r="AB18" s="38"/>
    </row>
    <row r="19" spans="1:28" s="173" customFormat="1" ht="24" x14ac:dyDescent="0.25">
      <c r="A19" s="228">
        <v>17</v>
      </c>
      <c r="B19" s="158" t="s">
        <v>421</v>
      </c>
      <c r="C19" s="159" t="s">
        <v>147</v>
      </c>
      <c r="D19" s="160" t="s">
        <v>580</v>
      </c>
      <c r="E19" s="160">
        <v>1862</v>
      </c>
      <c r="F19" s="170" t="s">
        <v>581</v>
      </c>
      <c r="G19" s="158" t="s">
        <v>82</v>
      </c>
      <c r="H19" s="171">
        <v>0.76500000000000001</v>
      </c>
      <c r="I19" s="161" t="s">
        <v>600</v>
      </c>
      <c r="J19" s="199">
        <v>4714207.3899999997</v>
      </c>
      <c r="K19" s="200">
        <v>2357102</v>
      </c>
      <c r="L19" s="201">
        <v>2357105.3899999997</v>
      </c>
      <c r="M19" s="162">
        <v>0.5</v>
      </c>
      <c r="N19" s="200">
        <v>0</v>
      </c>
      <c r="O19" s="200">
        <v>0</v>
      </c>
      <c r="P19" s="201">
        <v>0</v>
      </c>
      <c r="Q19" s="201">
        <v>0</v>
      </c>
      <c r="R19" s="201">
        <v>1178551</v>
      </c>
      <c r="S19" s="201">
        <v>1178551</v>
      </c>
      <c r="T19" s="201">
        <v>0</v>
      </c>
      <c r="U19" s="201">
        <v>0</v>
      </c>
      <c r="V19" s="200">
        <v>0</v>
      </c>
      <c r="W19" s="199">
        <v>0</v>
      </c>
      <c r="X19" s="229" t="b">
        <f t="shared" si="0"/>
        <v>1</v>
      </c>
      <c r="Y19" s="230">
        <f t="shared" si="1"/>
        <v>0.5</v>
      </c>
      <c r="Z19" s="231" t="b">
        <f t="shared" si="2"/>
        <v>1</v>
      </c>
      <c r="AA19" s="231" t="b">
        <f t="shared" si="3"/>
        <v>1</v>
      </c>
      <c r="AB19" s="172"/>
    </row>
    <row r="20" spans="1:28" s="173" customFormat="1" ht="24" x14ac:dyDescent="0.25">
      <c r="A20" s="228">
        <v>18</v>
      </c>
      <c r="B20" s="158" t="s">
        <v>406</v>
      </c>
      <c r="C20" s="159" t="s">
        <v>147</v>
      </c>
      <c r="D20" s="160" t="s">
        <v>580</v>
      </c>
      <c r="E20" s="160">
        <v>1862</v>
      </c>
      <c r="F20" s="170" t="s">
        <v>582</v>
      </c>
      <c r="G20" s="158" t="s">
        <v>82</v>
      </c>
      <c r="H20" s="171">
        <v>0.57499999999999996</v>
      </c>
      <c r="I20" s="161" t="s">
        <v>600</v>
      </c>
      <c r="J20" s="199">
        <v>5345983.08</v>
      </c>
      <c r="K20" s="200">
        <v>2672990</v>
      </c>
      <c r="L20" s="201">
        <v>2672993.08</v>
      </c>
      <c r="M20" s="162">
        <v>0.5</v>
      </c>
      <c r="N20" s="200">
        <v>0</v>
      </c>
      <c r="O20" s="200">
        <v>0</v>
      </c>
      <c r="P20" s="201">
        <v>0</v>
      </c>
      <c r="Q20" s="201">
        <v>0</v>
      </c>
      <c r="R20" s="201">
        <v>1336495</v>
      </c>
      <c r="S20" s="201">
        <v>1336495</v>
      </c>
      <c r="T20" s="201">
        <v>0</v>
      </c>
      <c r="U20" s="201">
        <v>0</v>
      </c>
      <c r="V20" s="200">
        <v>0</v>
      </c>
      <c r="W20" s="199">
        <v>0</v>
      </c>
      <c r="X20" s="229" t="b">
        <f t="shared" si="0"/>
        <v>1</v>
      </c>
      <c r="Y20" s="230">
        <f t="shared" si="1"/>
        <v>0.5</v>
      </c>
      <c r="Z20" s="231" t="b">
        <f t="shared" si="2"/>
        <v>1</v>
      </c>
      <c r="AA20" s="231" t="b">
        <f t="shared" si="3"/>
        <v>1</v>
      </c>
      <c r="AB20" s="172"/>
    </row>
    <row r="21" spans="1:28" s="37" customFormat="1" ht="24" x14ac:dyDescent="0.25">
      <c r="A21" s="208">
        <v>19</v>
      </c>
      <c r="B21" s="148" t="s">
        <v>583</v>
      </c>
      <c r="C21" s="149" t="s">
        <v>151</v>
      </c>
      <c r="D21" s="150" t="s">
        <v>514</v>
      </c>
      <c r="E21" s="150">
        <v>1812</v>
      </c>
      <c r="F21" s="147" t="s">
        <v>584</v>
      </c>
      <c r="G21" s="148" t="s">
        <v>82</v>
      </c>
      <c r="H21" s="43">
        <v>2.9430000000000001</v>
      </c>
      <c r="I21" s="151" t="s">
        <v>307</v>
      </c>
      <c r="J21" s="196">
        <v>5485532.54</v>
      </c>
      <c r="K21" s="197">
        <v>2742766</v>
      </c>
      <c r="L21" s="198">
        <v>2742766.54</v>
      </c>
      <c r="M21" s="152">
        <v>0.5</v>
      </c>
      <c r="N21" s="197">
        <v>0</v>
      </c>
      <c r="O21" s="197">
        <v>0</v>
      </c>
      <c r="P21" s="198">
        <v>0</v>
      </c>
      <c r="Q21" s="198">
        <v>0</v>
      </c>
      <c r="R21" s="198">
        <v>2742766</v>
      </c>
      <c r="S21" s="198">
        <v>0</v>
      </c>
      <c r="T21" s="198">
        <v>0</v>
      </c>
      <c r="U21" s="198">
        <v>0</v>
      </c>
      <c r="V21" s="197">
        <v>0</v>
      </c>
      <c r="W21" s="196">
        <v>0</v>
      </c>
      <c r="X21" s="174" t="b">
        <f t="shared" si="0"/>
        <v>1</v>
      </c>
      <c r="Y21" s="178">
        <f t="shared" si="1"/>
        <v>0.5</v>
      </c>
      <c r="Z21" s="179" t="b">
        <f t="shared" si="2"/>
        <v>1</v>
      </c>
      <c r="AA21" s="179" t="b">
        <f t="shared" si="3"/>
        <v>1</v>
      </c>
      <c r="AB21" s="38"/>
    </row>
    <row r="22" spans="1:28" s="37" customFormat="1" ht="24" x14ac:dyDescent="0.25">
      <c r="A22" s="208">
        <v>20</v>
      </c>
      <c r="B22" s="148" t="s">
        <v>585</v>
      </c>
      <c r="C22" s="149" t="s">
        <v>151</v>
      </c>
      <c r="D22" s="150" t="s">
        <v>517</v>
      </c>
      <c r="E22" s="150">
        <v>1803</v>
      </c>
      <c r="F22" s="147" t="s">
        <v>586</v>
      </c>
      <c r="G22" s="148" t="s">
        <v>82</v>
      </c>
      <c r="H22" s="43">
        <v>2.2799999999999998</v>
      </c>
      <c r="I22" s="151" t="s">
        <v>309</v>
      </c>
      <c r="J22" s="196">
        <v>4622205.45</v>
      </c>
      <c r="K22" s="197">
        <v>2773323</v>
      </c>
      <c r="L22" s="198">
        <v>1848882.4500000002</v>
      </c>
      <c r="M22" s="152">
        <v>0.6</v>
      </c>
      <c r="N22" s="197">
        <v>0</v>
      </c>
      <c r="O22" s="197">
        <v>0</v>
      </c>
      <c r="P22" s="198">
        <v>0</v>
      </c>
      <c r="Q22" s="198">
        <v>0</v>
      </c>
      <c r="R22" s="198">
        <v>2773323</v>
      </c>
      <c r="S22" s="198">
        <v>0</v>
      </c>
      <c r="T22" s="198">
        <v>0</v>
      </c>
      <c r="U22" s="198">
        <v>0</v>
      </c>
      <c r="V22" s="197">
        <v>0</v>
      </c>
      <c r="W22" s="196">
        <v>0</v>
      </c>
      <c r="X22" s="174" t="b">
        <f t="shared" si="0"/>
        <v>1</v>
      </c>
      <c r="Y22" s="178">
        <f t="shared" si="1"/>
        <v>0.6</v>
      </c>
      <c r="Z22" s="179" t="b">
        <f t="shared" si="2"/>
        <v>1</v>
      </c>
      <c r="AA22" s="179" t="b">
        <f t="shared" si="3"/>
        <v>1</v>
      </c>
      <c r="AB22" s="38"/>
    </row>
    <row r="23" spans="1:28" s="37" customFormat="1" ht="36" x14ac:dyDescent="0.25">
      <c r="A23" s="208">
        <v>21</v>
      </c>
      <c r="B23" s="148" t="s">
        <v>280</v>
      </c>
      <c r="C23" s="149" t="s">
        <v>151</v>
      </c>
      <c r="D23" s="150" t="s">
        <v>517</v>
      </c>
      <c r="E23" s="150">
        <v>1803</v>
      </c>
      <c r="F23" s="147" t="s">
        <v>587</v>
      </c>
      <c r="G23" s="148" t="s">
        <v>197</v>
      </c>
      <c r="H23" s="43">
        <v>2.08</v>
      </c>
      <c r="I23" s="151" t="s">
        <v>309</v>
      </c>
      <c r="J23" s="196">
        <v>5441672.1299999999</v>
      </c>
      <c r="K23" s="197">
        <v>3265003</v>
      </c>
      <c r="L23" s="198">
        <v>2176669.13</v>
      </c>
      <c r="M23" s="152">
        <v>0.6</v>
      </c>
      <c r="N23" s="197">
        <v>0</v>
      </c>
      <c r="O23" s="197">
        <v>0</v>
      </c>
      <c r="P23" s="198">
        <v>0</v>
      </c>
      <c r="Q23" s="198">
        <v>0</v>
      </c>
      <c r="R23" s="198">
        <v>3265003</v>
      </c>
      <c r="S23" s="198">
        <v>0</v>
      </c>
      <c r="T23" s="198">
        <v>0</v>
      </c>
      <c r="U23" s="198">
        <v>0</v>
      </c>
      <c r="V23" s="197">
        <v>0</v>
      </c>
      <c r="W23" s="196">
        <v>0</v>
      </c>
      <c r="X23" s="174" t="b">
        <f t="shared" si="0"/>
        <v>1</v>
      </c>
      <c r="Y23" s="178">
        <f t="shared" si="1"/>
        <v>0.6</v>
      </c>
      <c r="Z23" s="179" t="b">
        <f t="shared" si="2"/>
        <v>1</v>
      </c>
      <c r="AA23" s="179" t="b">
        <f t="shared" si="3"/>
        <v>1</v>
      </c>
      <c r="AB23" s="38"/>
    </row>
    <row r="24" spans="1:28" s="37" customFormat="1" ht="24" x14ac:dyDescent="0.25">
      <c r="A24" s="208">
        <v>22</v>
      </c>
      <c r="B24" s="148" t="s">
        <v>205</v>
      </c>
      <c r="C24" s="149" t="s">
        <v>151</v>
      </c>
      <c r="D24" s="150" t="s">
        <v>503</v>
      </c>
      <c r="E24" s="150">
        <v>1814</v>
      </c>
      <c r="F24" s="147" t="s">
        <v>588</v>
      </c>
      <c r="G24" s="148" t="s">
        <v>197</v>
      </c>
      <c r="H24" s="43">
        <v>1.7410000000000001</v>
      </c>
      <c r="I24" s="151" t="s">
        <v>318</v>
      </c>
      <c r="J24" s="196">
        <v>956432.44</v>
      </c>
      <c r="K24" s="197">
        <v>478216</v>
      </c>
      <c r="L24" s="198">
        <v>478216.43999999994</v>
      </c>
      <c r="M24" s="152">
        <v>0.5</v>
      </c>
      <c r="N24" s="197">
        <v>0</v>
      </c>
      <c r="O24" s="197">
        <v>0</v>
      </c>
      <c r="P24" s="198">
        <v>0</v>
      </c>
      <c r="Q24" s="198">
        <v>0</v>
      </c>
      <c r="R24" s="198">
        <v>478216</v>
      </c>
      <c r="S24" s="198">
        <v>0</v>
      </c>
      <c r="T24" s="198">
        <v>0</v>
      </c>
      <c r="U24" s="198">
        <v>0</v>
      </c>
      <c r="V24" s="197">
        <v>0</v>
      </c>
      <c r="W24" s="196">
        <v>0</v>
      </c>
      <c r="X24" s="174" t="b">
        <f t="shared" si="0"/>
        <v>1</v>
      </c>
      <c r="Y24" s="178">
        <f t="shared" si="1"/>
        <v>0.5</v>
      </c>
      <c r="Z24" s="179" t="b">
        <f t="shared" si="2"/>
        <v>1</v>
      </c>
      <c r="AA24" s="179" t="b">
        <f t="shared" si="3"/>
        <v>1</v>
      </c>
      <c r="AB24" s="38"/>
    </row>
    <row r="25" spans="1:28" s="37" customFormat="1" ht="24" x14ac:dyDescent="0.25">
      <c r="A25" s="208">
        <v>23</v>
      </c>
      <c r="B25" s="148" t="s">
        <v>449</v>
      </c>
      <c r="C25" s="149" t="s">
        <v>151</v>
      </c>
      <c r="D25" s="150" t="s">
        <v>602</v>
      </c>
      <c r="E25" s="150">
        <v>1813</v>
      </c>
      <c r="F25" s="147" t="s">
        <v>603</v>
      </c>
      <c r="G25" s="148" t="s">
        <v>69</v>
      </c>
      <c r="H25" s="43">
        <v>1.0740000000000001</v>
      </c>
      <c r="I25" s="151" t="s">
        <v>307</v>
      </c>
      <c r="J25" s="196">
        <v>2997590.63</v>
      </c>
      <c r="K25" s="197">
        <v>1498795</v>
      </c>
      <c r="L25" s="198">
        <v>1498795.63</v>
      </c>
      <c r="M25" s="152">
        <v>0.5</v>
      </c>
      <c r="N25" s="197">
        <v>0</v>
      </c>
      <c r="O25" s="197">
        <v>0</v>
      </c>
      <c r="P25" s="198">
        <v>0</v>
      </c>
      <c r="Q25" s="198">
        <v>0</v>
      </c>
      <c r="R25" s="198">
        <v>1498795</v>
      </c>
      <c r="S25" s="198">
        <v>0</v>
      </c>
      <c r="T25" s="198">
        <v>0</v>
      </c>
      <c r="U25" s="198">
        <v>0</v>
      </c>
      <c r="V25" s="197">
        <v>0</v>
      </c>
      <c r="W25" s="196">
        <v>0</v>
      </c>
      <c r="X25" s="174" t="b">
        <f t="shared" si="0"/>
        <v>1</v>
      </c>
      <c r="Y25" s="178">
        <f t="shared" si="1"/>
        <v>0.5</v>
      </c>
      <c r="Z25" s="179" t="b">
        <f t="shared" si="2"/>
        <v>1</v>
      </c>
      <c r="AA25" s="179" t="b">
        <f t="shared" si="3"/>
        <v>1</v>
      </c>
      <c r="AB25" s="38"/>
    </row>
    <row r="26" spans="1:28" s="37" customFormat="1" ht="36" x14ac:dyDescent="0.25">
      <c r="A26" s="208">
        <v>24</v>
      </c>
      <c r="B26" s="148" t="s">
        <v>418</v>
      </c>
      <c r="C26" s="149" t="s">
        <v>151</v>
      </c>
      <c r="D26" s="150" t="s">
        <v>577</v>
      </c>
      <c r="E26" s="150">
        <v>1805</v>
      </c>
      <c r="F26" s="147" t="s">
        <v>591</v>
      </c>
      <c r="G26" s="148" t="s">
        <v>82</v>
      </c>
      <c r="H26" s="43">
        <v>2.1779999999999999</v>
      </c>
      <c r="I26" s="151" t="s">
        <v>328</v>
      </c>
      <c r="J26" s="196">
        <v>3161134.03</v>
      </c>
      <c r="K26" s="197">
        <v>1896680</v>
      </c>
      <c r="L26" s="198">
        <v>1264454.0299999998</v>
      </c>
      <c r="M26" s="152">
        <v>0.6</v>
      </c>
      <c r="N26" s="197">
        <v>0</v>
      </c>
      <c r="O26" s="197">
        <v>0</v>
      </c>
      <c r="P26" s="198">
        <v>0</v>
      </c>
      <c r="Q26" s="198">
        <v>0</v>
      </c>
      <c r="R26" s="198">
        <v>1896680</v>
      </c>
      <c r="S26" s="198">
        <v>0</v>
      </c>
      <c r="T26" s="198">
        <v>0</v>
      </c>
      <c r="U26" s="198">
        <v>0</v>
      </c>
      <c r="V26" s="197">
        <v>0</v>
      </c>
      <c r="W26" s="196">
        <v>0</v>
      </c>
      <c r="X26" s="174" t="b">
        <f t="shared" si="0"/>
        <v>1</v>
      </c>
      <c r="Y26" s="178">
        <f t="shared" si="1"/>
        <v>0.6</v>
      </c>
      <c r="Z26" s="179" t="b">
        <f t="shared" si="2"/>
        <v>1</v>
      </c>
      <c r="AA26" s="179" t="b">
        <f t="shared" si="3"/>
        <v>1</v>
      </c>
      <c r="AB26" s="38"/>
    </row>
    <row r="27" spans="1:28" s="37" customFormat="1" ht="24" x14ac:dyDescent="0.25">
      <c r="A27" s="208">
        <v>25</v>
      </c>
      <c r="B27" s="148" t="s">
        <v>592</v>
      </c>
      <c r="C27" s="149" t="s">
        <v>151</v>
      </c>
      <c r="D27" s="150" t="s">
        <v>593</v>
      </c>
      <c r="E27" s="150">
        <v>1807</v>
      </c>
      <c r="F27" s="147" t="s">
        <v>594</v>
      </c>
      <c r="G27" s="148" t="s">
        <v>82</v>
      </c>
      <c r="H27" s="43">
        <v>0.54</v>
      </c>
      <c r="I27" s="151" t="s">
        <v>601</v>
      </c>
      <c r="J27" s="196">
        <v>438261.71</v>
      </c>
      <c r="K27" s="197">
        <v>262957</v>
      </c>
      <c r="L27" s="198">
        <v>175304.71000000002</v>
      </c>
      <c r="M27" s="152">
        <v>0.6</v>
      </c>
      <c r="N27" s="197">
        <v>0</v>
      </c>
      <c r="O27" s="197">
        <v>0</v>
      </c>
      <c r="P27" s="198">
        <v>0</v>
      </c>
      <c r="Q27" s="198">
        <v>0</v>
      </c>
      <c r="R27" s="198">
        <v>262957</v>
      </c>
      <c r="S27" s="198">
        <v>0</v>
      </c>
      <c r="T27" s="198">
        <v>0</v>
      </c>
      <c r="U27" s="198">
        <v>0</v>
      </c>
      <c r="V27" s="197">
        <v>0</v>
      </c>
      <c r="W27" s="196">
        <v>0</v>
      </c>
      <c r="X27" s="174" t="b">
        <f t="shared" si="0"/>
        <v>1</v>
      </c>
      <c r="Y27" s="178">
        <f t="shared" si="1"/>
        <v>0.6</v>
      </c>
      <c r="Z27" s="179" t="b">
        <f t="shared" si="2"/>
        <v>1</v>
      </c>
      <c r="AA27" s="179" t="b">
        <f t="shared" si="3"/>
        <v>1</v>
      </c>
      <c r="AB27" s="38"/>
    </row>
    <row r="28" spans="1:28" s="37" customFormat="1" ht="24" x14ac:dyDescent="0.25">
      <c r="A28" s="208">
        <v>26</v>
      </c>
      <c r="B28" s="148" t="s">
        <v>232</v>
      </c>
      <c r="C28" s="149" t="s">
        <v>151</v>
      </c>
      <c r="D28" s="150" t="s">
        <v>593</v>
      </c>
      <c r="E28" s="150">
        <v>1807</v>
      </c>
      <c r="F28" s="147" t="s">
        <v>595</v>
      </c>
      <c r="G28" s="148" t="s">
        <v>197</v>
      </c>
      <c r="H28" s="43">
        <v>1.77</v>
      </c>
      <c r="I28" s="151" t="s">
        <v>315</v>
      </c>
      <c r="J28" s="196">
        <v>1126985.0900000001</v>
      </c>
      <c r="K28" s="197">
        <v>676191</v>
      </c>
      <c r="L28" s="198">
        <v>450794.09000000008</v>
      </c>
      <c r="M28" s="152">
        <v>0.6</v>
      </c>
      <c r="N28" s="197">
        <v>0</v>
      </c>
      <c r="O28" s="197">
        <v>0</v>
      </c>
      <c r="P28" s="198">
        <v>0</v>
      </c>
      <c r="Q28" s="198">
        <v>0</v>
      </c>
      <c r="R28" s="198">
        <v>676191</v>
      </c>
      <c r="S28" s="198">
        <v>0</v>
      </c>
      <c r="T28" s="198">
        <v>0</v>
      </c>
      <c r="U28" s="198">
        <v>0</v>
      </c>
      <c r="V28" s="197">
        <v>0</v>
      </c>
      <c r="W28" s="196">
        <v>0</v>
      </c>
      <c r="X28" s="174" t="b">
        <f t="shared" si="0"/>
        <v>1</v>
      </c>
      <c r="Y28" s="178">
        <f t="shared" si="1"/>
        <v>0.6</v>
      </c>
      <c r="Z28" s="179" t="b">
        <f t="shared" si="2"/>
        <v>1</v>
      </c>
      <c r="AA28" s="179" t="b">
        <f t="shared" si="3"/>
        <v>1</v>
      </c>
      <c r="AB28" s="38"/>
    </row>
    <row r="29" spans="1:28" s="241" customFormat="1" ht="24" x14ac:dyDescent="0.25">
      <c r="A29" s="251" t="s">
        <v>613</v>
      </c>
      <c r="B29" s="214" t="s">
        <v>597</v>
      </c>
      <c r="C29" s="215" t="s">
        <v>151</v>
      </c>
      <c r="D29" s="216" t="s">
        <v>494</v>
      </c>
      <c r="E29" s="216">
        <v>1801</v>
      </c>
      <c r="F29" s="235" t="s">
        <v>598</v>
      </c>
      <c r="G29" s="214" t="s">
        <v>82</v>
      </c>
      <c r="H29" s="236">
        <v>1.704</v>
      </c>
      <c r="I29" s="219" t="s">
        <v>307</v>
      </c>
      <c r="J29" s="237">
        <v>2565589.44</v>
      </c>
      <c r="K29" s="238">
        <v>1153415.3899999999</v>
      </c>
      <c r="L29" s="239">
        <v>1412174.05</v>
      </c>
      <c r="M29" s="220">
        <v>0.5</v>
      </c>
      <c r="N29" s="197">
        <v>0</v>
      </c>
      <c r="O29" s="197">
        <v>0</v>
      </c>
      <c r="P29" s="198">
        <v>0</v>
      </c>
      <c r="Q29" s="198">
        <v>0</v>
      </c>
      <c r="R29" s="239">
        <v>1153415.3899999999</v>
      </c>
      <c r="S29" s="239">
        <v>0</v>
      </c>
      <c r="T29" s="239">
        <v>0</v>
      </c>
      <c r="U29" s="239">
        <v>0</v>
      </c>
      <c r="V29" s="238">
        <v>0</v>
      </c>
      <c r="W29" s="237">
        <v>0</v>
      </c>
      <c r="X29" s="174" t="b">
        <f t="shared" si="0"/>
        <v>1</v>
      </c>
      <c r="Y29" s="178">
        <f t="shared" si="1"/>
        <v>0.4496</v>
      </c>
      <c r="Z29" s="179" t="b">
        <f t="shared" si="2"/>
        <v>0</v>
      </c>
      <c r="AA29" s="179" t="b">
        <f t="shared" si="3"/>
        <v>1</v>
      </c>
      <c r="AB29" s="240"/>
    </row>
    <row r="30" spans="1:28" ht="20.100000000000001" customHeight="1" x14ac:dyDescent="0.25">
      <c r="A30" s="335" t="s">
        <v>46</v>
      </c>
      <c r="B30" s="336"/>
      <c r="C30" s="336"/>
      <c r="D30" s="336"/>
      <c r="E30" s="336"/>
      <c r="F30" s="336"/>
      <c r="G30" s="337"/>
      <c r="H30" s="277">
        <f>SUM(H3:H29)</f>
        <v>47.127209999999998</v>
      </c>
      <c r="I30" s="278" t="s">
        <v>14</v>
      </c>
      <c r="J30" s="44">
        <f>SUM(J3:J29)</f>
        <v>134346491.64000002</v>
      </c>
      <c r="K30" s="44">
        <f>SUM(K3:K29)</f>
        <v>73790712.790000007</v>
      </c>
      <c r="L30" s="44">
        <f>SUM(L3:L29)</f>
        <v>60555778.850000009</v>
      </c>
      <c r="M30" s="279" t="s">
        <v>14</v>
      </c>
      <c r="N30" s="297">
        <f t="shared" ref="N30:W30" si="8">SUM(N3:N29)</f>
        <v>0</v>
      </c>
      <c r="O30" s="297">
        <f t="shared" si="8"/>
        <v>0</v>
      </c>
      <c r="P30" s="297">
        <f t="shared" si="8"/>
        <v>0</v>
      </c>
      <c r="Q30" s="297">
        <f t="shared" si="8"/>
        <v>0</v>
      </c>
      <c r="R30" s="297">
        <f t="shared" si="8"/>
        <v>58258200.789999999</v>
      </c>
      <c r="S30" s="297">
        <f t="shared" si="8"/>
        <v>15532512</v>
      </c>
      <c r="T30" s="297">
        <f t="shared" si="8"/>
        <v>0</v>
      </c>
      <c r="U30" s="297">
        <f t="shared" si="8"/>
        <v>0</v>
      </c>
      <c r="V30" s="297">
        <f t="shared" si="8"/>
        <v>0</v>
      </c>
      <c r="W30" s="297">
        <f t="shared" si="8"/>
        <v>0</v>
      </c>
      <c r="X30" s="174" t="b">
        <f t="shared" si="0"/>
        <v>1</v>
      </c>
      <c r="Y30" s="178">
        <f t="shared" si="1"/>
        <v>0.54930000000000001</v>
      </c>
      <c r="Z30" s="179" t="s">
        <v>14</v>
      </c>
      <c r="AA30" s="179" t="b">
        <f t="shared" si="3"/>
        <v>1</v>
      </c>
      <c r="AB30" s="33"/>
    </row>
    <row r="31" spans="1:28" ht="20.100000000000001" customHeight="1" x14ac:dyDescent="0.25">
      <c r="A31" s="335" t="s">
        <v>40</v>
      </c>
      <c r="B31" s="336"/>
      <c r="C31" s="336"/>
      <c r="D31" s="336"/>
      <c r="E31" s="336"/>
      <c r="F31" s="336"/>
      <c r="G31" s="337"/>
      <c r="H31" s="277">
        <f>SUMIF($C$3:$C$29,"N",H3:H29)</f>
        <v>31.982830000000003</v>
      </c>
      <c r="I31" s="278" t="s">
        <v>14</v>
      </c>
      <c r="J31" s="44">
        <f>SUMIF($C$3:$C$29,"N",J3:J29)</f>
        <v>76522253.209999993</v>
      </c>
      <c r="K31" s="44">
        <f>SUMIF($C$3:$C$29,"N",K3:K29)</f>
        <v>43322744.789999999</v>
      </c>
      <c r="L31" s="44">
        <f>SUMIF($C$3:$C$29,"N",L3:L29)</f>
        <v>33199508.420000002</v>
      </c>
      <c r="M31" s="279" t="s">
        <v>14</v>
      </c>
      <c r="N31" s="297">
        <f t="shared" ref="N31:W31" si="9">SUMIF($C$3:$C$29,"N",N3:N29)</f>
        <v>0</v>
      </c>
      <c r="O31" s="297">
        <f t="shared" si="9"/>
        <v>0</v>
      </c>
      <c r="P31" s="297">
        <f t="shared" si="9"/>
        <v>0</v>
      </c>
      <c r="Q31" s="297">
        <f t="shared" si="9"/>
        <v>0</v>
      </c>
      <c r="R31" s="297">
        <f t="shared" si="9"/>
        <v>43322744.789999999</v>
      </c>
      <c r="S31" s="297">
        <f t="shared" si="9"/>
        <v>0</v>
      </c>
      <c r="T31" s="297">
        <f t="shared" si="9"/>
        <v>0</v>
      </c>
      <c r="U31" s="297">
        <f t="shared" si="9"/>
        <v>0</v>
      </c>
      <c r="V31" s="297">
        <f t="shared" si="9"/>
        <v>0</v>
      </c>
      <c r="W31" s="297">
        <f t="shared" si="9"/>
        <v>0</v>
      </c>
      <c r="X31" s="174" t="b">
        <f t="shared" si="0"/>
        <v>1</v>
      </c>
      <c r="Y31" s="178">
        <f t="shared" si="1"/>
        <v>0.56610000000000005</v>
      </c>
      <c r="Z31" s="179" t="s">
        <v>14</v>
      </c>
      <c r="AA31" s="179" t="b">
        <f t="shared" si="3"/>
        <v>1</v>
      </c>
      <c r="AB31" s="33"/>
    </row>
    <row r="32" spans="1:28" ht="20.100000000000001" customHeight="1" x14ac:dyDescent="0.25">
      <c r="A32" s="332" t="s">
        <v>41</v>
      </c>
      <c r="B32" s="333"/>
      <c r="C32" s="333"/>
      <c r="D32" s="333"/>
      <c r="E32" s="333"/>
      <c r="F32" s="333"/>
      <c r="G32" s="334"/>
      <c r="H32" s="280">
        <f>SUMIF($C$3:$C$29,"W",H3:H29)</f>
        <v>15.14438</v>
      </c>
      <c r="I32" s="281" t="s">
        <v>14</v>
      </c>
      <c r="J32" s="45">
        <f>SUMIF($C$3:$C$29,"W",J3:J29)</f>
        <v>57824238.43</v>
      </c>
      <c r="K32" s="45">
        <f>SUMIF($C$3:$C$29,"W",K3:K29)</f>
        <v>30467968</v>
      </c>
      <c r="L32" s="45">
        <f>SUMIF($C$3:$C$29,"W",L3:L29)</f>
        <v>27356270.43</v>
      </c>
      <c r="M32" s="282" t="s">
        <v>14</v>
      </c>
      <c r="N32" s="298">
        <f t="shared" ref="N32:W32" si="10">SUMIF($C$3:$C$29,"W",N3:N29)</f>
        <v>0</v>
      </c>
      <c r="O32" s="298">
        <f t="shared" si="10"/>
        <v>0</v>
      </c>
      <c r="P32" s="298">
        <f t="shared" si="10"/>
        <v>0</v>
      </c>
      <c r="Q32" s="298">
        <f t="shared" si="10"/>
        <v>0</v>
      </c>
      <c r="R32" s="298">
        <f t="shared" si="10"/>
        <v>14935456</v>
      </c>
      <c r="S32" s="298">
        <f t="shared" si="10"/>
        <v>15532512</v>
      </c>
      <c r="T32" s="298">
        <f t="shared" si="10"/>
        <v>0</v>
      </c>
      <c r="U32" s="298">
        <f t="shared" si="10"/>
        <v>0</v>
      </c>
      <c r="V32" s="298">
        <f t="shared" si="10"/>
        <v>0</v>
      </c>
      <c r="W32" s="298">
        <f t="shared" si="10"/>
        <v>0</v>
      </c>
      <c r="X32" s="174" t="b">
        <f t="shared" si="0"/>
        <v>1</v>
      </c>
      <c r="Y32" s="178">
        <f t="shared" si="1"/>
        <v>0.52690000000000003</v>
      </c>
      <c r="Z32" s="179" t="s">
        <v>14</v>
      </c>
      <c r="AA32" s="179" t="b">
        <f t="shared" si="3"/>
        <v>1</v>
      </c>
      <c r="AB32" s="33"/>
    </row>
    <row r="33" spans="1:19" x14ac:dyDescent="0.25">
      <c r="A33" s="35"/>
    </row>
    <row r="34" spans="1:19" ht="39" customHeight="1" x14ac:dyDescent="0.25">
      <c r="A34" s="35"/>
    </row>
    <row r="35" spans="1:19" ht="39" customHeight="1" x14ac:dyDescent="0.25">
      <c r="A35" s="31" t="s">
        <v>25</v>
      </c>
    </row>
    <row r="36" spans="1:19" x14ac:dyDescent="0.25">
      <c r="A36" s="32" t="s">
        <v>26</v>
      </c>
    </row>
    <row r="37" spans="1:19" x14ac:dyDescent="0.25">
      <c r="A37" s="213" t="s">
        <v>29</v>
      </c>
    </row>
    <row r="38" spans="1:19" x14ac:dyDescent="0.25">
      <c r="A38" s="31" t="s">
        <v>37</v>
      </c>
    </row>
    <row r="39" spans="1:19" x14ac:dyDescent="0.25">
      <c r="A39" s="299"/>
    </row>
    <row r="40" spans="1:19" hidden="1" x14ac:dyDescent="0.25">
      <c r="K40" s="34">
        <v>10451789</v>
      </c>
    </row>
    <row r="41" spans="1:19" hidden="1" x14ac:dyDescent="0.25">
      <c r="Q41" s="202"/>
    </row>
    <row r="42" spans="1:19" hidden="1" x14ac:dyDescent="0.25"/>
    <row r="43" spans="1:19" hidden="1" x14ac:dyDescent="0.25"/>
    <row r="44" spans="1:19" hidden="1" x14ac:dyDescent="0.25">
      <c r="P44" s="204">
        <v>61584438.359999999</v>
      </c>
      <c r="Q44" s="291"/>
      <c r="R44" s="291"/>
      <c r="S44" s="204"/>
    </row>
    <row r="45" spans="1:19" hidden="1" x14ac:dyDescent="0.25">
      <c r="P45" s="184"/>
      <c r="Q45" s="185"/>
      <c r="R45" s="186"/>
      <c r="S45" s="184"/>
    </row>
    <row r="46" spans="1:19" hidden="1" x14ac:dyDescent="0.25">
      <c r="P46" s="204"/>
      <c r="Q46" s="203"/>
      <c r="R46" s="291"/>
      <c r="S46" s="204"/>
    </row>
    <row r="47" spans="1:19" hidden="1" x14ac:dyDescent="0.25">
      <c r="P47" s="202"/>
    </row>
    <row r="48" spans="1:19" hidden="1" x14ac:dyDescent="0.25">
      <c r="O48" s="34" t="s">
        <v>59</v>
      </c>
      <c r="P48" s="202">
        <v>10451789</v>
      </c>
    </row>
    <row r="49" spans="15:19" hidden="1" x14ac:dyDescent="0.25">
      <c r="O49" s="34" t="s">
        <v>58</v>
      </c>
      <c r="P49" s="202">
        <v>3340605.6400000006</v>
      </c>
    </row>
    <row r="50" spans="15:19" hidden="1" x14ac:dyDescent="0.25">
      <c r="S50" s="202"/>
    </row>
    <row r="51" spans="15:19" hidden="1" x14ac:dyDescent="0.25"/>
  </sheetData>
  <autoFilter ref="A2:AB32"/>
  <mergeCells count="17">
    <mergeCell ref="J1:J2"/>
    <mergeCell ref="K1:K2"/>
    <mergeCell ref="L1:L2"/>
    <mergeCell ref="M1:M2"/>
    <mergeCell ref="N1:W1"/>
    <mergeCell ref="A32:G32"/>
    <mergeCell ref="I1:I2"/>
    <mergeCell ref="A1:A2"/>
    <mergeCell ref="B1:B2"/>
    <mergeCell ref="C1:C2"/>
    <mergeCell ref="F1:F2"/>
    <mergeCell ref="G1:G2"/>
    <mergeCell ref="H1:H2"/>
    <mergeCell ref="D1:D2"/>
    <mergeCell ref="A30:G30"/>
    <mergeCell ref="E1:E2"/>
    <mergeCell ref="A31:G31"/>
  </mergeCells>
  <conditionalFormatting sqref="AA32 X3:AB29">
    <cfRule type="cellIs" dxfId="20" priority="18" operator="equal">
      <formula>FALSE</formula>
    </cfRule>
  </conditionalFormatting>
  <conditionalFormatting sqref="AB32">
    <cfRule type="cellIs" dxfId="19" priority="23" operator="equal">
      <formula>FALSE</formula>
    </cfRule>
  </conditionalFormatting>
  <conditionalFormatting sqref="AB32">
    <cfRule type="cellIs" dxfId="18" priority="22" operator="equal">
      <formula>FALSE</formula>
    </cfRule>
  </conditionalFormatting>
  <conditionalFormatting sqref="Y32:Z32">
    <cfRule type="cellIs" dxfId="17" priority="21" operator="equal">
      <formula>FALSE</formula>
    </cfRule>
  </conditionalFormatting>
  <conditionalFormatting sqref="X32">
    <cfRule type="cellIs" dxfId="16" priority="20" operator="equal">
      <formula>FALSE</formula>
    </cfRule>
  </conditionalFormatting>
  <conditionalFormatting sqref="X32:Z32 X3:Z29">
    <cfRule type="containsText" dxfId="15" priority="19" operator="containsText" text="fałsz">
      <formula>NOT(ISERROR(SEARCH("fałsz",X3)))</formula>
    </cfRule>
  </conditionalFormatting>
  <conditionalFormatting sqref="AA32">
    <cfRule type="cellIs" dxfId="14" priority="17" operator="equal">
      <formula>FALSE</formula>
    </cfRule>
  </conditionalFormatting>
  <conditionalFormatting sqref="AB30:AB31">
    <cfRule type="cellIs" dxfId="13" priority="16" operator="equal">
      <formula>FALSE</formula>
    </cfRule>
  </conditionalFormatting>
  <conditionalFormatting sqref="AB30:AB31">
    <cfRule type="cellIs" dxfId="12" priority="15" operator="equal">
      <formula>FALSE</formula>
    </cfRule>
  </conditionalFormatting>
  <conditionalFormatting sqref="Y30:Z30">
    <cfRule type="cellIs" dxfId="11" priority="14" operator="equal">
      <formula>FALSE</formula>
    </cfRule>
  </conditionalFormatting>
  <conditionalFormatting sqref="X30">
    <cfRule type="cellIs" dxfId="10" priority="13" operator="equal">
      <formula>FALSE</formula>
    </cfRule>
  </conditionalFormatting>
  <conditionalFormatting sqref="X30:Z30">
    <cfRule type="containsText" dxfId="9" priority="12" operator="containsText" text="fałsz">
      <formula>NOT(ISERROR(SEARCH("fałsz",X30)))</formula>
    </cfRule>
  </conditionalFormatting>
  <conditionalFormatting sqref="AA30">
    <cfRule type="cellIs" dxfId="8" priority="11" operator="equal">
      <formula>FALSE</formula>
    </cfRule>
  </conditionalFormatting>
  <conditionalFormatting sqref="AA30">
    <cfRule type="cellIs" dxfId="7" priority="10" operator="equal">
      <formula>FALSE</formula>
    </cfRule>
  </conditionalFormatting>
  <conditionalFormatting sqref="Y31:Z31">
    <cfRule type="cellIs" dxfId="6" priority="9" operator="equal">
      <formula>FALSE</formula>
    </cfRule>
  </conditionalFormatting>
  <conditionalFormatting sqref="X31">
    <cfRule type="cellIs" dxfId="5" priority="8" operator="equal">
      <formula>FALSE</formula>
    </cfRule>
  </conditionalFormatting>
  <conditionalFormatting sqref="X31:Z31">
    <cfRule type="containsText" dxfId="4" priority="7" operator="containsText" text="fałsz">
      <formula>NOT(ISERROR(SEARCH("fałsz",X31)))</formula>
    </cfRule>
  </conditionalFormatting>
  <conditionalFormatting sqref="AA31">
    <cfRule type="cellIs" dxfId="3" priority="6" operator="equal">
      <formula>FALSE</formula>
    </cfRule>
  </conditionalFormatting>
  <conditionalFormatting sqref="AA31">
    <cfRule type="cellIs" dxfId="2" priority="5" operator="equal">
      <formula>FALSE</formula>
    </cfRule>
  </conditionalFormatting>
  <dataValidations count="2">
    <dataValidation type="list" allowBlank="1" showInputMessage="1" showErrorMessage="1" sqref="C3:C29">
      <formula1>"N,W"</formula1>
    </dataValidation>
    <dataValidation type="list" allowBlank="1" showInputMessage="1" showErrorMessage="1" sqref="G3:G29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Width="0" fitToHeight="0" orientation="landscape" r:id="rId1"/>
  <headerFooter>
    <oddHeader>&amp;LWojewództwo &amp;K000000 Podkarpackie&amp;K01+000 - zadania powiatowe lista rezerwowa</oddHeader>
    <oddFooter>&amp;CStrona &amp;P z &amp;N</oddFooter>
  </headerFooter>
  <ignoredErrors>
    <ignoredError sqref="N30:Q30 S30:W30" formulaRange="1"/>
    <ignoredError sqref="B7 B13 B16 B24 B27:B28" twoDigitTextYea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8"/>
  <sheetViews>
    <sheetView showGridLines="0" view="pageBreakPreview" topLeftCell="A40" zoomScale="90" zoomScaleNormal="78" zoomScaleSheetLayoutView="90" workbookViewId="0">
      <selection activeCell="G11" sqref="G11"/>
    </sheetView>
  </sheetViews>
  <sheetFormatPr defaultRowHeight="15" x14ac:dyDescent="0.25"/>
  <cols>
    <col min="1" max="1" width="6.28515625" style="37" customWidth="1"/>
    <col min="2" max="2" width="15.7109375" style="291" customWidth="1"/>
    <col min="3" max="3" width="21" style="291" customWidth="1"/>
    <col min="4" max="6" width="15.7109375" style="291" customWidth="1"/>
    <col min="7" max="7" width="47.28515625" style="34" customWidth="1"/>
    <col min="8" max="8" width="15.7109375" style="291" customWidth="1"/>
    <col min="9" max="9" width="15.7109375" style="34" customWidth="1"/>
    <col min="10" max="10" width="15.7109375" style="291" customWidth="1"/>
    <col min="11" max="11" width="15.7109375" style="34" customWidth="1"/>
    <col min="12" max="12" width="18.28515625" style="34" customWidth="1"/>
    <col min="13" max="13" width="15.7109375" style="34" customWidth="1"/>
    <col min="14" max="14" width="15.7109375" style="291" customWidth="1"/>
    <col min="15" max="24" width="15.7109375" style="34" customWidth="1"/>
    <col min="25" max="28" width="15.7109375" style="180" customWidth="1"/>
    <col min="29" max="29" width="14.85546875" style="13" customWidth="1"/>
    <col min="30" max="16384" width="9.140625" style="13"/>
  </cols>
  <sheetData>
    <row r="1" spans="1:29" x14ac:dyDescent="0.25">
      <c r="A1" s="338" t="s">
        <v>4</v>
      </c>
      <c r="B1" s="329" t="s">
        <v>5</v>
      </c>
      <c r="C1" s="330" t="s">
        <v>47</v>
      </c>
      <c r="D1" s="327" t="s">
        <v>6</v>
      </c>
      <c r="E1" s="327" t="s">
        <v>34</v>
      </c>
      <c r="F1" s="327" t="s">
        <v>15</v>
      </c>
      <c r="G1" s="329" t="s">
        <v>7</v>
      </c>
      <c r="H1" s="329" t="s">
        <v>27</v>
      </c>
      <c r="I1" s="329" t="s">
        <v>8</v>
      </c>
      <c r="J1" s="329" t="s">
        <v>28</v>
      </c>
      <c r="K1" s="329" t="s">
        <v>9</v>
      </c>
      <c r="L1" s="329" t="s">
        <v>10</v>
      </c>
      <c r="M1" s="327" t="s">
        <v>13</v>
      </c>
      <c r="N1" s="329" t="s">
        <v>11</v>
      </c>
      <c r="O1" s="329" t="s">
        <v>12</v>
      </c>
      <c r="P1" s="329"/>
      <c r="Q1" s="329"/>
      <c r="R1" s="329"/>
      <c r="S1" s="329"/>
      <c r="T1" s="329"/>
      <c r="U1" s="329"/>
      <c r="V1" s="329"/>
      <c r="W1" s="329"/>
      <c r="X1" s="329"/>
    </row>
    <row r="2" spans="1:29" ht="22.5" customHeight="1" x14ac:dyDescent="0.25">
      <c r="A2" s="338"/>
      <c r="B2" s="329"/>
      <c r="C2" s="331"/>
      <c r="D2" s="328"/>
      <c r="E2" s="328"/>
      <c r="F2" s="328"/>
      <c r="G2" s="329"/>
      <c r="H2" s="329"/>
      <c r="I2" s="329"/>
      <c r="J2" s="329"/>
      <c r="K2" s="329"/>
      <c r="L2" s="329"/>
      <c r="M2" s="328"/>
      <c r="N2" s="329"/>
      <c r="O2" s="260">
        <v>2019</v>
      </c>
      <c r="P2" s="260">
        <v>2020</v>
      </c>
      <c r="Q2" s="260">
        <v>2021</v>
      </c>
      <c r="R2" s="260">
        <v>2022</v>
      </c>
      <c r="S2" s="260">
        <v>2023</v>
      </c>
      <c r="T2" s="260">
        <v>2024</v>
      </c>
      <c r="U2" s="260">
        <v>2025</v>
      </c>
      <c r="V2" s="260">
        <v>2026</v>
      </c>
      <c r="W2" s="260">
        <v>2027</v>
      </c>
      <c r="X2" s="260">
        <v>2028</v>
      </c>
      <c r="Y2" s="174" t="s">
        <v>30</v>
      </c>
      <c r="Z2" s="174" t="s">
        <v>31</v>
      </c>
      <c r="AA2" s="174" t="s">
        <v>32</v>
      </c>
      <c r="AB2" s="177" t="s">
        <v>33</v>
      </c>
    </row>
    <row r="3" spans="1:29" s="176" customFormat="1" ht="24" x14ac:dyDescent="0.25">
      <c r="A3" s="234">
        <v>1</v>
      </c>
      <c r="B3" s="148" t="s">
        <v>331</v>
      </c>
      <c r="C3" s="149" t="s">
        <v>151</v>
      </c>
      <c r="D3" s="150" t="s">
        <v>332</v>
      </c>
      <c r="E3" s="150">
        <v>1817011</v>
      </c>
      <c r="F3" s="148" t="s">
        <v>222</v>
      </c>
      <c r="G3" s="41" t="s">
        <v>333</v>
      </c>
      <c r="H3" s="148" t="s">
        <v>69</v>
      </c>
      <c r="I3" s="42">
        <v>0.91100000000000003</v>
      </c>
      <c r="J3" s="151" t="s">
        <v>472</v>
      </c>
      <c r="K3" s="164">
        <v>9335036</v>
      </c>
      <c r="L3" s="165">
        <v>4667518</v>
      </c>
      <c r="M3" s="166">
        <v>4667518</v>
      </c>
      <c r="N3" s="152">
        <v>0.5</v>
      </c>
      <c r="O3" s="164">
        <v>0</v>
      </c>
      <c r="P3" s="164">
        <v>0</v>
      </c>
      <c r="Q3" s="165">
        <v>0</v>
      </c>
      <c r="R3" s="165">
        <v>0</v>
      </c>
      <c r="S3" s="164">
        <v>4667518</v>
      </c>
      <c r="T3" s="164">
        <v>0</v>
      </c>
      <c r="U3" s="164">
        <v>0</v>
      </c>
      <c r="V3" s="164">
        <v>0</v>
      </c>
      <c r="W3" s="165">
        <v>0</v>
      </c>
      <c r="X3" s="164">
        <v>0</v>
      </c>
      <c r="Y3" s="174" t="b">
        <f t="shared" ref="Y3" si="0">L3=SUM(O3:X3)</f>
        <v>1</v>
      </c>
      <c r="Z3" s="178">
        <f t="shared" ref="Z3" si="1">ROUND(L3/K3,4)</f>
        <v>0.5</v>
      </c>
      <c r="AA3" s="179" t="b">
        <f t="shared" ref="AA3" si="2">Z3=N3</f>
        <v>1</v>
      </c>
      <c r="AB3" s="179" t="b">
        <f t="shared" ref="AB3" si="3">K3=L3+M3</f>
        <v>1</v>
      </c>
      <c r="AC3" s="194"/>
    </row>
    <row r="4" spans="1:29" s="155" customFormat="1" ht="24" x14ac:dyDescent="0.25">
      <c r="A4" s="252">
        <v>2</v>
      </c>
      <c r="B4" s="158" t="s">
        <v>334</v>
      </c>
      <c r="C4" s="159" t="s">
        <v>147</v>
      </c>
      <c r="D4" s="160" t="s">
        <v>133</v>
      </c>
      <c r="E4" s="160">
        <v>1818011</v>
      </c>
      <c r="F4" s="158" t="s">
        <v>230</v>
      </c>
      <c r="G4" s="153" t="s">
        <v>335</v>
      </c>
      <c r="H4" s="158" t="s">
        <v>69</v>
      </c>
      <c r="I4" s="154">
        <v>0.83199999999999996</v>
      </c>
      <c r="J4" s="161" t="s">
        <v>330</v>
      </c>
      <c r="K4" s="156">
        <v>23570707.940000001</v>
      </c>
      <c r="L4" s="157">
        <v>11785352</v>
      </c>
      <c r="M4" s="163">
        <v>11785355.940000001</v>
      </c>
      <c r="N4" s="162">
        <v>0.5</v>
      </c>
      <c r="O4" s="164">
        <v>0</v>
      </c>
      <c r="P4" s="164">
        <v>0</v>
      </c>
      <c r="Q4" s="165">
        <v>0</v>
      </c>
      <c r="R4" s="165">
        <v>0</v>
      </c>
      <c r="S4" s="156">
        <v>0</v>
      </c>
      <c r="T4" s="156">
        <v>1173696</v>
      </c>
      <c r="U4" s="156">
        <v>4300133</v>
      </c>
      <c r="V4" s="156">
        <v>5250358</v>
      </c>
      <c r="W4" s="157">
        <v>1061165</v>
      </c>
      <c r="X4" s="164">
        <v>0</v>
      </c>
      <c r="Y4" s="229" t="b">
        <f t="shared" ref="Y4:Y50" si="4">L4=SUM(O4:X4)</f>
        <v>1</v>
      </c>
      <c r="Z4" s="230">
        <f t="shared" ref="Z4:Z50" si="5">ROUND(L4/K4,4)</f>
        <v>0.5</v>
      </c>
      <c r="AA4" s="231" t="b">
        <f t="shared" ref="AA4:AA50" si="6">Z4=N4</f>
        <v>1</v>
      </c>
      <c r="AB4" s="231" t="b">
        <f t="shared" ref="AB4:AB50" si="7">K4=L4+M4</f>
        <v>1</v>
      </c>
      <c r="AC4" s="192"/>
    </row>
    <row r="5" spans="1:29" s="155" customFormat="1" ht="36" x14ac:dyDescent="0.25">
      <c r="A5" s="252">
        <v>3</v>
      </c>
      <c r="B5" s="158" t="s">
        <v>336</v>
      </c>
      <c r="C5" s="159" t="s">
        <v>147</v>
      </c>
      <c r="D5" s="160" t="s">
        <v>66</v>
      </c>
      <c r="E5" s="160">
        <v>1816092</v>
      </c>
      <c r="F5" s="158" t="s">
        <v>215</v>
      </c>
      <c r="G5" s="153" t="s">
        <v>337</v>
      </c>
      <c r="H5" s="158" t="s">
        <v>69</v>
      </c>
      <c r="I5" s="154">
        <v>0.80811999999999995</v>
      </c>
      <c r="J5" s="161" t="s">
        <v>473</v>
      </c>
      <c r="K5" s="156">
        <v>9000805</v>
      </c>
      <c r="L5" s="157">
        <v>4500402</v>
      </c>
      <c r="M5" s="163">
        <v>4500403</v>
      </c>
      <c r="N5" s="162">
        <v>0.5</v>
      </c>
      <c r="O5" s="164">
        <v>0</v>
      </c>
      <c r="P5" s="164">
        <v>0</v>
      </c>
      <c r="Q5" s="165">
        <v>0</v>
      </c>
      <c r="R5" s="165">
        <v>0</v>
      </c>
      <c r="S5" s="156">
        <v>3375000</v>
      </c>
      <c r="T5" s="156">
        <v>1125402</v>
      </c>
      <c r="U5" s="156">
        <v>0</v>
      </c>
      <c r="V5" s="156">
        <v>0</v>
      </c>
      <c r="W5" s="157">
        <v>0</v>
      </c>
      <c r="X5" s="164">
        <v>0</v>
      </c>
      <c r="Y5" s="229" t="b">
        <f t="shared" si="4"/>
        <v>1</v>
      </c>
      <c r="Z5" s="230">
        <f t="shared" si="5"/>
        <v>0.5</v>
      </c>
      <c r="AA5" s="231" t="b">
        <f t="shared" si="6"/>
        <v>1</v>
      </c>
      <c r="AB5" s="231" t="b">
        <f t="shared" si="7"/>
        <v>1</v>
      </c>
      <c r="AC5" s="192"/>
    </row>
    <row r="6" spans="1:29" s="249" customFormat="1" ht="36" x14ac:dyDescent="0.25">
      <c r="A6" s="234">
        <v>4</v>
      </c>
      <c r="B6" s="158"/>
      <c r="C6" s="159" t="s">
        <v>151</v>
      </c>
      <c r="D6" s="41" t="s">
        <v>610</v>
      </c>
      <c r="E6" s="148">
        <v>1806062</v>
      </c>
      <c r="F6" s="41" t="s">
        <v>431</v>
      </c>
      <c r="G6" s="41" t="s">
        <v>611</v>
      </c>
      <c r="H6" s="158" t="s">
        <v>82</v>
      </c>
      <c r="I6" s="154"/>
      <c r="J6" s="295">
        <v>2023</v>
      </c>
      <c r="K6" s="164">
        <v>569556.64</v>
      </c>
      <c r="L6" s="164">
        <f>ROUNDDOWN(K6*N6,1)</f>
        <v>455645.3</v>
      </c>
      <c r="M6" s="166">
        <f>K6-L6</f>
        <v>113911.34000000003</v>
      </c>
      <c r="N6" s="152">
        <v>0.8</v>
      </c>
      <c r="O6" s="164">
        <v>0</v>
      </c>
      <c r="P6" s="164">
        <v>0</v>
      </c>
      <c r="Q6" s="165">
        <v>0</v>
      </c>
      <c r="R6" s="165">
        <v>0</v>
      </c>
      <c r="S6" s="156">
        <v>455645.3</v>
      </c>
      <c r="T6" s="156">
        <v>0</v>
      </c>
      <c r="U6" s="156">
        <v>0</v>
      </c>
      <c r="V6" s="156">
        <v>0</v>
      </c>
      <c r="W6" s="157">
        <v>0</v>
      </c>
      <c r="X6" s="164">
        <v>0</v>
      </c>
      <c r="Y6" s="174" t="b">
        <f t="shared" si="4"/>
        <v>1</v>
      </c>
      <c r="Z6" s="178">
        <f t="shared" si="5"/>
        <v>0.8</v>
      </c>
      <c r="AA6" s="179" t="b">
        <f t="shared" si="6"/>
        <v>1</v>
      </c>
      <c r="AB6" s="179" t="b">
        <f t="shared" si="7"/>
        <v>1</v>
      </c>
      <c r="AC6" s="248"/>
    </row>
    <row r="7" spans="1:29" s="180" customFormat="1" ht="36" x14ac:dyDescent="0.25">
      <c r="A7" s="234">
        <v>5</v>
      </c>
      <c r="B7" s="148" t="s">
        <v>338</v>
      </c>
      <c r="C7" s="149" t="s">
        <v>151</v>
      </c>
      <c r="D7" s="150" t="s">
        <v>185</v>
      </c>
      <c r="E7" s="150">
        <v>1804073</v>
      </c>
      <c r="F7" s="148" t="s">
        <v>176</v>
      </c>
      <c r="G7" s="41" t="s">
        <v>339</v>
      </c>
      <c r="H7" s="148" t="s">
        <v>69</v>
      </c>
      <c r="I7" s="42">
        <v>0.4995</v>
      </c>
      <c r="J7" s="151" t="s">
        <v>314</v>
      </c>
      <c r="K7" s="164">
        <v>2210528.52</v>
      </c>
      <c r="L7" s="165">
        <v>1326317</v>
      </c>
      <c r="M7" s="166">
        <v>884211.52</v>
      </c>
      <c r="N7" s="152">
        <v>0.6</v>
      </c>
      <c r="O7" s="164">
        <v>0</v>
      </c>
      <c r="P7" s="164">
        <v>0</v>
      </c>
      <c r="Q7" s="165">
        <v>0</v>
      </c>
      <c r="R7" s="165">
        <v>0</v>
      </c>
      <c r="S7" s="166">
        <v>1326317</v>
      </c>
      <c r="T7" s="166">
        <v>0</v>
      </c>
      <c r="U7" s="166">
        <v>0</v>
      </c>
      <c r="V7" s="166">
        <v>0</v>
      </c>
      <c r="W7" s="165">
        <v>0</v>
      </c>
      <c r="X7" s="164">
        <v>0</v>
      </c>
      <c r="Y7" s="174" t="b">
        <f t="shared" si="4"/>
        <v>1</v>
      </c>
      <c r="Z7" s="178">
        <f t="shared" si="5"/>
        <v>0.6</v>
      </c>
      <c r="AA7" s="179" t="b">
        <f t="shared" si="6"/>
        <v>1</v>
      </c>
      <c r="AB7" s="179" t="b">
        <f t="shared" si="7"/>
        <v>1</v>
      </c>
      <c r="AC7" s="194"/>
    </row>
    <row r="8" spans="1:29" s="167" customFormat="1" ht="60" x14ac:dyDescent="0.25">
      <c r="A8" s="252">
        <v>6</v>
      </c>
      <c r="B8" s="158" t="s">
        <v>340</v>
      </c>
      <c r="C8" s="159" t="s">
        <v>147</v>
      </c>
      <c r="D8" s="160" t="s">
        <v>341</v>
      </c>
      <c r="E8" s="160">
        <v>1811073</v>
      </c>
      <c r="F8" s="158" t="s">
        <v>342</v>
      </c>
      <c r="G8" s="153" t="s">
        <v>343</v>
      </c>
      <c r="H8" s="158" t="s">
        <v>69</v>
      </c>
      <c r="I8" s="154">
        <v>1.6864000000000001</v>
      </c>
      <c r="J8" s="161" t="s">
        <v>306</v>
      </c>
      <c r="K8" s="156">
        <v>7832446.2800000003</v>
      </c>
      <c r="L8" s="157">
        <v>3916222</v>
      </c>
      <c r="M8" s="163">
        <v>3916224.2800000003</v>
      </c>
      <c r="N8" s="162">
        <v>0.5</v>
      </c>
      <c r="O8" s="164">
        <v>0</v>
      </c>
      <c r="P8" s="164">
        <v>0</v>
      </c>
      <c r="Q8" s="165">
        <v>0</v>
      </c>
      <c r="R8" s="165">
        <v>0</v>
      </c>
      <c r="S8" s="163">
        <v>1199806</v>
      </c>
      <c r="T8" s="163">
        <v>2716416</v>
      </c>
      <c r="U8" s="163">
        <v>0</v>
      </c>
      <c r="V8" s="163">
        <v>0</v>
      </c>
      <c r="W8" s="157">
        <v>0</v>
      </c>
      <c r="X8" s="164">
        <v>0</v>
      </c>
      <c r="Y8" s="229" t="b">
        <f t="shared" si="4"/>
        <v>1</v>
      </c>
      <c r="Z8" s="230">
        <f t="shared" si="5"/>
        <v>0.5</v>
      </c>
      <c r="AA8" s="231" t="b">
        <f t="shared" si="6"/>
        <v>1</v>
      </c>
      <c r="AB8" s="231" t="b">
        <f t="shared" si="7"/>
        <v>1</v>
      </c>
      <c r="AC8" s="192"/>
    </row>
    <row r="9" spans="1:29" s="246" customFormat="1" ht="36" x14ac:dyDescent="0.25">
      <c r="A9" s="234">
        <v>7</v>
      </c>
      <c r="B9" s="148"/>
      <c r="C9" s="149" t="s">
        <v>151</v>
      </c>
      <c r="D9" s="150" t="s">
        <v>608</v>
      </c>
      <c r="E9" s="150">
        <v>1812012</v>
      </c>
      <c r="F9" s="150" t="s">
        <v>157</v>
      </c>
      <c r="G9" s="150" t="s">
        <v>616</v>
      </c>
      <c r="H9" s="150" t="s">
        <v>82</v>
      </c>
      <c r="I9" s="150"/>
      <c r="J9" s="295">
        <v>2023</v>
      </c>
      <c r="K9" s="164">
        <v>1123096.31</v>
      </c>
      <c r="L9" s="164">
        <f>ROUNDDOWN(K9*N9,1)</f>
        <v>561548.1</v>
      </c>
      <c r="M9" s="164">
        <f>K9-L9</f>
        <v>561548.21000000008</v>
      </c>
      <c r="N9" s="152">
        <v>0.5</v>
      </c>
      <c r="O9" s="164">
        <v>0</v>
      </c>
      <c r="P9" s="164">
        <v>0</v>
      </c>
      <c r="Q9" s="165">
        <v>0</v>
      </c>
      <c r="R9" s="165">
        <v>0</v>
      </c>
      <c r="S9" s="166">
        <v>561548.1</v>
      </c>
      <c r="T9" s="166">
        <v>0</v>
      </c>
      <c r="U9" s="166">
        <v>0</v>
      </c>
      <c r="V9" s="166">
        <v>0</v>
      </c>
      <c r="W9" s="165">
        <v>0</v>
      </c>
      <c r="X9" s="164">
        <v>0</v>
      </c>
      <c r="Y9" s="174" t="b">
        <f>L9=SUM(O9:X9)</f>
        <v>1</v>
      </c>
      <c r="Z9" s="178">
        <f>ROUND(L9/K9,4)</f>
        <v>0.5</v>
      </c>
      <c r="AA9" s="179" t="b">
        <f>Z9=N9</f>
        <v>1</v>
      </c>
      <c r="AB9" s="179" t="b">
        <f>K9=L9+M9</f>
        <v>1</v>
      </c>
      <c r="AC9" s="247"/>
    </row>
    <row r="10" spans="1:29" s="180" customFormat="1" ht="24" x14ac:dyDescent="0.25">
      <c r="A10" s="234">
        <v>8</v>
      </c>
      <c r="B10" s="148" t="s">
        <v>348</v>
      </c>
      <c r="C10" s="149" t="s">
        <v>151</v>
      </c>
      <c r="D10" s="150" t="s">
        <v>191</v>
      </c>
      <c r="E10" s="150">
        <v>1814032</v>
      </c>
      <c r="F10" s="148" t="s">
        <v>168</v>
      </c>
      <c r="G10" s="41" t="s">
        <v>349</v>
      </c>
      <c r="H10" s="148" t="s">
        <v>82</v>
      </c>
      <c r="I10" s="42">
        <v>0.30499999999999999</v>
      </c>
      <c r="J10" s="151" t="s">
        <v>316</v>
      </c>
      <c r="K10" s="164">
        <v>1585388.5</v>
      </c>
      <c r="L10" s="165">
        <v>951233</v>
      </c>
      <c r="M10" s="166">
        <v>634155.5</v>
      </c>
      <c r="N10" s="152">
        <v>0.6</v>
      </c>
      <c r="O10" s="164">
        <v>0</v>
      </c>
      <c r="P10" s="164">
        <v>0</v>
      </c>
      <c r="Q10" s="165">
        <v>0</v>
      </c>
      <c r="R10" s="165">
        <v>0</v>
      </c>
      <c r="S10" s="166">
        <v>951233</v>
      </c>
      <c r="T10" s="166">
        <v>0</v>
      </c>
      <c r="U10" s="166">
        <v>0</v>
      </c>
      <c r="V10" s="166">
        <v>0</v>
      </c>
      <c r="W10" s="165">
        <v>0</v>
      </c>
      <c r="X10" s="164">
        <v>0</v>
      </c>
      <c r="Y10" s="174" t="b">
        <f t="shared" si="4"/>
        <v>1</v>
      </c>
      <c r="Z10" s="178">
        <f t="shared" si="5"/>
        <v>0.6</v>
      </c>
      <c r="AA10" s="179" t="b">
        <f t="shared" si="6"/>
        <v>1</v>
      </c>
      <c r="AB10" s="179" t="b">
        <f t="shared" si="7"/>
        <v>1</v>
      </c>
      <c r="AC10" s="194"/>
    </row>
    <row r="11" spans="1:29" s="167" customFormat="1" ht="48" x14ac:dyDescent="0.25">
      <c r="A11" s="252">
        <v>9</v>
      </c>
      <c r="B11" s="158" t="s">
        <v>353</v>
      </c>
      <c r="C11" s="159" t="s">
        <v>147</v>
      </c>
      <c r="D11" s="160" t="s">
        <v>136</v>
      </c>
      <c r="E11" s="160">
        <v>1804011</v>
      </c>
      <c r="F11" s="158" t="s">
        <v>176</v>
      </c>
      <c r="G11" s="153" t="s">
        <v>354</v>
      </c>
      <c r="H11" s="158" t="s">
        <v>82</v>
      </c>
      <c r="I11" s="154">
        <v>0.999</v>
      </c>
      <c r="J11" s="161" t="s">
        <v>473</v>
      </c>
      <c r="K11" s="156">
        <v>6465029.6200000001</v>
      </c>
      <c r="L11" s="157">
        <v>3232514</v>
      </c>
      <c r="M11" s="163">
        <v>3232515.62</v>
      </c>
      <c r="N11" s="162">
        <v>0.5</v>
      </c>
      <c r="O11" s="164">
        <v>0</v>
      </c>
      <c r="P11" s="164">
        <v>0</v>
      </c>
      <c r="Q11" s="165">
        <v>0</v>
      </c>
      <c r="R11" s="165">
        <v>0</v>
      </c>
      <c r="S11" s="163">
        <v>776650</v>
      </c>
      <c r="T11" s="163">
        <v>2455864</v>
      </c>
      <c r="U11" s="163">
        <v>0</v>
      </c>
      <c r="V11" s="163">
        <v>0</v>
      </c>
      <c r="W11" s="157">
        <v>0</v>
      </c>
      <c r="X11" s="164">
        <v>0</v>
      </c>
      <c r="Y11" s="229" t="b">
        <f t="shared" si="4"/>
        <v>1</v>
      </c>
      <c r="Z11" s="230">
        <f t="shared" si="5"/>
        <v>0.5</v>
      </c>
      <c r="AA11" s="231" t="b">
        <f t="shared" si="6"/>
        <v>1</v>
      </c>
      <c r="AB11" s="231" t="b">
        <f t="shared" si="7"/>
        <v>1</v>
      </c>
      <c r="AC11" s="192"/>
    </row>
    <row r="12" spans="1:29" s="246" customFormat="1" ht="36" x14ac:dyDescent="0.25">
      <c r="A12" s="234">
        <v>10</v>
      </c>
      <c r="B12" s="148"/>
      <c r="C12" s="149" t="s">
        <v>151</v>
      </c>
      <c r="D12" s="150" t="s">
        <v>609</v>
      </c>
      <c r="E12" s="150">
        <v>1812012</v>
      </c>
      <c r="F12" s="148" t="s">
        <v>157</v>
      </c>
      <c r="G12" s="300" t="s">
        <v>614</v>
      </c>
      <c r="H12" s="148" t="s">
        <v>82</v>
      </c>
      <c r="I12" s="42"/>
      <c r="J12" s="295">
        <v>2023</v>
      </c>
      <c r="K12" s="164">
        <v>235206.65</v>
      </c>
      <c r="L12" s="164">
        <f>ROUNDDOWN(K12*N12,1)</f>
        <v>117603.3</v>
      </c>
      <c r="M12" s="164">
        <f>K12-L12</f>
        <v>117603.34999999999</v>
      </c>
      <c r="N12" s="152">
        <v>0.5</v>
      </c>
      <c r="O12" s="164">
        <v>0</v>
      </c>
      <c r="P12" s="164">
        <v>0</v>
      </c>
      <c r="Q12" s="165">
        <v>0</v>
      </c>
      <c r="R12" s="165">
        <v>0</v>
      </c>
      <c r="S12" s="166">
        <v>117603.3</v>
      </c>
      <c r="T12" s="166">
        <v>0</v>
      </c>
      <c r="U12" s="166">
        <v>0</v>
      </c>
      <c r="V12" s="166">
        <v>0</v>
      </c>
      <c r="W12" s="165">
        <v>0</v>
      </c>
      <c r="X12" s="164">
        <v>0</v>
      </c>
      <c r="Y12" s="174" t="b">
        <f t="shared" si="4"/>
        <v>1</v>
      </c>
      <c r="Z12" s="178">
        <f t="shared" si="5"/>
        <v>0.5</v>
      </c>
      <c r="AA12" s="179" t="b">
        <f t="shared" si="6"/>
        <v>1</v>
      </c>
      <c r="AB12" s="179" t="b">
        <f t="shared" si="7"/>
        <v>1</v>
      </c>
      <c r="AC12" s="247"/>
    </row>
    <row r="13" spans="1:29" s="180" customFormat="1" ht="24" x14ac:dyDescent="0.25">
      <c r="A13" s="234">
        <v>11</v>
      </c>
      <c r="B13" s="148" t="s">
        <v>439</v>
      </c>
      <c r="C13" s="149" t="s">
        <v>151</v>
      </c>
      <c r="D13" s="150" t="s">
        <v>164</v>
      </c>
      <c r="E13" s="150">
        <v>1812012</v>
      </c>
      <c r="F13" s="148" t="s">
        <v>157</v>
      </c>
      <c r="G13" s="41" t="s">
        <v>440</v>
      </c>
      <c r="H13" s="148" t="s">
        <v>82</v>
      </c>
      <c r="I13" s="42">
        <v>0.85650000000000004</v>
      </c>
      <c r="J13" s="151" t="s">
        <v>309</v>
      </c>
      <c r="K13" s="164">
        <v>2597505.5</v>
      </c>
      <c r="L13" s="165">
        <v>1298752</v>
      </c>
      <c r="M13" s="166">
        <v>1298753.5</v>
      </c>
      <c r="N13" s="152">
        <v>0.5</v>
      </c>
      <c r="O13" s="164">
        <v>0</v>
      </c>
      <c r="P13" s="164">
        <v>0</v>
      </c>
      <c r="Q13" s="165">
        <v>0</v>
      </c>
      <c r="R13" s="165">
        <v>0</v>
      </c>
      <c r="S13" s="166">
        <v>1298752</v>
      </c>
      <c r="T13" s="166">
        <v>0</v>
      </c>
      <c r="U13" s="166">
        <v>0</v>
      </c>
      <c r="V13" s="166">
        <v>0</v>
      </c>
      <c r="W13" s="165">
        <v>0</v>
      </c>
      <c r="X13" s="164">
        <v>0</v>
      </c>
      <c r="Y13" s="174" t="b">
        <f t="shared" si="4"/>
        <v>1</v>
      </c>
      <c r="Z13" s="178">
        <f t="shared" si="5"/>
        <v>0.5</v>
      </c>
      <c r="AA13" s="179" t="b">
        <f t="shared" si="6"/>
        <v>1</v>
      </c>
      <c r="AB13" s="179" t="b">
        <f t="shared" si="7"/>
        <v>1</v>
      </c>
      <c r="AC13" s="194"/>
    </row>
    <row r="14" spans="1:29" s="180" customFormat="1" ht="24" x14ac:dyDescent="0.25">
      <c r="A14" s="234">
        <v>12</v>
      </c>
      <c r="B14" s="148" t="s">
        <v>421</v>
      </c>
      <c r="C14" s="149" t="s">
        <v>151</v>
      </c>
      <c r="D14" s="150" t="s">
        <v>363</v>
      </c>
      <c r="E14" s="150">
        <v>1811052</v>
      </c>
      <c r="F14" s="148" t="s">
        <v>342</v>
      </c>
      <c r="G14" s="41" t="s">
        <v>422</v>
      </c>
      <c r="H14" s="148" t="s">
        <v>82</v>
      </c>
      <c r="I14" s="42">
        <v>0.52449999999999997</v>
      </c>
      <c r="J14" s="151" t="s">
        <v>323</v>
      </c>
      <c r="K14" s="164">
        <v>2214094.75</v>
      </c>
      <c r="L14" s="165">
        <v>1328456</v>
      </c>
      <c r="M14" s="166">
        <v>885638.75</v>
      </c>
      <c r="N14" s="152">
        <v>0.6</v>
      </c>
      <c r="O14" s="164">
        <v>0</v>
      </c>
      <c r="P14" s="164">
        <v>0</v>
      </c>
      <c r="Q14" s="165">
        <v>0</v>
      </c>
      <c r="R14" s="165">
        <v>0</v>
      </c>
      <c r="S14" s="166">
        <v>1328456</v>
      </c>
      <c r="T14" s="166">
        <v>0</v>
      </c>
      <c r="U14" s="166">
        <v>0</v>
      </c>
      <c r="V14" s="166">
        <v>0</v>
      </c>
      <c r="W14" s="165">
        <v>0</v>
      </c>
      <c r="X14" s="164">
        <v>0</v>
      </c>
      <c r="Y14" s="174" t="b">
        <f t="shared" si="4"/>
        <v>1</v>
      </c>
      <c r="Z14" s="178">
        <f t="shared" si="5"/>
        <v>0.6</v>
      </c>
      <c r="AA14" s="179" t="b">
        <f t="shared" si="6"/>
        <v>1</v>
      </c>
      <c r="AB14" s="179" t="b">
        <f t="shared" si="7"/>
        <v>1</v>
      </c>
      <c r="AC14" s="194"/>
    </row>
    <row r="15" spans="1:29" s="180" customFormat="1" ht="36" x14ac:dyDescent="0.25">
      <c r="A15" s="234">
        <v>13</v>
      </c>
      <c r="B15" s="148" t="s">
        <v>362</v>
      </c>
      <c r="C15" s="149" t="s">
        <v>151</v>
      </c>
      <c r="D15" s="150" t="s">
        <v>363</v>
      </c>
      <c r="E15" s="150">
        <v>1811052</v>
      </c>
      <c r="F15" s="148" t="s">
        <v>342</v>
      </c>
      <c r="G15" s="41" t="s">
        <v>364</v>
      </c>
      <c r="H15" s="148" t="s">
        <v>82</v>
      </c>
      <c r="I15" s="42">
        <v>0.26430000000000003</v>
      </c>
      <c r="J15" s="151" t="s">
        <v>323</v>
      </c>
      <c r="K15" s="164">
        <v>1095692.32</v>
      </c>
      <c r="L15" s="165">
        <v>657415</v>
      </c>
      <c r="M15" s="166">
        <v>438277.32000000007</v>
      </c>
      <c r="N15" s="152">
        <v>0.6</v>
      </c>
      <c r="O15" s="164">
        <v>0</v>
      </c>
      <c r="P15" s="164">
        <v>0</v>
      </c>
      <c r="Q15" s="165">
        <v>0</v>
      </c>
      <c r="R15" s="165">
        <v>0</v>
      </c>
      <c r="S15" s="166">
        <v>657415</v>
      </c>
      <c r="T15" s="166">
        <v>0</v>
      </c>
      <c r="U15" s="166">
        <v>0</v>
      </c>
      <c r="V15" s="166">
        <v>0</v>
      </c>
      <c r="W15" s="165">
        <v>0</v>
      </c>
      <c r="X15" s="164">
        <v>0</v>
      </c>
      <c r="Y15" s="174" t="b">
        <f t="shared" si="4"/>
        <v>1</v>
      </c>
      <c r="Z15" s="178">
        <f t="shared" si="5"/>
        <v>0.6</v>
      </c>
      <c r="AA15" s="179" t="b">
        <f t="shared" si="6"/>
        <v>1</v>
      </c>
      <c r="AB15" s="179" t="b">
        <f t="shared" si="7"/>
        <v>1</v>
      </c>
      <c r="AC15" s="194"/>
    </row>
    <row r="16" spans="1:29" s="180" customFormat="1" ht="24" x14ac:dyDescent="0.25">
      <c r="A16" s="234">
        <v>14</v>
      </c>
      <c r="B16" s="148" t="s">
        <v>365</v>
      </c>
      <c r="C16" s="149" t="s">
        <v>151</v>
      </c>
      <c r="D16" s="150" t="s">
        <v>366</v>
      </c>
      <c r="E16" s="150">
        <v>1813092</v>
      </c>
      <c r="F16" s="148" t="s">
        <v>172</v>
      </c>
      <c r="G16" s="41" t="s">
        <v>367</v>
      </c>
      <c r="H16" s="148" t="s">
        <v>82</v>
      </c>
      <c r="I16" s="42">
        <v>0.99</v>
      </c>
      <c r="J16" s="151" t="s">
        <v>477</v>
      </c>
      <c r="K16" s="164">
        <v>1168564.98</v>
      </c>
      <c r="L16" s="165">
        <v>584282</v>
      </c>
      <c r="M16" s="166">
        <v>584282.98</v>
      </c>
      <c r="N16" s="152">
        <v>0.5</v>
      </c>
      <c r="O16" s="164">
        <v>0</v>
      </c>
      <c r="P16" s="164">
        <v>0</v>
      </c>
      <c r="Q16" s="165">
        <v>0</v>
      </c>
      <c r="R16" s="165">
        <v>0</v>
      </c>
      <c r="S16" s="166">
        <v>584282</v>
      </c>
      <c r="T16" s="166">
        <v>0</v>
      </c>
      <c r="U16" s="166">
        <v>0</v>
      </c>
      <c r="V16" s="166">
        <v>0</v>
      </c>
      <c r="W16" s="165">
        <v>0</v>
      </c>
      <c r="X16" s="164">
        <v>0</v>
      </c>
      <c r="Y16" s="174" t="b">
        <f t="shared" si="4"/>
        <v>1</v>
      </c>
      <c r="Z16" s="178">
        <f t="shared" si="5"/>
        <v>0.5</v>
      </c>
      <c r="AA16" s="179" t="b">
        <f t="shared" si="6"/>
        <v>1</v>
      </c>
      <c r="AB16" s="179" t="b">
        <f t="shared" si="7"/>
        <v>1</v>
      </c>
      <c r="AC16" s="194"/>
    </row>
    <row r="17" spans="1:29" s="180" customFormat="1" ht="36" x14ac:dyDescent="0.25">
      <c r="A17" s="234">
        <v>15</v>
      </c>
      <c r="B17" s="148" t="s">
        <v>371</v>
      </c>
      <c r="C17" s="149" t="s">
        <v>151</v>
      </c>
      <c r="D17" s="150" t="s">
        <v>372</v>
      </c>
      <c r="E17" s="150">
        <v>1818062</v>
      </c>
      <c r="F17" s="148" t="s">
        <v>230</v>
      </c>
      <c r="G17" s="41" t="s">
        <v>373</v>
      </c>
      <c r="H17" s="148" t="s">
        <v>82</v>
      </c>
      <c r="I17" s="42">
        <v>0.96799999999999997</v>
      </c>
      <c r="J17" s="151" t="s">
        <v>478</v>
      </c>
      <c r="K17" s="164">
        <v>1540541.33</v>
      </c>
      <c r="L17" s="165">
        <v>770270</v>
      </c>
      <c r="M17" s="166">
        <v>770271.33000000007</v>
      </c>
      <c r="N17" s="152">
        <v>0.5</v>
      </c>
      <c r="O17" s="164">
        <v>0</v>
      </c>
      <c r="P17" s="164">
        <v>0</v>
      </c>
      <c r="Q17" s="165">
        <v>0</v>
      </c>
      <c r="R17" s="165">
        <v>0</v>
      </c>
      <c r="S17" s="166">
        <v>770270</v>
      </c>
      <c r="T17" s="166">
        <v>0</v>
      </c>
      <c r="U17" s="166">
        <v>0</v>
      </c>
      <c r="V17" s="166">
        <v>0</v>
      </c>
      <c r="W17" s="165">
        <v>0</v>
      </c>
      <c r="X17" s="164">
        <v>0</v>
      </c>
      <c r="Y17" s="174" t="b">
        <f t="shared" si="4"/>
        <v>1</v>
      </c>
      <c r="Z17" s="178">
        <f t="shared" si="5"/>
        <v>0.5</v>
      </c>
      <c r="AA17" s="179" t="b">
        <f t="shared" si="6"/>
        <v>1</v>
      </c>
      <c r="AB17" s="179" t="b">
        <f t="shared" si="7"/>
        <v>1</v>
      </c>
      <c r="AC17" s="194"/>
    </row>
    <row r="18" spans="1:29" s="265" customFormat="1" ht="24" x14ac:dyDescent="0.25">
      <c r="A18" s="234">
        <v>16</v>
      </c>
      <c r="B18" s="148" t="s">
        <v>425</v>
      </c>
      <c r="C18" s="149" t="s">
        <v>151</v>
      </c>
      <c r="D18" s="150" t="s">
        <v>246</v>
      </c>
      <c r="E18" s="150">
        <v>1864011</v>
      </c>
      <c r="F18" s="148" t="s">
        <v>247</v>
      </c>
      <c r="G18" s="41" t="s">
        <v>426</v>
      </c>
      <c r="H18" s="148" t="s">
        <v>82</v>
      </c>
      <c r="I18" s="42">
        <v>0.28399999999999997</v>
      </c>
      <c r="J18" s="151" t="s">
        <v>484</v>
      </c>
      <c r="K18" s="164">
        <v>1126950.69</v>
      </c>
      <c r="L18" s="165">
        <v>563475</v>
      </c>
      <c r="M18" s="166">
        <v>563475.68999999994</v>
      </c>
      <c r="N18" s="152">
        <v>0.5</v>
      </c>
      <c r="O18" s="164">
        <v>0</v>
      </c>
      <c r="P18" s="164">
        <v>0</v>
      </c>
      <c r="Q18" s="165">
        <v>0</v>
      </c>
      <c r="R18" s="165">
        <v>0</v>
      </c>
      <c r="S18" s="166">
        <v>563475</v>
      </c>
      <c r="T18" s="166">
        <v>0</v>
      </c>
      <c r="U18" s="166">
        <v>0</v>
      </c>
      <c r="V18" s="166">
        <v>0</v>
      </c>
      <c r="W18" s="165">
        <v>0</v>
      </c>
      <c r="X18" s="164">
        <v>0</v>
      </c>
      <c r="Y18" s="261" t="b">
        <f>L18=SUM(O18:X18)</f>
        <v>1</v>
      </c>
      <c r="Z18" s="262">
        <f>ROUND(L18/K18,4)</f>
        <v>0.5</v>
      </c>
      <c r="AA18" s="263" t="b">
        <f>Z18=N18</f>
        <v>1</v>
      </c>
      <c r="AB18" s="263" t="b">
        <f>K18=L18+M18</f>
        <v>1</v>
      </c>
      <c r="AC18" s="264"/>
    </row>
    <row r="19" spans="1:29" s="180" customFormat="1" ht="24" x14ac:dyDescent="0.25">
      <c r="A19" s="234">
        <v>17</v>
      </c>
      <c r="B19" s="148" t="s">
        <v>374</v>
      </c>
      <c r="C19" s="149" t="s">
        <v>151</v>
      </c>
      <c r="D19" s="150" t="s">
        <v>194</v>
      </c>
      <c r="E19" s="150">
        <v>1801083</v>
      </c>
      <c r="F19" s="148" t="s">
        <v>195</v>
      </c>
      <c r="G19" s="41" t="s">
        <v>375</v>
      </c>
      <c r="H19" s="148" t="s">
        <v>82</v>
      </c>
      <c r="I19" s="42">
        <v>0.96423000000000003</v>
      </c>
      <c r="J19" s="151" t="s">
        <v>476</v>
      </c>
      <c r="K19" s="164">
        <v>3674819.67</v>
      </c>
      <c r="L19" s="165">
        <v>1837409</v>
      </c>
      <c r="M19" s="166">
        <v>1837410.67</v>
      </c>
      <c r="N19" s="152">
        <v>0.5</v>
      </c>
      <c r="O19" s="164">
        <v>0</v>
      </c>
      <c r="P19" s="164">
        <v>0</v>
      </c>
      <c r="Q19" s="165">
        <v>0</v>
      </c>
      <c r="R19" s="165">
        <v>0</v>
      </c>
      <c r="S19" s="166">
        <v>1837409</v>
      </c>
      <c r="T19" s="166">
        <v>0</v>
      </c>
      <c r="U19" s="166">
        <v>0</v>
      </c>
      <c r="V19" s="166">
        <v>0</v>
      </c>
      <c r="W19" s="165">
        <v>0</v>
      </c>
      <c r="X19" s="164">
        <v>0</v>
      </c>
      <c r="Y19" s="174" t="b">
        <f t="shared" si="4"/>
        <v>1</v>
      </c>
      <c r="Z19" s="178">
        <f t="shared" si="5"/>
        <v>0.5</v>
      </c>
      <c r="AA19" s="179" t="b">
        <f t="shared" si="6"/>
        <v>1</v>
      </c>
      <c r="AB19" s="179" t="b">
        <f t="shared" si="7"/>
        <v>1</v>
      </c>
      <c r="AC19" s="194"/>
    </row>
    <row r="20" spans="1:29" s="180" customFormat="1" ht="24" x14ac:dyDescent="0.25">
      <c r="A20" s="234">
        <v>18</v>
      </c>
      <c r="B20" s="148" t="s">
        <v>376</v>
      </c>
      <c r="C20" s="149" t="s">
        <v>151</v>
      </c>
      <c r="D20" s="150" t="s">
        <v>377</v>
      </c>
      <c r="E20" s="150">
        <v>1807012</v>
      </c>
      <c r="F20" s="148" t="s">
        <v>148</v>
      </c>
      <c r="G20" s="41" t="s">
        <v>378</v>
      </c>
      <c r="H20" s="148" t="s">
        <v>82</v>
      </c>
      <c r="I20" s="42">
        <v>0.91900000000000004</v>
      </c>
      <c r="J20" s="151" t="s">
        <v>328</v>
      </c>
      <c r="K20" s="164">
        <v>965519.49</v>
      </c>
      <c r="L20" s="165">
        <v>579311</v>
      </c>
      <c r="M20" s="166">
        <v>386208.49</v>
      </c>
      <c r="N20" s="152">
        <v>0.6</v>
      </c>
      <c r="O20" s="164">
        <v>0</v>
      </c>
      <c r="P20" s="164">
        <v>0</v>
      </c>
      <c r="Q20" s="165">
        <v>0</v>
      </c>
      <c r="R20" s="165">
        <v>0</v>
      </c>
      <c r="S20" s="166">
        <v>579311</v>
      </c>
      <c r="T20" s="166">
        <v>0</v>
      </c>
      <c r="U20" s="166">
        <v>0</v>
      </c>
      <c r="V20" s="166">
        <v>0</v>
      </c>
      <c r="W20" s="165">
        <v>0</v>
      </c>
      <c r="X20" s="164">
        <v>0</v>
      </c>
      <c r="Y20" s="174" t="b">
        <f t="shared" si="4"/>
        <v>1</v>
      </c>
      <c r="Z20" s="178">
        <f t="shared" si="5"/>
        <v>0.6</v>
      </c>
      <c r="AA20" s="179" t="b">
        <f t="shared" si="6"/>
        <v>1</v>
      </c>
      <c r="AB20" s="179" t="b">
        <f t="shared" si="7"/>
        <v>1</v>
      </c>
      <c r="AC20" s="194"/>
    </row>
    <row r="21" spans="1:29" s="180" customFormat="1" ht="36" x14ac:dyDescent="0.25">
      <c r="A21" s="234">
        <v>19</v>
      </c>
      <c r="B21" s="148" t="s">
        <v>379</v>
      </c>
      <c r="C21" s="149" t="s">
        <v>151</v>
      </c>
      <c r="D21" s="150" t="s">
        <v>380</v>
      </c>
      <c r="E21" s="150">
        <v>1817052</v>
      </c>
      <c r="F21" s="148" t="s">
        <v>222</v>
      </c>
      <c r="G21" s="41" t="s">
        <v>381</v>
      </c>
      <c r="H21" s="148" t="s">
        <v>82</v>
      </c>
      <c r="I21" s="42">
        <v>0.55671999999999999</v>
      </c>
      <c r="J21" s="151" t="s">
        <v>472</v>
      </c>
      <c r="K21" s="164">
        <v>1910289.56</v>
      </c>
      <c r="L21" s="165">
        <v>955144</v>
      </c>
      <c r="M21" s="166">
        <v>955145.56</v>
      </c>
      <c r="N21" s="152">
        <v>0.5</v>
      </c>
      <c r="O21" s="164">
        <v>0</v>
      </c>
      <c r="P21" s="164">
        <v>0</v>
      </c>
      <c r="Q21" s="165">
        <v>0</v>
      </c>
      <c r="R21" s="165">
        <v>0</v>
      </c>
      <c r="S21" s="166">
        <v>955144</v>
      </c>
      <c r="T21" s="166">
        <v>0</v>
      </c>
      <c r="U21" s="166">
        <v>0</v>
      </c>
      <c r="V21" s="166">
        <v>0</v>
      </c>
      <c r="W21" s="165">
        <v>0</v>
      </c>
      <c r="X21" s="164">
        <v>0</v>
      </c>
      <c r="Y21" s="174" t="b">
        <f t="shared" si="4"/>
        <v>1</v>
      </c>
      <c r="Z21" s="178">
        <f t="shared" si="5"/>
        <v>0.5</v>
      </c>
      <c r="AA21" s="179" t="b">
        <f t="shared" si="6"/>
        <v>1</v>
      </c>
      <c r="AB21" s="179" t="b">
        <f t="shared" si="7"/>
        <v>1</v>
      </c>
      <c r="AC21" s="194"/>
    </row>
    <row r="22" spans="1:29" s="180" customFormat="1" ht="24" x14ac:dyDescent="0.25">
      <c r="A22" s="234">
        <v>20</v>
      </c>
      <c r="B22" s="148" t="s">
        <v>382</v>
      </c>
      <c r="C22" s="149" t="s">
        <v>151</v>
      </c>
      <c r="D22" s="150" t="s">
        <v>383</v>
      </c>
      <c r="E22" s="150">
        <v>1821052</v>
      </c>
      <c r="F22" s="148" t="s">
        <v>153</v>
      </c>
      <c r="G22" s="41" t="s">
        <v>384</v>
      </c>
      <c r="H22" s="148" t="s">
        <v>82</v>
      </c>
      <c r="I22" s="42">
        <v>0.35819999999999996</v>
      </c>
      <c r="J22" s="151" t="s">
        <v>479</v>
      </c>
      <c r="K22" s="164">
        <v>725821.33</v>
      </c>
      <c r="L22" s="165">
        <v>362910</v>
      </c>
      <c r="M22" s="166">
        <v>362911.32999999996</v>
      </c>
      <c r="N22" s="152">
        <v>0.5</v>
      </c>
      <c r="O22" s="164">
        <v>0</v>
      </c>
      <c r="P22" s="164">
        <v>0</v>
      </c>
      <c r="Q22" s="165">
        <v>0</v>
      </c>
      <c r="R22" s="165">
        <v>0</v>
      </c>
      <c r="S22" s="166">
        <v>362910</v>
      </c>
      <c r="T22" s="166">
        <v>0</v>
      </c>
      <c r="U22" s="166">
        <v>0</v>
      </c>
      <c r="V22" s="166">
        <v>0</v>
      </c>
      <c r="W22" s="165">
        <v>0</v>
      </c>
      <c r="X22" s="164">
        <v>0</v>
      </c>
      <c r="Y22" s="174" t="b">
        <f t="shared" si="4"/>
        <v>1</v>
      </c>
      <c r="Z22" s="178">
        <f t="shared" si="5"/>
        <v>0.5</v>
      </c>
      <c r="AA22" s="179" t="b">
        <f t="shared" si="6"/>
        <v>1</v>
      </c>
      <c r="AB22" s="179" t="b">
        <f t="shared" si="7"/>
        <v>1</v>
      </c>
      <c r="AC22" s="194"/>
    </row>
    <row r="23" spans="1:29" s="180" customFormat="1" ht="36" x14ac:dyDescent="0.25">
      <c r="A23" s="234">
        <v>21</v>
      </c>
      <c r="B23" s="148" t="s">
        <v>385</v>
      </c>
      <c r="C23" s="149" t="s">
        <v>151</v>
      </c>
      <c r="D23" s="150" t="s">
        <v>386</v>
      </c>
      <c r="E23" s="150">
        <v>1805112</v>
      </c>
      <c r="F23" s="148" t="s">
        <v>211</v>
      </c>
      <c r="G23" s="41" t="s">
        <v>387</v>
      </c>
      <c r="H23" s="148" t="s">
        <v>82</v>
      </c>
      <c r="I23" s="42">
        <v>0.28220000000000001</v>
      </c>
      <c r="J23" s="151" t="s">
        <v>480</v>
      </c>
      <c r="K23" s="164">
        <v>880222.33</v>
      </c>
      <c r="L23" s="165">
        <v>528133</v>
      </c>
      <c r="M23" s="166">
        <v>352089.32999999996</v>
      </c>
      <c r="N23" s="152">
        <v>0.6</v>
      </c>
      <c r="O23" s="164">
        <v>0</v>
      </c>
      <c r="P23" s="164">
        <v>0</v>
      </c>
      <c r="Q23" s="165">
        <v>0</v>
      </c>
      <c r="R23" s="165">
        <v>0</v>
      </c>
      <c r="S23" s="166">
        <v>528133</v>
      </c>
      <c r="T23" s="166">
        <v>0</v>
      </c>
      <c r="U23" s="166">
        <v>0</v>
      </c>
      <c r="V23" s="166">
        <v>0</v>
      </c>
      <c r="W23" s="165">
        <v>0</v>
      </c>
      <c r="X23" s="164">
        <v>0</v>
      </c>
      <c r="Y23" s="174" t="b">
        <f t="shared" si="4"/>
        <v>1</v>
      </c>
      <c r="Z23" s="178">
        <f t="shared" si="5"/>
        <v>0.6</v>
      </c>
      <c r="AA23" s="179" t="b">
        <f t="shared" si="6"/>
        <v>1</v>
      </c>
      <c r="AB23" s="179" t="b">
        <f t="shared" si="7"/>
        <v>1</v>
      </c>
      <c r="AC23" s="194"/>
    </row>
    <row r="24" spans="1:29" s="180" customFormat="1" ht="24" x14ac:dyDescent="0.25">
      <c r="A24" s="234">
        <v>22</v>
      </c>
      <c r="B24" s="148" t="s">
        <v>388</v>
      </c>
      <c r="C24" s="149" t="s">
        <v>151</v>
      </c>
      <c r="D24" s="150" t="s">
        <v>389</v>
      </c>
      <c r="E24" s="150">
        <v>1805032</v>
      </c>
      <c r="F24" s="148" t="s">
        <v>211</v>
      </c>
      <c r="G24" s="41" t="s">
        <v>390</v>
      </c>
      <c r="H24" s="148" t="s">
        <v>82</v>
      </c>
      <c r="I24" s="42">
        <v>0.26900000000000002</v>
      </c>
      <c r="J24" s="151" t="s">
        <v>307</v>
      </c>
      <c r="K24" s="164">
        <v>286180.90999999997</v>
      </c>
      <c r="L24" s="165">
        <v>171708</v>
      </c>
      <c r="M24" s="166">
        <v>114472.90999999997</v>
      </c>
      <c r="N24" s="152">
        <v>0.6</v>
      </c>
      <c r="O24" s="164">
        <v>0</v>
      </c>
      <c r="P24" s="164">
        <v>0</v>
      </c>
      <c r="Q24" s="165">
        <v>0</v>
      </c>
      <c r="R24" s="165">
        <v>0</v>
      </c>
      <c r="S24" s="166">
        <v>171708</v>
      </c>
      <c r="T24" s="166">
        <v>0</v>
      </c>
      <c r="U24" s="166">
        <v>0</v>
      </c>
      <c r="V24" s="166">
        <v>0</v>
      </c>
      <c r="W24" s="165">
        <v>0</v>
      </c>
      <c r="X24" s="164">
        <v>0</v>
      </c>
      <c r="Y24" s="174" t="b">
        <f t="shared" si="4"/>
        <v>1</v>
      </c>
      <c r="Z24" s="178">
        <f t="shared" si="5"/>
        <v>0.6</v>
      </c>
      <c r="AA24" s="179" t="b">
        <f t="shared" si="6"/>
        <v>1</v>
      </c>
      <c r="AB24" s="179" t="b">
        <f t="shared" si="7"/>
        <v>1</v>
      </c>
      <c r="AC24" s="194"/>
    </row>
    <row r="25" spans="1:29" s="180" customFormat="1" ht="24" x14ac:dyDescent="0.25">
      <c r="A25" s="234">
        <v>23</v>
      </c>
      <c r="B25" s="148" t="s">
        <v>391</v>
      </c>
      <c r="C25" s="149" t="s">
        <v>151</v>
      </c>
      <c r="D25" s="150" t="s">
        <v>139</v>
      </c>
      <c r="E25" s="150">
        <v>1809042</v>
      </c>
      <c r="F25" s="148" t="s">
        <v>188</v>
      </c>
      <c r="G25" s="41" t="s">
        <v>392</v>
      </c>
      <c r="H25" s="148" t="s">
        <v>82</v>
      </c>
      <c r="I25" s="42">
        <v>0.2</v>
      </c>
      <c r="J25" s="151" t="s">
        <v>478</v>
      </c>
      <c r="K25" s="164">
        <v>658000</v>
      </c>
      <c r="L25" s="165">
        <v>329000</v>
      </c>
      <c r="M25" s="166">
        <v>329000</v>
      </c>
      <c r="N25" s="152">
        <v>0.5</v>
      </c>
      <c r="O25" s="164">
        <v>0</v>
      </c>
      <c r="P25" s="164">
        <v>0</v>
      </c>
      <c r="Q25" s="165">
        <v>0</v>
      </c>
      <c r="R25" s="165">
        <v>0</v>
      </c>
      <c r="S25" s="166">
        <v>329000</v>
      </c>
      <c r="T25" s="166">
        <v>0</v>
      </c>
      <c r="U25" s="166">
        <v>0</v>
      </c>
      <c r="V25" s="166">
        <v>0</v>
      </c>
      <c r="W25" s="165">
        <v>0</v>
      </c>
      <c r="X25" s="164">
        <v>0</v>
      </c>
      <c r="Y25" s="174" t="b">
        <f t="shared" si="4"/>
        <v>1</v>
      </c>
      <c r="Z25" s="178">
        <f t="shared" si="5"/>
        <v>0.5</v>
      </c>
      <c r="AA25" s="179" t="b">
        <f t="shared" si="6"/>
        <v>1</v>
      </c>
      <c r="AB25" s="179" t="b">
        <f t="shared" si="7"/>
        <v>1</v>
      </c>
      <c r="AC25" s="194"/>
    </row>
    <row r="26" spans="1:29" s="180" customFormat="1" ht="24" x14ac:dyDescent="0.25">
      <c r="A26" s="234">
        <v>24</v>
      </c>
      <c r="B26" s="148" t="s">
        <v>393</v>
      </c>
      <c r="C26" s="149" t="s">
        <v>151</v>
      </c>
      <c r="D26" s="150" t="s">
        <v>394</v>
      </c>
      <c r="E26" s="150">
        <v>1814062</v>
      </c>
      <c r="F26" s="148" t="s">
        <v>168</v>
      </c>
      <c r="G26" s="41" t="s">
        <v>395</v>
      </c>
      <c r="H26" s="148" t="s">
        <v>197</v>
      </c>
      <c r="I26" s="42">
        <v>2.5</v>
      </c>
      <c r="J26" s="151" t="s">
        <v>318</v>
      </c>
      <c r="K26" s="164">
        <v>1771809.99</v>
      </c>
      <c r="L26" s="165">
        <v>1063085</v>
      </c>
      <c r="M26" s="166">
        <v>708724.99</v>
      </c>
      <c r="N26" s="152">
        <v>0.6</v>
      </c>
      <c r="O26" s="164">
        <v>0</v>
      </c>
      <c r="P26" s="164">
        <v>0</v>
      </c>
      <c r="Q26" s="165">
        <v>0</v>
      </c>
      <c r="R26" s="165">
        <v>0</v>
      </c>
      <c r="S26" s="166">
        <v>1063085</v>
      </c>
      <c r="T26" s="166">
        <v>0</v>
      </c>
      <c r="U26" s="166">
        <v>0</v>
      </c>
      <c r="V26" s="166">
        <v>0</v>
      </c>
      <c r="W26" s="165">
        <v>0</v>
      </c>
      <c r="X26" s="164">
        <v>0</v>
      </c>
      <c r="Y26" s="174" t="b">
        <f t="shared" si="4"/>
        <v>1</v>
      </c>
      <c r="Z26" s="178">
        <f t="shared" si="5"/>
        <v>0.6</v>
      </c>
      <c r="AA26" s="179" t="b">
        <f t="shared" si="6"/>
        <v>1</v>
      </c>
      <c r="AB26" s="179" t="b">
        <f t="shared" si="7"/>
        <v>1</v>
      </c>
      <c r="AC26" s="194"/>
    </row>
    <row r="27" spans="1:29" s="180" customFormat="1" ht="24" x14ac:dyDescent="0.25">
      <c r="A27" s="234">
        <v>25</v>
      </c>
      <c r="B27" s="148" t="s">
        <v>396</v>
      </c>
      <c r="C27" s="149" t="s">
        <v>151</v>
      </c>
      <c r="D27" s="150" t="s">
        <v>397</v>
      </c>
      <c r="E27" s="150">
        <v>1816102</v>
      </c>
      <c r="F27" s="148" t="s">
        <v>215</v>
      </c>
      <c r="G27" s="41" t="s">
        <v>398</v>
      </c>
      <c r="H27" s="148" t="s">
        <v>197</v>
      </c>
      <c r="I27" s="42">
        <v>1.8169999999999999</v>
      </c>
      <c r="J27" s="151" t="s">
        <v>328</v>
      </c>
      <c r="K27" s="164">
        <v>2386692.4700000002</v>
      </c>
      <c r="L27" s="165">
        <v>1432015</v>
      </c>
      <c r="M27" s="166">
        <v>954677.4700000002</v>
      </c>
      <c r="N27" s="152">
        <v>0.6</v>
      </c>
      <c r="O27" s="164">
        <v>0</v>
      </c>
      <c r="P27" s="164">
        <v>0</v>
      </c>
      <c r="Q27" s="165">
        <v>0</v>
      </c>
      <c r="R27" s="165">
        <v>0</v>
      </c>
      <c r="S27" s="166">
        <v>1432015</v>
      </c>
      <c r="T27" s="166">
        <v>0</v>
      </c>
      <c r="U27" s="166">
        <v>0</v>
      </c>
      <c r="V27" s="166">
        <v>0</v>
      </c>
      <c r="W27" s="165">
        <v>0</v>
      </c>
      <c r="X27" s="164">
        <v>0</v>
      </c>
      <c r="Y27" s="174" t="b">
        <f t="shared" si="4"/>
        <v>1</v>
      </c>
      <c r="Z27" s="178">
        <f t="shared" si="5"/>
        <v>0.6</v>
      </c>
      <c r="AA27" s="179" t="b">
        <f t="shared" si="6"/>
        <v>1</v>
      </c>
      <c r="AB27" s="179" t="b">
        <f t="shared" si="7"/>
        <v>1</v>
      </c>
      <c r="AC27" s="194"/>
    </row>
    <row r="28" spans="1:29" s="167" customFormat="1" ht="24" x14ac:dyDescent="0.25">
      <c r="A28" s="252">
        <v>26</v>
      </c>
      <c r="B28" s="158" t="s">
        <v>402</v>
      </c>
      <c r="C28" s="159" t="s">
        <v>151</v>
      </c>
      <c r="D28" s="160" t="s">
        <v>383</v>
      </c>
      <c r="E28" s="160">
        <v>1821052</v>
      </c>
      <c r="F28" s="158" t="s">
        <v>153</v>
      </c>
      <c r="G28" s="153" t="s">
        <v>403</v>
      </c>
      <c r="H28" s="158" t="s">
        <v>197</v>
      </c>
      <c r="I28" s="154">
        <v>0.53583999999999998</v>
      </c>
      <c r="J28" s="161" t="s">
        <v>479</v>
      </c>
      <c r="K28" s="156">
        <v>863773.76</v>
      </c>
      <c r="L28" s="157">
        <v>431886</v>
      </c>
      <c r="M28" s="163">
        <v>431887.76</v>
      </c>
      <c r="N28" s="162">
        <v>0.5</v>
      </c>
      <c r="O28" s="164">
        <v>0</v>
      </c>
      <c r="P28" s="164">
        <v>0</v>
      </c>
      <c r="Q28" s="165">
        <v>0</v>
      </c>
      <c r="R28" s="165">
        <v>0</v>
      </c>
      <c r="S28" s="163">
        <v>431886</v>
      </c>
      <c r="T28" s="163">
        <v>0</v>
      </c>
      <c r="U28" s="163">
        <v>0</v>
      </c>
      <c r="V28" s="163">
        <v>0</v>
      </c>
      <c r="W28" s="157">
        <v>0</v>
      </c>
      <c r="X28" s="164">
        <v>0</v>
      </c>
      <c r="Y28" s="229" t="b">
        <f t="shared" si="4"/>
        <v>1</v>
      </c>
      <c r="Z28" s="230">
        <f t="shared" si="5"/>
        <v>0.5</v>
      </c>
      <c r="AA28" s="231" t="b">
        <f t="shared" si="6"/>
        <v>1</v>
      </c>
      <c r="AB28" s="231" t="b">
        <f t="shared" si="7"/>
        <v>1</v>
      </c>
      <c r="AC28" s="192"/>
    </row>
    <row r="29" spans="1:29" s="180" customFormat="1" ht="24" x14ac:dyDescent="0.25">
      <c r="A29" s="234">
        <v>27</v>
      </c>
      <c r="B29" s="148" t="s">
        <v>404</v>
      </c>
      <c r="C29" s="149" t="s">
        <v>147</v>
      </c>
      <c r="D29" s="150" t="s">
        <v>243</v>
      </c>
      <c r="E29" s="150">
        <v>1803072</v>
      </c>
      <c r="F29" s="148" t="s">
        <v>207</v>
      </c>
      <c r="G29" s="41" t="s">
        <v>405</v>
      </c>
      <c r="H29" s="148" t="s">
        <v>69</v>
      </c>
      <c r="I29" s="42">
        <v>0.55659999999999998</v>
      </c>
      <c r="J29" s="151" t="s">
        <v>482</v>
      </c>
      <c r="K29" s="164">
        <v>4950233</v>
      </c>
      <c r="L29" s="165">
        <v>2970138</v>
      </c>
      <c r="M29" s="166">
        <v>1980095</v>
      </c>
      <c r="N29" s="152">
        <v>0.6</v>
      </c>
      <c r="O29" s="164">
        <v>0</v>
      </c>
      <c r="P29" s="164">
        <v>0</v>
      </c>
      <c r="Q29" s="165">
        <v>0</v>
      </c>
      <c r="R29" s="165">
        <v>0</v>
      </c>
      <c r="S29" s="166">
        <v>1485069</v>
      </c>
      <c r="T29" s="166">
        <v>1485069</v>
      </c>
      <c r="U29" s="166">
        <v>0</v>
      </c>
      <c r="V29" s="166">
        <v>0</v>
      </c>
      <c r="W29" s="165">
        <v>0</v>
      </c>
      <c r="X29" s="164">
        <v>0</v>
      </c>
      <c r="Y29" s="174" t="b">
        <f t="shared" si="4"/>
        <v>1</v>
      </c>
      <c r="Z29" s="178">
        <f t="shared" si="5"/>
        <v>0.6</v>
      </c>
      <c r="AA29" s="179" t="b">
        <f t="shared" si="6"/>
        <v>1</v>
      </c>
      <c r="AB29" s="179" t="b">
        <f t="shared" si="7"/>
        <v>1</v>
      </c>
      <c r="AC29" s="194"/>
    </row>
    <row r="30" spans="1:29" s="180" customFormat="1" ht="36" x14ac:dyDescent="0.25">
      <c r="A30" s="234">
        <v>28</v>
      </c>
      <c r="B30" s="148" t="s">
        <v>406</v>
      </c>
      <c r="C30" s="149" t="s">
        <v>151</v>
      </c>
      <c r="D30" s="150" t="s">
        <v>281</v>
      </c>
      <c r="E30" s="150">
        <v>1815012</v>
      </c>
      <c r="F30" s="148" t="s">
        <v>282</v>
      </c>
      <c r="G30" s="41" t="s">
        <v>407</v>
      </c>
      <c r="H30" s="148" t="s">
        <v>69</v>
      </c>
      <c r="I30" s="42">
        <v>0.73</v>
      </c>
      <c r="J30" s="151" t="s">
        <v>323</v>
      </c>
      <c r="K30" s="164">
        <v>2888883.65</v>
      </c>
      <c r="L30" s="165">
        <v>1733330</v>
      </c>
      <c r="M30" s="166">
        <v>1155553.6499999999</v>
      </c>
      <c r="N30" s="152">
        <v>0.6</v>
      </c>
      <c r="O30" s="164">
        <v>0</v>
      </c>
      <c r="P30" s="164">
        <v>0</v>
      </c>
      <c r="Q30" s="165">
        <v>0</v>
      </c>
      <c r="R30" s="165">
        <v>0</v>
      </c>
      <c r="S30" s="166">
        <v>1733330</v>
      </c>
      <c r="T30" s="166">
        <v>0</v>
      </c>
      <c r="U30" s="166">
        <v>0</v>
      </c>
      <c r="V30" s="166">
        <v>0</v>
      </c>
      <c r="W30" s="165">
        <v>0</v>
      </c>
      <c r="X30" s="164">
        <v>0</v>
      </c>
      <c r="Y30" s="174" t="b">
        <f t="shared" si="4"/>
        <v>1</v>
      </c>
      <c r="Z30" s="178">
        <f t="shared" si="5"/>
        <v>0.6</v>
      </c>
      <c r="AA30" s="179" t="b">
        <f t="shared" si="6"/>
        <v>1</v>
      </c>
      <c r="AB30" s="179" t="b">
        <f t="shared" si="7"/>
        <v>1</v>
      </c>
      <c r="AC30" s="194"/>
    </row>
    <row r="31" spans="1:29" s="180" customFormat="1" ht="36" x14ac:dyDescent="0.25">
      <c r="A31" s="234">
        <v>29</v>
      </c>
      <c r="B31" s="148" t="s">
        <v>408</v>
      </c>
      <c r="C31" s="149" t="s">
        <v>151</v>
      </c>
      <c r="D31" s="150" t="s">
        <v>409</v>
      </c>
      <c r="E31" s="150">
        <v>1805072</v>
      </c>
      <c r="F31" s="148" t="s">
        <v>211</v>
      </c>
      <c r="G31" s="41" t="s">
        <v>410</v>
      </c>
      <c r="H31" s="148" t="s">
        <v>69</v>
      </c>
      <c r="I31" s="42">
        <v>0.22256000000000001</v>
      </c>
      <c r="J31" s="151" t="s">
        <v>483</v>
      </c>
      <c r="K31" s="164">
        <v>889468.38</v>
      </c>
      <c r="L31" s="165">
        <v>444734</v>
      </c>
      <c r="M31" s="166">
        <v>444734.38</v>
      </c>
      <c r="N31" s="152">
        <v>0.5</v>
      </c>
      <c r="O31" s="164">
        <v>0</v>
      </c>
      <c r="P31" s="164">
        <v>0</v>
      </c>
      <c r="Q31" s="165">
        <v>0</v>
      </c>
      <c r="R31" s="165">
        <v>0</v>
      </c>
      <c r="S31" s="166">
        <v>444734</v>
      </c>
      <c r="T31" s="166">
        <v>0</v>
      </c>
      <c r="U31" s="166">
        <v>0</v>
      </c>
      <c r="V31" s="166">
        <v>0</v>
      </c>
      <c r="W31" s="165">
        <v>0</v>
      </c>
      <c r="X31" s="164">
        <v>0</v>
      </c>
      <c r="Y31" s="174" t="b">
        <f t="shared" si="4"/>
        <v>1</v>
      </c>
      <c r="Z31" s="178">
        <f t="shared" si="5"/>
        <v>0.5</v>
      </c>
      <c r="AA31" s="179" t="b">
        <f t="shared" si="6"/>
        <v>1</v>
      </c>
      <c r="AB31" s="179" t="b">
        <f t="shared" si="7"/>
        <v>1</v>
      </c>
      <c r="AC31" s="194"/>
    </row>
    <row r="32" spans="1:29" s="180" customFormat="1" ht="36" x14ac:dyDescent="0.25">
      <c r="A32" s="234">
        <v>30</v>
      </c>
      <c r="B32" s="148" t="s">
        <v>411</v>
      </c>
      <c r="C32" s="149" t="s">
        <v>151</v>
      </c>
      <c r="D32" s="150" t="s">
        <v>412</v>
      </c>
      <c r="E32" s="150">
        <v>1802013</v>
      </c>
      <c r="F32" s="148" t="s">
        <v>258</v>
      </c>
      <c r="G32" s="41" t="s">
        <v>413</v>
      </c>
      <c r="H32" s="148" t="s">
        <v>82</v>
      </c>
      <c r="I32" s="42">
        <v>0.25800000000000001</v>
      </c>
      <c r="J32" s="151" t="s">
        <v>474</v>
      </c>
      <c r="K32" s="164">
        <v>1575333.14</v>
      </c>
      <c r="L32" s="165">
        <v>945199</v>
      </c>
      <c r="M32" s="166">
        <v>630134.1399999999</v>
      </c>
      <c r="N32" s="152">
        <v>0.6</v>
      </c>
      <c r="O32" s="164">
        <v>0</v>
      </c>
      <c r="P32" s="164">
        <v>0</v>
      </c>
      <c r="Q32" s="165">
        <v>0</v>
      </c>
      <c r="R32" s="165">
        <v>0</v>
      </c>
      <c r="S32" s="166">
        <v>945199</v>
      </c>
      <c r="T32" s="166">
        <v>0</v>
      </c>
      <c r="U32" s="166">
        <v>0</v>
      </c>
      <c r="V32" s="166">
        <v>0</v>
      </c>
      <c r="W32" s="165">
        <v>0</v>
      </c>
      <c r="X32" s="164">
        <v>0</v>
      </c>
      <c r="Y32" s="174" t="b">
        <f t="shared" si="4"/>
        <v>1</v>
      </c>
      <c r="Z32" s="178">
        <f t="shared" si="5"/>
        <v>0.6</v>
      </c>
      <c r="AA32" s="179" t="b">
        <f t="shared" si="6"/>
        <v>1</v>
      </c>
      <c r="AB32" s="179" t="b">
        <f t="shared" si="7"/>
        <v>1</v>
      </c>
      <c r="AC32" s="194"/>
    </row>
    <row r="33" spans="1:29" s="180" customFormat="1" ht="36" x14ac:dyDescent="0.25">
      <c r="A33" s="234">
        <v>31</v>
      </c>
      <c r="B33" s="148" t="s">
        <v>414</v>
      </c>
      <c r="C33" s="149" t="s">
        <v>151</v>
      </c>
      <c r="D33" s="150" t="s">
        <v>90</v>
      </c>
      <c r="E33" s="150">
        <v>1815043</v>
      </c>
      <c r="F33" s="148" t="s">
        <v>282</v>
      </c>
      <c r="G33" s="41" t="s">
        <v>415</v>
      </c>
      <c r="H33" s="148" t="s">
        <v>82</v>
      </c>
      <c r="I33" s="42">
        <v>0.91900000000000004</v>
      </c>
      <c r="J33" s="151" t="s">
        <v>476</v>
      </c>
      <c r="K33" s="164">
        <v>3808610.57</v>
      </c>
      <c r="L33" s="165">
        <v>2285166</v>
      </c>
      <c r="M33" s="166">
        <v>1523444.5699999998</v>
      </c>
      <c r="N33" s="152">
        <v>0.6</v>
      </c>
      <c r="O33" s="164">
        <v>0</v>
      </c>
      <c r="P33" s="164">
        <v>0</v>
      </c>
      <c r="Q33" s="165">
        <v>0</v>
      </c>
      <c r="R33" s="165">
        <v>0</v>
      </c>
      <c r="S33" s="166">
        <v>2285166</v>
      </c>
      <c r="T33" s="166">
        <v>0</v>
      </c>
      <c r="U33" s="166">
        <v>0</v>
      </c>
      <c r="V33" s="166">
        <v>0</v>
      </c>
      <c r="W33" s="165">
        <v>0</v>
      </c>
      <c r="X33" s="164">
        <v>0</v>
      </c>
      <c r="Y33" s="174" t="b">
        <f t="shared" si="4"/>
        <v>1</v>
      </c>
      <c r="Z33" s="178">
        <f t="shared" si="5"/>
        <v>0.6</v>
      </c>
      <c r="AA33" s="179" t="b">
        <f t="shared" si="6"/>
        <v>1</v>
      </c>
      <c r="AB33" s="179" t="b">
        <f t="shared" si="7"/>
        <v>1</v>
      </c>
      <c r="AC33" s="194"/>
    </row>
    <row r="34" spans="1:29" s="180" customFormat="1" ht="24" x14ac:dyDescent="0.25">
      <c r="A34" s="234">
        <v>32</v>
      </c>
      <c r="B34" s="148" t="s">
        <v>416</v>
      </c>
      <c r="C34" s="149" t="s">
        <v>151</v>
      </c>
      <c r="D34" s="150" t="s">
        <v>332</v>
      </c>
      <c r="E34" s="150">
        <v>1817011</v>
      </c>
      <c r="F34" s="148" t="s">
        <v>222</v>
      </c>
      <c r="G34" s="41" t="s">
        <v>417</v>
      </c>
      <c r="H34" s="148" t="s">
        <v>82</v>
      </c>
      <c r="I34" s="42">
        <v>0.65821000000000007</v>
      </c>
      <c r="J34" s="151" t="s">
        <v>472</v>
      </c>
      <c r="K34" s="164">
        <v>4551457</v>
      </c>
      <c r="L34" s="165">
        <v>2275728</v>
      </c>
      <c r="M34" s="166">
        <v>2275729</v>
      </c>
      <c r="N34" s="152">
        <v>0.5</v>
      </c>
      <c r="O34" s="164">
        <v>0</v>
      </c>
      <c r="P34" s="164">
        <v>0</v>
      </c>
      <c r="Q34" s="165">
        <v>0</v>
      </c>
      <c r="R34" s="165">
        <v>0</v>
      </c>
      <c r="S34" s="166">
        <v>2275728</v>
      </c>
      <c r="T34" s="166">
        <v>0</v>
      </c>
      <c r="U34" s="166">
        <v>0</v>
      </c>
      <c r="V34" s="166">
        <v>0</v>
      </c>
      <c r="W34" s="165">
        <v>0</v>
      </c>
      <c r="X34" s="164">
        <v>0</v>
      </c>
      <c r="Y34" s="174" t="b">
        <f t="shared" si="4"/>
        <v>1</v>
      </c>
      <c r="Z34" s="178">
        <f t="shared" si="5"/>
        <v>0.5</v>
      </c>
      <c r="AA34" s="179" t="b">
        <f t="shared" si="6"/>
        <v>1</v>
      </c>
      <c r="AB34" s="179" t="b">
        <f t="shared" si="7"/>
        <v>1</v>
      </c>
      <c r="AC34" s="194"/>
    </row>
    <row r="35" spans="1:29" s="180" customFormat="1" ht="36" x14ac:dyDescent="0.25">
      <c r="A35" s="234">
        <v>33</v>
      </c>
      <c r="B35" s="148" t="s">
        <v>423</v>
      </c>
      <c r="C35" s="149" t="s">
        <v>151</v>
      </c>
      <c r="D35" s="150" t="s">
        <v>218</v>
      </c>
      <c r="E35" s="150">
        <v>1816122</v>
      </c>
      <c r="F35" s="148" t="s">
        <v>215</v>
      </c>
      <c r="G35" s="41" t="s">
        <v>424</v>
      </c>
      <c r="H35" s="148" t="s">
        <v>82</v>
      </c>
      <c r="I35" s="42">
        <v>0.47699999999999998</v>
      </c>
      <c r="J35" s="151" t="s">
        <v>477</v>
      </c>
      <c r="K35" s="164">
        <v>1348666.88</v>
      </c>
      <c r="L35" s="165">
        <v>809200</v>
      </c>
      <c r="M35" s="166">
        <v>539466.87999999989</v>
      </c>
      <c r="N35" s="152">
        <v>0.6</v>
      </c>
      <c r="O35" s="164">
        <v>0</v>
      </c>
      <c r="P35" s="164">
        <v>0</v>
      </c>
      <c r="Q35" s="165">
        <v>0</v>
      </c>
      <c r="R35" s="165">
        <v>0</v>
      </c>
      <c r="S35" s="166">
        <v>809200</v>
      </c>
      <c r="T35" s="166">
        <v>0</v>
      </c>
      <c r="U35" s="166">
        <v>0</v>
      </c>
      <c r="V35" s="166">
        <v>0</v>
      </c>
      <c r="W35" s="165">
        <v>0</v>
      </c>
      <c r="X35" s="164">
        <v>0</v>
      </c>
      <c r="Y35" s="174" t="b">
        <f t="shared" si="4"/>
        <v>1</v>
      </c>
      <c r="Z35" s="178">
        <f t="shared" si="5"/>
        <v>0.6</v>
      </c>
      <c r="AA35" s="179" t="b">
        <f t="shared" si="6"/>
        <v>1</v>
      </c>
      <c r="AB35" s="179" t="b">
        <f t="shared" si="7"/>
        <v>1</v>
      </c>
      <c r="AC35" s="194"/>
    </row>
    <row r="36" spans="1:29" s="180" customFormat="1" ht="36" x14ac:dyDescent="0.25">
      <c r="A36" s="234">
        <v>34</v>
      </c>
      <c r="B36" s="148" t="s">
        <v>427</v>
      </c>
      <c r="C36" s="149" t="s">
        <v>151</v>
      </c>
      <c r="D36" s="150" t="s">
        <v>386</v>
      </c>
      <c r="E36" s="150">
        <v>1805112</v>
      </c>
      <c r="F36" s="148" t="s">
        <v>211</v>
      </c>
      <c r="G36" s="41" t="s">
        <v>428</v>
      </c>
      <c r="H36" s="148" t="s">
        <v>82</v>
      </c>
      <c r="I36" s="42">
        <v>0.27710000000000001</v>
      </c>
      <c r="J36" s="151" t="s">
        <v>480</v>
      </c>
      <c r="K36" s="164">
        <v>1401371.05</v>
      </c>
      <c r="L36" s="165">
        <v>840822</v>
      </c>
      <c r="M36" s="166">
        <v>560549.05000000005</v>
      </c>
      <c r="N36" s="152">
        <v>0.6</v>
      </c>
      <c r="O36" s="164">
        <v>0</v>
      </c>
      <c r="P36" s="164">
        <v>0</v>
      </c>
      <c r="Q36" s="165">
        <v>0</v>
      </c>
      <c r="R36" s="165">
        <v>0</v>
      </c>
      <c r="S36" s="166">
        <v>840822</v>
      </c>
      <c r="T36" s="166">
        <v>0</v>
      </c>
      <c r="U36" s="166">
        <v>0</v>
      </c>
      <c r="V36" s="166">
        <v>0</v>
      </c>
      <c r="W36" s="165">
        <v>0</v>
      </c>
      <c r="X36" s="164">
        <v>0</v>
      </c>
      <c r="Y36" s="174" t="b">
        <f t="shared" si="4"/>
        <v>1</v>
      </c>
      <c r="Z36" s="178">
        <f t="shared" si="5"/>
        <v>0.6</v>
      </c>
      <c r="AA36" s="179" t="b">
        <f t="shared" si="6"/>
        <v>1</v>
      </c>
      <c r="AB36" s="179" t="b">
        <f t="shared" si="7"/>
        <v>1</v>
      </c>
      <c r="AC36" s="194"/>
    </row>
    <row r="37" spans="1:29" s="180" customFormat="1" ht="24" x14ac:dyDescent="0.25">
      <c r="A37" s="234">
        <v>35</v>
      </c>
      <c r="B37" s="148" t="s">
        <v>429</v>
      </c>
      <c r="C37" s="149" t="s">
        <v>151</v>
      </c>
      <c r="D37" s="150" t="s">
        <v>430</v>
      </c>
      <c r="E37" s="150">
        <v>1806062</v>
      </c>
      <c r="F37" s="148" t="s">
        <v>431</v>
      </c>
      <c r="G37" s="41" t="s">
        <v>432</v>
      </c>
      <c r="H37" s="148" t="s">
        <v>82</v>
      </c>
      <c r="I37" s="42">
        <v>0.24199999999999999</v>
      </c>
      <c r="J37" s="151" t="s">
        <v>321</v>
      </c>
      <c r="K37" s="164">
        <v>774000</v>
      </c>
      <c r="L37" s="165">
        <v>387000</v>
      </c>
      <c r="M37" s="166">
        <v>387000</v>
      </c>
      <c r="N37" s="152">
        <v>0.5</v>
      </c>
      <c r="O37" s="164">
        <v>0</v>
      </c>
      <c r="P37" s="164">
        <v>0</v>
      </c>
      <c r="Q37" s="165">
        <v>0</v>
      </c>
      <c r="R37" s="165">
        <v>0</v>
      </c>
      <c r="S37" s="166">
        <v>387000</v>
      </c>
      <c r="T37" s="166">
        <v>0</v>
      </c>
      <c r="U37" s="166">
        <v>0</v>
      </c>
      <c r="V37" s="166">
        <v>0</v>
      </c>
      <c r="W37" s="165">
        <v>0</v>
      </c>
      <c r="X37" s="164">
        <v>0</v>
      </c>
      <c r="Y37" s="174" t="b">
        <f t="shared" si="4"/>
        <v>1</v>
      </c>
      <c r="Z37" s="178">
        <f t="shared" si="5"/>
        <v>0.5</v>
      </c>
      <c r="AA37" s="179" t="b">
        <f t="shared" si="6"/>
        <v>1</v>
      </c>
      <c r="AB37" s="179" t="b">
        <f t="shared" si="7"/>
        <v>1</v>
      </c>
      <c r="AC37" s="194"/>
    </row>
    <row r="38" spans="1:29" s="180" customFormat="1" ht="24" x14ac:dyDescent="0.25">
      <c r="A38" s="234">
        <v>36</v>
      </c>
      <c r="B38" s="148" t="s">
        <v>435</v>
      </c>
      <c r="C38" s="149" t="s">
        <v>151</v>
      </c>
      <c r="D38" s="150" t="s">
        <v>369</v>
      </c>
      <c r="E38" s="150">
        <v>1818053</v>
      </c>
      <c r="F38" s="148" t="s">
        <v>230</v>
      </c>
      <c r="G38" s="41" t="s">
        <v>436</v>
      </c>
      <c r="H38" s="148" t="s">
        <v>82</v>
      </c>
      <c r="I38" s="42">
        <v>0.99</v>
      </c>
      <c r="J38" s="151" t="s">
        <v>476</v>
      </c>
      <c r="K38" s="164">
        <v>1304258.01</v>
      </c>
      <c r="L38" s="165">
        <v>652129</v>
      </c>
      <c r="M38" s="166">
        <v>652129.01</v>
      </c>
      <c r="N38" s="152">
        <v>0.5</v>
      </c>
      <c r="O38" s="164">
        <v>0</v>
      </c>
      <c r="P38" s="164">
        <v>0</v>
      </c>
      <c r="Q38" s="165">
        <v>0</v>
      </c>
      <c r="R38" s="165">
        <v>0</v>
      </c>
      <c r="S38" s="166">
        <v>652129</v>
      </c>
      <c r="T38" s="166">
        <v>0</v>
      </c>
      <c r="U38" s="166">
        <v>0</v>
      </c>
      <c r="V38" s="166">
        <v>0</v>
      </c>
      <c r="W38" s="165">
        <v>0</v>
      </c>
      <c r="X38" s="164">
        <v>0</v>
      </c>
      <c r="Y38" s="174" t="b">
        <f t="shared" si="4"/>
        <v>1</v>
      </c>
      <c r="Z38" s="178">
        <f t="shared" si="5"/>
        <v>0.5</v>
      </c>
      <c r="AA38" s="179" t="b">
        <f t="shared" si="6"/>
        <v>1</v>
      </c>
      <c r="AB38" s="179" t="b">
        <f t="shared" si="7"/>
        <v>1</v>
      </c>
      <c r="AC38" s="194"/>
    </row>
    <row r="39" spans="1:29" s="180" customFormat="1" ht="24" x14ac:dyDescent="0.25">
      <c r="A39" s="234">
        <v>37</v>
      </c>
      <c r="B39" s="148" t="s">
        <v>437</v>
      </c>
      <c r="C39" s="149" t="s">
        <v>151</v>
      </c>
      <c r="D39" s="150" t="s">
        <v>377</v>
      </c>
      <c r="E39" s="150">
        <v>1807012</v>
      </c>
      <c r="F39" s="148" t="s">
        <v>148</v>
      </c>
      <c r="G39" s="41" t="s">
        <v>438</v>
      </c>
      <c r="H39" s="148" t="s">
        <v>82</v>
      </c>
      <c r="I39" s="42">
        <v>0.97</v>
      </c>
      <c r="J39" s="151" t="s">
        <v>328</v>
      </c>
      <c r="K39" s="164">
        <v>1318021.3400000001</v>
      </c>
      <c r="L39" s="165">
        <v>790812</v>
      </c>
      <c r="M39" s="166">
        <v>527209.34000000008</v>
      </c>
      <c r="N39" s="152">
        <v>0.6</v>
      </c>
      <c r="O39" s="164">
        <v>0</v>
      </c>
      <c r="P39" s="164">
        <v>0</v>
      </c>
      <c r="Q39" s="165">
        <v>0</v>
      </c>
      <c r="R39" s="165">
        <v>0</v>
      </c>
      <c r="S39" s="166">
        <v>790812</v>
      </c>
      <c r="T39" s="166">
        <v>0</v>
      </c>
      <c r="U39" s="166">
        <v>0</v>
      </c>
      <c r="V39" s="166">
        <v>0</v>
      </c>
      <c r="W39" s="165">
        <v>0</v>
      </c>
      <c r="X39" s="164">
        <v>0</v>
      </c>
      <c r="Y39" s="174" t="b">
        <f t="shared" si="4"/>
        <v>1</v>
      </c>
      <c r="Z39" s="178">
        <f t="shared" si="5"/>
        <v>0.6</v>
      </c>
      <c r="AA39" s="179" t="b">
        <f t="shared" si="6"/>
        <v>1</v>
      </c>
      <c r="AB39" s="179" t="b">
        <f t="shared" si="7"/>
        <v>1</v>
      </c>
      <c r="AC39" s="194"/>
    </row>
    <row r="40" spans="1:29" s="180" customFormat="1" ht="24" x14ac:dyDescent="0.25">
      <c r="A40" s="234">
        <v>38</v>
      </c>
      <c r="B40" s="148" t="s">
        <v>441</v>
      </c>
      <c r="C40" s="149" t="s">
        <v>151</v>
      </c>
      <c r="D40" s="150" t="s">
        <v>442</v>
      </c>
      <c r="E40" s="150">
        <v>1804092</v>
      </c>
      <c r="F40" s="148" t="s">
        <v>176</v>
      </c>
      <c r="G40" s="41" t="s">
        <v>443</v>
      </c>
      <c r="H40" s="148" t="s">
        <v>82</v>
      </c>
      <c r="I40" s="42">
        <v>0.69</v>
      </c>
      <c r="J40" s="151" t="s">
        <v>324</v>
      </c>
      <c r="K40" s="164">
        <v>714614.01</v>
      </c>
      <c r="L40" s="165">
        <v>357307</v>
      </c>
      <c r="M40" s="166">
        <v>357307.01</v>
      </c>
      <c r="N40" s="152">
        <v>0.5</v>
      </c>
      <c r="O40" s="164">
        <v>0</v>
      </c>
      <c r="P40" s="164">
        <v>0</v>
      </c>
      <c r="Q40" s="165">
        <v>0</v>
      </c>
      <c r="R40" s="165">
        <v>0</v>
      </c>
      <c r="S40" s="166">
        <v>357307</v>
      </c>
      <c r="T40" s="166">
        <v>0</v>
      </c>
      <c r="U40" s="166">
        <v>0</v>
      </c>
      <c r="V40" s="166">
        <v>0</v>
      </c>
      <c r="W40" s="165">
        <v>0</v>
      </c>
      <c r="X40" s="164">
        <v>0</v>
      </c>
      <c r="Y40" s="174" t="b">
        <f t="shared" si="4"/>
        <v>1</v>
      </c>
      <c r="Z40" s="178">
        <f t="shared" si="5"/>
        <v>0.5</v>
      </c>
      <c r="AA40" s="179" t="b">
        <f t="shared" si="6"/>
        <v>1</v>
      </c>
      <c r="AB40" s="179" t="b">
        <f t="shared" si="7"/>
        <v>1</v>
      </c>
      <c r="AC40" s="194"/>
    </row>
    <row r="41" spans="1:29" s="180" customFormat="1" ht="24" x14ac:dyDescent="0.25">
      <c r="A41" s="234">
        <v>39</v>
      </c>
      <c r="B41" s="148" t="s">
        <v>447</v>
      </c>
      <c r="C41" s="149" t="s">
        <v>151</v>
      </c>
      <c r="D41" s="150" t="s">
        <v>445</v>
      </c>
      <c r="E41" s="150">
        <v>1811092</v>
      </c>
      <c r="F41" s="148" t="s">
        <v>342</v>
      </c>
      <c r="G41" s="41" t="s">
        <v>448</v>
      </c>
      <c r="H41" s="148" t="s">
        <v>197</v>
      </c>
      <c r="I41" s="42">
        <v>2.8893</v>
      </c>
      <c r="J41" s="151" t="s">
        <v>318</v>
      </c>
      <c r="K41" s="164">
        <v>3190674.11</v>
      </c>
      <c r="L41" s="165">
        <v>1914404</v>
      </c>
      <c r="M41" s="166">
        <v>1276270.1099999999</v>
      </c>
      <c r="N41" s="152">
        <v>0.6</v>
      </c>
      <c r="O41" s="164">
        <v>0</v>
      </c>
      <c r="P41" s="164">
        <v>0</v>
      </c>
      <c r="Q41" s="165">
        <v>0</v>
      </c>
      <c r="R41" s="165">
        <v>0</v>
      </c>
      <c r="S41" s="166">
        <v>1914404</v>
      </c>
      <c r="T41" s="166">
        <v>0</v>
      </c>
      <c r="U41" s="166">
        <v>0</v>
      </c>
      <c r="V41" s="166">
        <v>0</v>
      </c>
      <c r="W41" s="165">
        <v>0</v>
      </c>
      <c r="X41" s="164">
        <v>0</v>
      </c>
      <c r="Y41" s="174" t="b">
        <f t="shared" si="4"/>
        <v>1</v>
      </c>
      <c r="Z41" s="178">
        <f t="shared" si="5"/>
        <v>0.6</v>
      </c>
      <c r="AA41" s="179" t="b">
        <f t="shared" si="6"/>
        <v>1</v>
      </c>
      <c r="AB41" s="179" t="b">
        <f t="shared" si="7"/>
        <v>1</v>
      </c>
      <c r="AC41" s="194"/>
    </row>
    <row r="42" spans="1:29" s="180" customFormat="1" ht="24" x14ac:dyDescent="0.25">
      <c r="A42" s="234">
        <v>40</v>
      </c>
      <c r="B42" s="148" t="s">
        <v>449</v>
      </c>
      <c r="C42" s="149" t="s">
        <v>151</v>
      </c>
      <c r="D42" s="150" t="s">
        <v>450</v>
      </c>
      <c r="E42" s="150">
        <v>1808042</v>
      </c>
      <c r="F42" s="148" t="s">
        <v>346</v>
      </c>
      <c r="G42" s="41" t="s">
        <v>451</v>
      </c>
      <c r="H42" s="148" t="s">
        <v>197</v>
      </c>
      <c r="I42" s="42">
        <v>2.008</v>
      </c>
      <c r="J42" s="151" t="s">
        <v>477</v>
      </c>
      <c r="K42" s="164">
        <v>1432749.14</v>
      </c>
      <c r="L42" s="165">
        <v>716374</v>
      </c>
      <c r="M42" s="166">
        <v>716375.1399999999</v>
      </c>
      <c r="N42" s="152">
        <v>0.5</v>
      </c>
      <c r="O42" s="164">
        <v>0</v>
      </c>
      <c r="P42" s="164">
        <v>0</v>
      </c>
      <c r="Q42" s="165">
        <v>0</v>
      </c>
      <c r="R42" s="165">
        <v>0</v>
      </c>
      <c r="S42" s="166">
        <v>716374</v>
      </c>
      <c r="T42" s="166">
        <v>0</v>
      </c>
      <c r="U42" s="166">
        <v>0</v>
      </c>
      <c r="V42" s="166">
        <v>0</v>
      </c>
      <c r="W42" s="165">
        <v>0</v>
      </c>
      <c r="X42" s="164">
        <v>0</v>
      </c>
      <c r="Y42" s="174" t="b">
        <f t="shared" si="4"/>
        <v>1</v>
      </c>
      <c r="Z42" s="178">
        <f t="shared" si="5"/>
        <v>0.5</v>
      </c>
      <c r="AA42" s="179" t="b">
        <f t="shared" si="6"/>
        <v>1</v>
      </c>
      <c r="AB42" s="179" t="b">
        <f t="shared" si="7"/>
        <v>1</v>
      </c>
      <c r="AC42" s="194"/>
    </row>
    <row r="43" spans="1:29" s="180" customFormat="1" ht="36" x14ac:dyDescent="0.25">
      <c r="A43" s="234">
        <v>41</v>
      </c>
      <c r="B43" s="148" t="s">
        <v>452</v>
      </c>
      <c r="C43" s="149" t="s">
        <v>151</v>
      </c>
      <c r="D43" s="150" t="s">
        <v>263</v>
      </c>
      <c r="E43" s="150">
        <v>1819032</v>
      </c>
      <c r="F43" s="148" t="s">
        <v>264</v>
      </c>
      <c r="G43" s="41" t="s">
        <v>453</v>
      </c>
      <c r="H43" s="148" t="s">
        <v>197</v>
      </c>
      <c r="I43" s="42">
        <v>0.99199999999999999</v>
      </c>
      <c r="J43" s="151" t="s">
        <v>327</v>
      </c>
      <c r="K43" s="164">
        <v>444694.39</v>
      </c>
      <c r="L43" s="165">
        <v>266816</v>
      </c>
      <c r="M43" s="166">
        <v>177878.39</v>
      </c>
      <c r="N43" s="152">
        <v>0.6</v>
      </c>
      <c r="O43" s="164">
        <v>0</v>
      </c>
      <c r="P43" s="164">
        <v>0</v>
      </c>
      <c r="Q43" s="165">
        <v>0</v>
      </c>
      <c r="R43" s="165">
        <v>0</v>
      </c>
      <c r="S43" s="166">
        <v>266816</v>
      </c>
      <c r="T43" s="166">
        <v>0</v>
      </c>
      <c r="U43" s="166">
        <v>0</v>
      </c>
      <c r="V43" s="166">
        <v>0</v>
      </c>
      <c r="W43" s="165">
        <v>0</v>
      </c>
      <c r="X43" s="164">
        <v>0</v>
      </c>
      <c r="Y43" s="174" t="b">
        <f t="shared" si="4"/>
        <v>1</v>
      </c>
      <c r="Z43" s="178">
        <f t="shared" si="5"/>
        <v>0.6</v>
      </c>
      <c r="AA43" s="179" t="b">
        <f t="shared" si="6"/>
        <v>1</v>
      </c>
      <c r="AB43" s="179" t="b">
        <f t="shared" si="7"/>
        <v>1</v>
      </c>
      <c r="AC43" s="194"/>
    </row>
    <row r="44" spans="1:29" s="167" customFormat="1" ht="36" x14ac:dyDescent="0.25">
      <c r="A44" s="252">
        <v>42</v>
      </c>
      <c r="B44" s="158" t="s">
        <v>454</v>
      </c>
      <c r="C44" s="159" t="s">
        <v>147</v>
      </c>
      <c r="D44" s="160" t="s">
        <v>182</v>
      </c>
      <c r="E44" s="160">
        <v>1812053</v>
      </c>
      <c r="F44" s="158" t="s">
        <v>157</v>
      </c>
      <c r="G44" s="153" t="s">
        <v>455</v>
      </c>
      <c r="H44" s="158" t="s">
        <v>69</v>
      </c>
      <c r="I44" s="154">
        <v>1.9938</v>
      </c>
      <c r="J44" s="161" t="s">
        <v>485</v>
      </c>
      <c r="K44" s="156">
        <v>13098818.609999999</v>
      </c>
      <c r="L44" s="157">
        <v>7859289</v>
      </c>
      <c r="M44" s="163">
        <v>5239529.6099999994</v>
      </c>
      <c r="N44" s="162">
        <v>0.6</v>
      </c>
      <c r="O44" s="164">
        <v>0</v>
      </c>
      <c r="P44" s="164">
        <v>0</v>
      </c>
      <c r="Q44" s="165">
        <v>0</v>
      </c>
      <c r="R44" s="165">
        <v>0</v>
      </c>
      <c r="S44" s="163">
        <v>247078</v>
      </c>
      <c r="T44" s="163">
        <v>2460982</v>
      </c>
      <c r="U44" s="163">
        <v>5151229</v>
      </c>
      <c r="V44" s="163">
        <v>0</v>
      </c>
      <c r="W44" s="157">
        <v>0</v>
      </c>
      <c r="X44" s="164">
        <v>0</v>
      </c>
      <c r="Y44" s="229" t="b">
        <f t="shared" si="4"/>
        <v>1</v>
      </c>
      <c r="Z44" s="230">
        <f t="shared" si="5"/>
        <v>0.6</v>
      </c>
      <c r="AA44" s="231" t="b">
        <f t="shared" si="6"/>
        <v>1</v>
      </c>
      <c r="AB44" s="231" t="b">
        <f t="shared" si="7"/>
        <v>1</v>
      </c>
      <c r="AC44" s="192"/>
    </row>
    <row r="45" spans="1:29" s="167" customFormat="1" ht="24" x14ac:dyDescent="0.25">
      <c r="A45" s="252">
        <v>43</v>
      </c>
      <c r="B45" s="158" t="s">
        <v>456</v>
      </c>
      <c r="C45" s="159" t="s">
        <v>147</v>
      </c>
      <c r="D45" s="160" t="s">
        <v>116</v>
      </c>
      <c r="E45" s="160">
        <v>1861011</v>
      </c>
      <c r="F45" s="158" t="s">
        <v>109</v>
      </c>
      <c r="G45" s="153" t="s">
        <v>457</v>
      </c>
      <c r="H45" s="158" t="s">
        <v>69</v>
      </c>
      <c r="I45" s="154">
        <v>1.6742699999999999</v>
      </c>
      <c r="J45" s="161" t="s">
        <v>486</v>
      </c>
      <c r="K45" s="156">
        <v>15095717.18</v>
      </c>
      <c r="L45" s="157">
        <v>7547857</v>
      </c>
      <c r="M45" s="163">
        <v>7547860.1799999997</v>
      </c>
      <c r="N45" s="162">
        <v>0.5</v>
      </c>
      <c r="O45" s="164">
        <v>0</v>
      </c>
      <c r="P45" s="164">
        <v>0</v>
      </c>
      <c r="Q45" s="165">
        <v>0</v>
      </c>
      <c r="R45" s="165">
        <v>0</v>
      </c>
      <c r="S45" s="163">
        <v>4042087</v>
      </c>
      <c r="T45" s="163">
        <v>3505770</v>
      </c>
      <c r="U45" s="163">
        <v>0</v>
      </c>
      <c r="V45" s="163">
        <v>0</v>
      </c>
      <c r="W45" s="157">
        <v>0</v>
      </c>
      <c r="X45" s="164">
        <v>0</v>
      </c>
      <c r="Y45" s="229" t="b">
        <f t="shared" si="4"/>
        <v>1</v>
      </c>
      <c r="Z45" s="230">
        <f t="shared" si="5"/>
        <v>0.5</v>
      </c>
      <c r="AA45" s="231" t="b">
        <f t="shared" si="6"/>
        <v>1</v>
      </c>
      <c r="AB45" s="231" t="b">
        <f t="shared" si="7"/>
        <v>1</v>
      </c>
      <c r="AC45" s="192"/>
    </row>
    <row r="46" spans="1:29" s="180" customFormat="1" ht="24" x14ac:dyDescent="0.25">
      <c r="A46" s="234">
        <v>44</v>
      </c>
      <c r="B46" s="148" t="s">
        <v>458</v>
      </c>
      <c r="C46" s="149" t="s">
        <v>151</v>
      </c>
      <c r="D46" s="150" t="s">
        <v>459</v>
      </c>
      <c r="E46" s="150">
        <v>1809011</v>
      </c>
      <c r="F46" s="148" t="s">
        <v>188</v>
      </c>
      <c r="G46" s="41" t="s">
        <v>460</v>
      </c>
      <c r="H46" s="148" t="s">
        <v>69</v>
      </c>
      <c r="I46" s="42">
        <v>1.06</v>
      </c>
      <c r="J46" s="151" t="s">
        <v>476</v>
      </c>
      <c r="K46" s="164">
        <v>2869736</v>
      </c>
      <c r="L46" s="165">
        <v>1721841</v>
      </c>
      <c r="M46" s="166">
        <v>1147895</v>
      </c>
      <c r="N46" s="152">
        <v>0.6</v>
      </c>
      <c r="O46" s="164">
        <v>0</v>
      </c>
      <c r="P46" s="164">
        <v>0</v>
      </c>
      <c r="Q46" s="165">
        <v>0</v>
      </c>
      <c r="R46" s="165">
        <v>0</v>
      </c>
      <c r="S46" s="166">
        <v>1721841</v>
      </c>
      <c r="T46" s="166">
        <v>0</v>
      </c>
      <c r="U46" s="166">
        <v>0</v>
      </c>
      <c r="V46" s="166">
        <v>0</v>
      </c>
      <c r="W46" s="165">
        <v>0</v>
      </c>
      <c r="X46" s="164">
        <v>0</v>
      </c>
      <c r="Y46" s="174" t="b">
        <f t="shared" si="4"/>
        <v>1</v>
      </c>
      <c r="Z46" s="178">
        <f t="shared" si="5"/>
        <v>0.6</v>
      </c>
      <c r="AA46" s="179" t="b">
        <f t="shared" si="6"/>
        <v>1</v>
      </c>
      <c r="AB46" s="179" t="b">
        <f t="shared" si="7"/>
        <v>1</v>
      </c>
      <c r="AC46" s="194"/>
    </row>
    <row r="47" spans="1:29" s="180" customFormat="1" ht="24" x14ac:dyDescent="0.25">
      <c r="A47" s="234">
        <v>45</v>
      </c>
      <c r="B47" s="148" t="s">
        <v>461</v>
      </c>
      <c r="C47" s="149" t="s">
        <v>151</v>
      </c>
      <c r="D47" s="150" t="s">
        <v>462</v>
      </c>
      <c r="E47" s="150">
        <v>1803063</v>
      </c>
      <c r="F47" s="148" t="s">
        <v>207</v>
      </c>
      <c r="G47" s="41" t="s">
        <v>463</v>
      </c>
      <c r="H47" s="148" t="s">
        <v>69</v>
      </c>
      <c r="I47" s="42">
        <v>0.39535000000000003</v>
      </c>
      <c r="J47" s="151" t="s">
        <v>326</v>
      </c>
      <c r="K47" s="164">
        <v>2968436</v>
      </c>
      <c r="L47" s="165">
        <v>1781061</v>
      </c>
      <c r="M47" s="166">
        <v>1187375</v>
      </c>
      <c r="N47" s="152">
        <v>0.6</v>
      </c>
      <c r="O47" s="164">
        <v>0</v>
      </c>
      <c r="P47" s="164">
        <v>0</v>
      </c>
      <c r="Q47" s="165">
        <v>0</v>
      </c>
      <c r="R47" s="165">
        <v>0</v>
      </c>
      <c r="S47" s="166">
        <v>1781061</v>
      </c>
      <c r="T47" s="166">
        <v>0</v>
      </c>
      <c r="U47" s="166">
        <v>0</v>
      </c>
      <c r="V47" s="166">
        <v>0</v>
      </c>
      <c r="W47" s="165">
        <v>0</v>
      </c>
      <c r="X47" s="164">
        <v>0</v>
      </c>
      <c r="Y47" s="174" t="b">
        <f t="shared" si="4"/>
        <v>1</v>
      </c>
      <c r="Z47" s="178">
        <f t="shared" si="5"/>
        <v>0.6</v>
      </c>
      <c r="AA47" s="179" t="b">
        <f t="shared" si="6"/>
        <v>1</v>
      </c>
      <c r="AB47" s="179" t="b">
        <f t="shared" si="7"/>
        <v>1</v>
      </c>
      <c r="AC47" s="194"/>
    </row>
    <row r="48" spans="1:29" s="167" customFormat="1" ht="21" x14ac:dyDescent="0.25">
      <c r="A48" s="252">
        <v>46</v>
      </c>
      <c r="B48" s="158" t="s">
        <v>464</v>
      </c>
      <c r="C48" s="159" t="s">
        <v>147</v>
      </c>
      <c r="D48" s="160" t="s">
        <v>465</v>
      </c>
      <c r="E48" s="160">
        <v>1820032</v>
      </c>
      <c r="F48" s="158" t="s">
        <v>161</v>
      </c>
      <c r="G48" s="153" t="s">
        <v>466</v>
      </c>
      <c r="H48" s="158" t="s">
        <v>69</v>
      </c>
      <c r="I48" s="154">
        <v>0.73229999999999995</v>
      </c>
      <c r="J48" s="161" t="s">
        <v>487</v>
      </c>
      <c r="K48" s="156">
        <v>1063275.8899999999</v>
      </c>
      <c r="L48" s="157">
        <v>531637</v>
      </c>
      <c r="M48" s="163">
        <v>531638.8899999999</v>
      </c>
      <c r="N48" s="162">
        <v>0.5</v>
      </c>
      <c r="O48" s="164">
        <v>0</v>
      </c>
      <c r="P48" s="164">
        <v>0</v>
      </c>
      <c r="Q48" s="165">
        <v>0</v>
      </c>
      <c r="R48" s="165">
        <v>0</v>
      </c>
      <c r="S48" s="163">
        <v>531637</v>
      </c>
      <c r="T48" s="163">
        <v>0</v>
      </c>
      <c r="U48" s="163">
        <v>0</v>
      </c>
      <c r="V48" s="163">
        <v>0</v>
      </c>
      <c r="W48" s="157">
        <v>0</v>
      </c>
      <c r="X48" s="164">
        <v>0</v>
      </c>
      <c r="Y48" s="229" t="b">
        <f t="shared" si="4"/>
        <v>1</v>
      </c>
      <c r="Z48" s="230">
        <f t="shared" si="5"/>
        <v>0.5</v>
      </c>
      <c r="AA48" s="231" t="b">
        <f t="shared" si="6"/>
        <v>1</v>
      </c>
      <c r="AB48" s="231" t="b">
        <f t="shared" si="7"/>
        <v>1</v>
      </c>
      <c r="AC48" s="192"/>
    </row>
    <row r="49" spans="1:29" s="180" customFormat="1" ht="24" x14ac:dyDescent="0.25">
      <c r="A49" s="234">
        <v>47</v>
      </c>
      <c r="B49" s="148" t="s">
        <v>467</v>
      </c>
      <c r="C49" s="149" t="s">
        <v>151</v>
      </c>
      <c r="D49" s="150" t="s">
        <v>468</v>
      </c>
      <c r="E49" s="150">
        <v>1810022</v>
      </c>
      <c r="F49" s="148" t="s">
        <v>179</v>
      </c>
      <c r="G49" s="41" t="s">
        <v>469</v>
      </c>
      <c r="H49" s="148" t="s">
        <v>69</v>
      </c>
      <c r="I49" s="42">
        <v>0.52760000000000007</v>
      </c>
      <c r="J49" s="151" t="s">
        <v>478</v>
      </c>
      <c r="K49" s="164">
        <v>941212.81</v>
      </c>
      <c r="L49" s="165">
        <v>564727</v>
      </c>
      <c r="M49" s="166">
        <v>376485.81000000006</v>
      </c>
      <c r="N49" s="152">
        <v>0.6</v>
      </c>
      <c r="O49" s="164">
        <v>0</v>
      </c>
      <c r="P49" s="164">
        <v>0</v>
      </c>
      <c r="Q49" s="165">
        <v>0</v>
      </c>
      <c r="R49" s="165">
        <v>0</v>
      </c>
      <c r="S49" s="166">
        <v>564727</v>
      </c>
      <c r="T49" s="166">
        <v>0</v>
      </c>
      <c r="U49" s="166">
        <v>0</v>
      </c>
      <c r="V49" s="166">
        <v>0</v>
      </c>
      <c r="W49" s="165">
        <v>0</v>
      </c>
      <c r="X49" s="164">
        <v>0</v>
      </c>
      <c r="Y49" s="174" t="b">
        <f t="shared" si="4"/>
        <v>1</v>
      </c>
      <c r="Z49" s="178">
        <f t="shared" si="5"/>
        <v>0.6</v>
      </c>
      <c r="AA49" s="179" t="b">
        <f t="shared" si="6"/>
        <v>1</v>
      </c>
      <c r="AB49" s="179" t="b">
        <f t="shared" si="7"/>
        <v>1</v>
      </c>
      <c r="AC49" s="194"/>
    </row>
    <row r="50" spans="1:29" s="224" customFormat="1" ht="21" x14ac:dyDescent="0.25">
      <c r="A50" s="214">
        <v>48</v>
      </c>
      <c r="B50" s="214" t="s">
        <v>470</v>
      </c>
      <c r="C50" s="215" t="s">
        <v>151</v>
      </c>
      <c r="D50" s="216" t="s">
        <v>430</v>
      </c>
      <c r="E50" s="216">
        <v>1806062</v>
      </c>
      <c r="F50" s="214" t="s">
        <v>431</v>
      </c>
      <c r="G50" s="217" t="s">
        <v>471</v>
      </c>
      <c r="H50" s="214" t="s">
        <v>69</v>
      </c>
      <c r="I50" s="218">
        <v>0.51800000000000002</v>
      </c>
      <c r="J50" s="219" t="s">
        <v>321</v>
      </c>
      <c r="K50" s="205">
        <v>1057000</v>
      </c>
      <c r="L50" s="206">
        <v>159833.39000000001</v>
      </c>
      <c r="M50" s="207">
        <v>897166.61</v>
      </c>
      <c r="N50" s="220">
        <v>0.5</v>
      </c>
      <c r="O50" s="164">
        <v>0</v>
      </c>
      <c r="P50" s="164">
        <v>0</v>
      </c>
      <c r="Q50" s="165">
        <v>0</v>
      </c>
      <c r="R50" s="165">
        <v>0</v>
      </c>
      <c r="S50" s="207">
        <v>159833.39000000001</v>
      </c>
      <c r="T50" s="207">
        <v>0</v>
      </c>
      <c r="U50" s="207">
        <v>0</v>
      </c>
      <c r="V50" s="207">
        <v>0</v>
      </c>
      <c r="W50" s="206">
        <v>0</v>
      </c>
      <c r="X50" s="164">
        <v>0</v>
      </c>
      <c r="Y50" s="225" t="b">
        <f t="shared" si="4"/>
        <v>1</v>
      </c>
      <c r="Z50" s="226">
        <f t="shared" si="5"/>
        <v>0.1512</v>
      </c>
      <c r="AA50" s="227" t="b">
        <f t="shared" si="6"/>
        <v>0</v>
      </c>
      <c r="AB50" s="227" t="b">
        <f t="shared" si="7"/>
        <v>1</v>
      </c>
      <c r="AC50" s="223"/>
    </row>
    <row r="51" spans="1:29" x14ac:dyDescent="0.25">
      <c r="A51" s="339" t="s">
        <v>46</v>
      </c>
      <c r="B51" s="339"/>
      <c r="C51" s="339"/>
      <c r="D51" s="339"/>
      <c r="E51" s="339"/>
      <c r="F51" s="339"/>
      <c r="G51" s="339"/>
      <c r="H51" s="339"/>
      <c r="I51" s="277">
        <f>SUM(I3:I50)</f>
        <v>38.111600000000003</v>
      </c>
      <c r="J51" s="278" t="s">
        <v>14</v>
      </c>
      <c r="K51" s="44">
        <f>SUM(K3:K50)</f>
        <v>153481511.69999999</v>
      </c>
      <c r="L51" s="44">
        <f>SUM(L3:L50)</f>
        <v>81963010.090000004</v>
      </c>
      <c r="M51" s="44">
        <f>SUM(M3:M50)</f>
        <v>71518501.609999999</v>
      </c>
      <c r="N51" s="279" t="s">
        <v>14</v>
      </c>
      <c r="O51" s="297">
        <f t="shared" ref="O51:X51" si="8">SUM(O3:O50)</f>
        <v>0</v>
      </c>
      <c r="P51" s="297">
        <f t="shared" si="8"/>
        <v>0</v>
      </c>
      <c r="Q51" s="297">
        <f t="shared" si="8"/>
        <v>0</v>
      </c>
      <c r="R51" s="297">
        <f t="shared" si="8"/>
        <v>0</v>
      </c>
      <c r="S51" s="297">
        <f t="shared" si="8"/>
        <v>51276926.090000004</v>
      </c>
      <c r="T51" s="297">
        <f t="shared" si="8"/>
        <v>14923199</v>
      </c>
      <c r="U51" s="297">
        <f t="shared" si="8"/>
        <v>9451362</v>
      </c>
      <c r="V51" s="297">
        <f t="shared" si="8"/>
        <v>5250358</v>
      </c>
      <c r="W51" s="297">
        <f t="shared" si="8"/>
        <v>1061165</v>
      </c>
      <c r="X51" s="297">
        <f t="shared" si="8"/>
        <v>0</v>
      </c>
      <c r="Y51" s="174" t="b">
        <f>L51=SUM(O51:X51)</f>
        <v>1</v>
      </c>
      <c r="Z51" s="178">
        <f>ROUND(L51/K51,4)</f>
        <v>0.53400000000000003</v>
      </c>
      <c r="AA51" s="179" t="b">
        <f>Z51=N51</f>
        <v>0</v>
      </c>
      <c r="AB51" s="179" t="b">
        <f>K51=L51+M51</f>
        <v>1</v>
      </c>
    </row>
    <row r="52" spans="1:29" x14ac:dyDescent="0.25">
      <c r="A52" s="335" t="s">
        <v>40</v>
      </c>
      <c r="B52" s="336"/>
      <c r="C52" s="336"/>
      <c r="D52" s="336"/>
      <c r="E52" s="336"/>
      <c r="F52" s="336"/>
      <c r="G52" s="336"/>
      <c r="H52" s="337"/>
      <c r="I52" s="277">
        <f>SUMIF($C$3:$C$50,"N",I3:I50)</f>
        <v>28.82911</v>
      </c>
      <c r="J52" s="278" t="s">
        <v>14</v>
      </c>
      <c r="K52" s="44">
        <f>SUMIF($C$3:$C$50,"N",K3:K50)</f>
        <v>72404478.179999992</v>
      </c>
      <c r="L52" s="44">
        <f>SUMIF($C$3:$C$50,"N",L3:L50)</f>
        <v>39619599.090000004</v>
      </c>
      <c r="M52" s="44">
        <f>SUMIF($C$3:$C$50,"N",M3:M50)</f>
        <v>32784879.09</v>
      </c>
      <c r="N52" s="279" t="s">
        <v>14</v>
      </c>
      <c r="O52" s="297">
        <f t="shared" ref="O52:X52" si="9">SUMIF($C$3:$C$50,"N",O3:O50)</f>
        <v>0</v>
      </c>
      <c r="P52" s="297">
        <f t="shared" si="9"/>
        <v>0</v>
      </c>
      <c r="Q52" s="297">
        <f t="shared" si="9"/>
        <v>0</v>
      </c>
      <c r="R52" s="297">
        <f t="shared" si="9"/>
        <v>0</v>
      </c>
      <c r="S52" s="297">
        <f t="shared" si="9"/>
        <v>39619599.090000004</v>
      </c>
      <c r="T52" s="297">
        <f t="shared" si="9"/>
        <v>0</v>
      </c>
      <c r="U52" s="297">
        <f t="shared" si="9"/>
        <v>0</v>
      </c>
      <c r="V52" s="297">
        <f t="shared" si="9"/>
        <v>0</v>
      </c>
      <c r="W52" s="297">
        <f t="shared" si="9"/>
        <v>0</v>
      </c>
      <c r="X52" s="297">
        <f t="shared" si="9"/>
        <v>0</v>
      </c>
      <c r="Y52" s="174" t="b">
        <f>L52=SUM(O52:X52)</f>
        <v>1</v>
      </c>
      <c r="Z52" s="178">
        <f>ROUND(L52/K52,4)</f>
        <v>0.54720000000000002</v>
      </c>
      <c r="AA52" s="179" t="b">
        <f>Z52=N52</f>
        <v>0</v>
      </c>
      <c r="AB52" s="179" t="b">
        <f>K52=L52+M52</f>
        <v>1</v>
      </c>
    </row>
    <row r="53" spans="1:29" x14ac:dyDescent="0.25">
      <c r="A53" s="340" t="s">
        <v>41</v>
      </c>
      <c r="B53" s="340"/>
      <c r="C53" s="340"/>
      <c r="D53" s="340"/>
      <c r="E53" s="340"/>
      <c r="F53" s="340"/>
      <c r="G53" s="340"/>
      <c r="H53" s="340"/>
      <c r="I53" s="280">
        <f>SUMIF($C$3:$C$50,"W",I3:I50)</f>
        <v>9.282490000000001</v>
      </c>
      <c r="J53" s="281" t="s">
        <v>14</v>
      </c>
      <c r="K53" s="45">
        <f>SUMIF($C$3:$C$50,"W",K3:K50)</f>
        <v>81077033.519999996</v>
      </c>
      <c r="L53" s="45">
        <f>SUMIF($C$3:$C$50,"W",L3:L50)</f>
        <v>42343411</v>
      </c>
      <c r="M53" s="45">
        <f>SUMIF($C$3:$C$50,"W",M3:M50)</f>
        <v>38733622.520000003</v>
      </c>
      <c r="N53" s="282" t="s">
        <v>14</v>
      </c>
      <c r="O53" s="298">
        <f t="shared" ref="O53:X53" si="10">SUMIF($C$3:$C$50,"W",O3:O50)</f>
        <v>0</v>
      </c>
      <c r="P53" s="298">
        <f t="shared" si="10"/>
        <v>0</v>
      </c>
      <c r="Q53" s="298">
        <f t="shared" si="10"/>
        <v>0</v>
      </c>
      <c r="R53" s="298">
        <f t="shared" si="10"/>
        <v>0</v>
      </c>
      <c r="S53" s="298">
        <f t="shared" si="10"/>
        <v>11657327</v>
      </c>
      <c r="T53" s="298">
        <f t="shared" si="10"/>
        <v>14923199</v>
      </c>
      <c r="U53" s="298">
        <f t="shared" si="10"/>
        <v>9451362</v>
      </c>
      <c r="V53" s="298">
        <f t="shared" si="10"/>
        <v>5250358</v>
      </c>
      <c r="W53" s="298">
        <f t="shared" si="10"/>
        <v>1061165</v>
      </c>
      <c r="X53" s="298">
        <f t="shared" si="10"/>
        <v>0</v>
      </c>
      <c r="Y53" s="174" t="b">
        <f>L53=SUM(O53:X53)</f>
        <v>1</v>
      </c>
      <c r="Z53" s="178">
        <f>ROUND(L53/K53,4)</f>
        <v>0.52229999999999999</v>
      </c>
      <c r="AA53" s="179" t="b">
        <f>Z53=N53</f>
        <v>0</v>
      </c>
      <c r="AB53" s="179" t="b">
        <f>K53=L53+M53</f>
        <v>1</v>
      </c>
    </row>
    <row r="54" spans="1:29" x14ac:dyDescent="0.25">
      <c r="A54" s="195"/>
      <c r="AB54" s="181"/>
    </row>
    <row r="55" spans="1:29" ht="33" customHeight="1" x14ac:dyDescent="0.25">
      <c r="A55" s="195"/>
      <c r="AB55" s="181"/>
    </row>
    <row r="56" spans="1:29" ht="33" customHeight="1" x14ac:dyDescent="0.25">
      <c r="A56" s="31" t="s">
        <v>25</v>
      </c>
    </row>
    <row r="57" spans="1:29" x14ac:dyDescent="0.25">
      <c r="A57" s="32" t="s">
        <v>26</v>
      </c>
    </row>
    <row r="58" spans="1:29" x14ac:dyDescent="0.25">
      <c r="A58" s="213" t="s">
        <v>29</v>
      </c>
    </row>
    <row r="59" spans="1:29" x14ac:dyDescent="0.25">
      <c r="A59" s="31" t="s">
        <v>37</v>
      </c>
    </row>
    <row r="60" spans="1:29" x14ac:dyDescent="0.25">
      <c r="A60" s="299"/>
      <c r="Q60" s="202"/>
    </row>
    <row r="61" spans="1:29" hidden="1" x14ac:dyDescent="0.25">
      <c r="S61" s="202"/>
    </row>
    <row r="62" spans="1:29" hidden="1" x14ac:dyDescent="0.25"/>
    <row r="63" spans="1:29" hidden="1" x14ac:dyDescent="0.25">
      <c r="L63" s="34">
        <v>1288166</v>
      </c>
      <c r="O63" s="301">
        <v>0.75</v>
      </c>
      <c r="P63" s="202">
        <v>61584438.359999999</v>
      </c>
      <c r="Q63" s="202">
        <v>1288166</v>
      </c>
    </row>
    <row r="64" spans="1:29" hidden="1" x14ac:dyDescent="0.25"/>
    <row r="65" spans="16:19" hidden="1" x14ac:dyDescent="0.25">
      <c r="P65" s="204" t="s">
        <v>60</v>
      </c>
      <c r="Q65" s="204">
        <v>301789.64</v>
      </c>
      <c r="R65" s="291"/>
      <c r="S65" s="204"/>
    </row>
    <row r="66" spans="16:19" hidden="1" x14ac:dyDescent="0.25">
      <c r="P66" s="184"/>
      <c r="Q66" s="185"/>
      <c r="R66" s="186"/>
      <c r="S66" s="184"/>
    </row>
    <row r="67" spans="16:19" hidden="1" x14ac:dyDescent="0.25">
      <c r="P67" s="204"/>
      <c r="Q67" s="203"/>
      <c r="R67" s="291"/>
      <c r="S67" s="204"/>
    </row>
    <row r="68" spans="16:19" x14ac:dyDescent="0.25">
      <c r="S68" s="202"/>
    </row>
  </sheetData>
  <mergeCells count="18">
    <mergeCell ref="A52:H52"/>
    <mergeCell ref="D1:D2"/>
    <mergeCell ref="A53:H53"/>
    <mergeCell ref="E1:E2"/>
    <mergeCell ref="O1:X1"/>
    <mergeCell ref="M1:M2"/>
    <mergeCell ref="N1:N2"/>
    <mergeCell ref="A51:H51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B54:AB55 Y3:AB53">
    <cfRule type="cellIs" dxfId="1" priority="26" operator="equal">
      <formula>FALSE</formula>
    </cfRule>
  </conditionalFormatting>
  <conditionalFormatting sqref="Y3:AA53">
    <cfRule type="containsText" dxfId="0" priority="19" operator="containsText" text="fałsz">
      <formula>NOT(ISERROR(SEARCH("fałsz",Y3)))</formula>
    </cfRule>
  </conditionalFormatting>
  <dataValidations count="3">
    <dataValidation type="list" allowBlank="1" showInputMessage="1" showErrorMessage="1" sqref="H3:H6 G10:G11 G7:G8 G13:G50">
      <formula1>"B,P,R"</formula1>
    </dataValidation>
    <dataValidation type="list" allowBlank="1" showInputMessage="1" showErrorMessage="1" sqref="C19:C20 C22 C3:C4 C7:C8 C24:C32 C10:C12 C14:C16">
      <formula1>"N,K,W"</formula1>
    </dataValidation>
    <dataValidation type="list" allowBlank="1" showInputMessage="1" showErrorMessage="1" sqref="C21 C23 C5:C6 C9 C13 C17:C18 C33:C50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&amp;KFF0000 &amp;K000000Podkarpackie&amp;K01+000 - zadania gminne lista rezerwowa</oddHeader>
    <oddFooter>Strona &amp;P z &amp;N</oddFooter>
  </headerFooter>
  <ignoredErrors>
    <ignoredError sqref="O51:R51 T51:X5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2022-11-22T07:28:04Z</cp:lastPrinted>
  <dcterms:created xsi:type="dcterms:W3CDTF">2019-02-25T10:53:14Z</dcterms:created>
  <dcterms:modified xsi:type="dcterms:W3CDTF">2023-01-30T19:49:02Z</dcterms:modified>
</cp:coreProperties>
</file>