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 tabRatio="871" firstSheet="3" activeTab="10"/>
  </bookViews>
  <sheets>
    <sheet name="wariant surowcowy firma X" sheetId="8" state="hidden" r:id="rId1"/>
    <sheet name="wariant surowcowy firma Y" sheetId="9" state="hidden" r:id="rId2"/>
    <sheet name="Podsumowanie firm w wariantach" sheetId="7" state="hidden" r:id="rId3"/>
    <sheet name="wariant &quot;1&quot;" sheetId="39" r:id="rId4"/>
    <sheet name="wariant &quot;2&quot;" sheetId="55" r:id="rId5"/>
    <sheet name="wariant &quot;3&quot;" sheetId="56" r:id="rId6"/>
    <sheet name="wariant &quot;4&quot;" sheetId="57" r:id="rId7"/>
    <sheet name="wariant &quot;5&quot;" sheetId="58" r:id="rId8"/>
    <sheet name="wariant &quot;6&quot;" sheetId="60" r:id="rId9"/>
    <sheet name="wariant &quot;7&quot;" sheetId="61" r:id="rId10"/>
    <sheet name="wariant &quot;8&quot;" sheetId="62" r:id="rId11"/>
    <sheet name="Podsumowanie" sheetId="10" r:id="rId12"/>
    <sheet name="zakresy" sheetId="2" state="hidden" r:id="rId13"/>
  </sheets>
  <definedNames>
    <definedName name="_xlnm.Print_Area" localSheetId="3">'wariant "1"'!$A$1:$AH$31</definedName>
    <definedName name="_xlnm.Print_Area" localSheetId="4">'wariant "2"'!$A$1:$AH$29</definedName>
    <definedName name="_xlnm.Print_Area" localSheetId="5">'wariant "3"'!$A$1:$AH$29</definedName>
    <definedName name="_xlnm.Print_Area" localSheetId="6">'wariant "4"'!$A$1:$AH$29</definedName>
    <definedName name="_xlnm.Print_Area" localSheetId="7">'wariant "5"'!$A$1:$AH$30</definedName>
    <definedName name="_xlnm.Print_Area" localSheetId="8">'wariant "6"'!$A$1:$AH$31</definedName>
    <definedName name="_xlnm.Print_Area" localSheetId="9">'wariant "7"'!$A$1:$AH$31</definedName>
    <definedName name="_xlnm.Print_Area" localSheetId="10">'wariant "8"'!$A$1:$AH$31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" i="39" l="1"/>
  <c r="F13" i="62" l="1"/>
  <c r="O10" i="62"/>
  <c r="P7" i="62" s="1"/>
  <c r="K10" i="62"/>
  <c r="R9" i="62"/>
  <c r="T9" i="62" s="1"/>
  <c r="V9" i="62" s="1"/>
  <c r="X9" i="62" s="1"/>
  <c r="L9" i="62"/>
  <c r="Q9" i="62" s="1"/>
  <c r="S9" i="62" s="1"/>
  <c r="U9" i="62" s="1"/>
  <c r="W9" i="62" s="1"/>
  <c r="R8" i="62"/>
  <c r="T8" i="62" s="1"/>
  <c r="V8" i="62" s="1"/>
  <c r="X8" i="62" s="1"/>
  <c r="L8" i="62"/>
  <c r="Q8" i="62" s="1"/>
  <c r="S8" i="62" s="1"/>
  <c r="U8" i="62" s="1"/>
  <c r="W8" i="62" s="1"/>
  <c r="R7" i="62"/>
  <c r="T7" i="62" s="1"/>
  <c r="V7" i="62" s="1"/>
  <c r="X7" i="62" s="1"/>
  <c r="L7" i="62"/>
  <c r="Q7" i="62" s="1"/>
  <c r="S7" i="62" s="1"/>
  <c r="U7" i="62" s="1"/>
  <c r="W7" i="62" s="1"/>
  <c r="R6" i="62"/>
  <c r="T6" i="62" s="1"/>
  <c r="L6" i="62"/>
  <c r="F13" i="61"/>
  <c r="O10" i="61"/>
  <c r="P8" i="61" s="1"/>
  <c r="K10" i="61"/>
  <c r="R9" i="61"/>
  <c r="T9" i="61" s="1"/>
  <c r="V9" i="61" s="1"/>
  <c r="X9" i="61" s="1"/>
  <c r="L9" i="61"/>
  <c r="Q9" i="61" s="1"/>
  <c r="S9" i="61" s="1"/>
  <c r="U9" i="61" s="1"/>
  <c r="W9" i="61" s="1"/>
  <c r="R8" i="61"/>
  <c r="L8" i="61"/>
  <c r="Q8" i="61" s="1"/>
  <c r="S8" i="61" s="1"/>
  <c r="U8" i="61" s="1"/>
  <c r="W8" i="61" s="1"/>
  <c r="R7" i="61"/>
  <c r="T7" i="61" s="1"/>
  <c r="V7" i="61" s="1"/>
  <c r="X7" i="61" s="1"/>
  <c r="L7" i="61"/>
  <c r="Q7" i="61" s="1"/>
  <c r="S7" i="61" s="1"/>
  <c r="U7" i="61" s="1"/>
  <c r="W7" i="61" s="1"/>
  <c r="R6" i="61"/>
  <c r="T6" i="61" s="1"/>
  <c r="L6" i="61"/>
  <c r="Q6" i="61" s="1"/>
  <c r="L6" i="60"/>
  <c r="Q6" i="60" s="1"/>
  <c r="L7" i="60"/>
  <c r="Q7" i="60" s="1"/>
  <c r="S7" i="60" s="1"/>
  <c r="U7" i="60" s="1"/>
  <c r="W7" i="60" s="1"/>
  <c r="L8" i="60"/>
  <c r="L9" i="60"/>
  <c r="Q9" i="60" s="1"/>
  <c r="S9" i="60" s="1"/>
  <c r="U9" i="60" s="1"/>
  <c r="W9" i="60" s="1"/>
  <c r="F13" i="60"/>
  <c r="O10" i="60"/>
  <c r="P7" i="60" s="1"/>
  <c r="K10" i="60"/>
  <c r="R9" i="60"/>
  <c r="T9" i="60" s="1"/>
  <c r="V9" i="60" s="1"/>
  <c r="X9" i="60" s="1"/>
  <c r="R8" i="60"/>
  <c r="Q8" i="60"/>
  <c r="S8" i="60" s="1"/>
  <c r="U8" i="60" s="1"/>
  <c r="W8" i="60" s="1"/>
  <c r="R7" i="60"/>
  <c r="T7" i="60" s="1"/>
  <c r="V7" i="60" s="1"/>
  <c r="X7" i="60" s="1"/>
  <c r="R6" i="60"/>
  <c r="T6" i="60" s="1"/>
  <c r="F12" i="58"/>
  <c r="O9" i="58"/>
  <c r="P6" i="58" s="1"/>
  <c r="K9" i="58"/>
  <c r="R8" i="58"/>
  <c r="T8" i="58" s="1"/>
  <c r="V8" i="58" s="1"/>
  <c r="X8" i="58" s="1"/>
  <c r="L8" i="58"/>
  <c r="Q8" i="58" s="1"/>
  <c r="S8" i="58" s="1"/>
  <c r="U8" i="58" s="1"/>
  <c r="W8" i="58" s="1"/>
  <c r="R7" i="58"/>
  <c r="T7" i="58" s="1"/>
  <c r="V7" i="58" s="1"/>
  <c r="X7" i="58" s="1"/>
  <c r="L7" i="58"/>
  <c r="Q7" i="58" s="1"/>
  <c r="S7" i="58" s="1"/>
  <c r="U7" i="58" s="1"/>
  <c r="W7" i="58" s="1"/>
  <c r="R6" i="58"/>
  <c r="L6" i="58"/>
  <c r="Q6" i="58" s="1"/>
  <c r="F11" i="57"/>
  <c r="O8" i="57"/>
  <c r="P7" i="57" s="1"/>
  <c r="K8" i="57"/>
  <c r="R7" i="57"/>
  <c r="T7" i="57" s="1"/>
  <c r="V7" i="57" s="1"/>
  <c r="X7" i="57" s="1"/>
  <c r="L7" i="57"/>
  <c r="Q7" i="57" s="1"/>
  <c r="S7" i="57" s="1"/>
  <c r="U7" i="57" s="1"/>
  <c r="W7" i="57" s="1"/>
  <c r="R6" i="57"/>
  <c r="T6" i="57" s="1"/>
  <c r="L6" i="57"/>
  <c r="F11" i="56"/>
  <c r="O8" i="56"/>
  <c r="P6" i="56" s="1"/>
  <c r="K8" i="56"/>
  <c r="R7" i="56"/>
  <c r="T7" i="56" s="1"/>
  <c r="V7" i="56" s="1"/>
  <c r="X7" i="56" s="1"/>
  <c r="L7" i="56"/>
  <c r="R6" i="56"/>
  <c r="T6" i="56" s="1"/>
  <c r="L6" i="56"/>
  <c r="Q6" i="56" s="1"/>
  <c r="F11" i="55"/>
  <c r="O8" i="55"/>
  <c r="P7" i="55" s="1"/>
  <c r="K8" i="55"/>
  <c r="R7" i="55"/>
  <c r="T7" i="55" s="1"/>
  <c r="V7" i="55" s="1"/>
  <c r="X7" i="55" s="1"/>
  <c r="L7" i="55"/>
  <c r="Q7" i="55" s="1"/>
  <c r="S7" i="55" s="1"/>
  <c r="U7" i="55" s="1"/>
  <c r="W7" i="55" s="1"/>
  <c r="R6" i="55"/>
  <c r="L6" i="55"/>
  <c r="Q6" i="55" s="1"/>
  <c r="P6" i="61" l="1"/>
  <c r="P7" i="61"/>
  <c r="P9" i="61"/>
  <c r="M6" i="61"/>
  <c r="P8" i="62"/>
  <c r="M6" i="62" s="1"/>
  <c r="P9" i="62"/>
  <c r="P6" i="62"/>
  <c r="L10" i="62"/>
  <c r="P6" i="60"/>
  <c r="P9" i="60"/>
  <c r="P8" i="60"/>
  <c r="P8" i="58"/>
  <c r="L8" i="57"/>
  <c r="Q6" i="57"/>
  <c r="S6" i="57" s="1"/>
  <c r="U6" i="57" s="1"/>
  <c r="L8" i="56"/>
  <c r="P7" i="56"/>
  <c r="M6" i="56" s="1"/>
  <c r="R10" i="62"/>
  <c r="T10" i="62"/>
  <c r="V6" i="62"/>
  <c r="Q6" i="62"/>
  <c r="R10" i="61"/>
  <c r="Q10" i="61"/>
  <c r="S6" i="61"/>
  <c r="V6" i="61"/>
  <c r="T8" i="61"/>
  <c r="V8" i="61" s="1"/>
  <c r="X8" i="61" s="1"/>
  <c r="L10" i="61"/>
  <c r="R10" i="60"/>
  <c r="Q10" i="60"/>
  <c r="S6" i="60"/>
  <c r="V6" i="60"/>
  <c r="T8" i="60"/>
  <c r="V8" i="60" s="1"/>
  <c r="X8" i="60" s="1"/>
  <c r="L10" i="60"/>
  <c r="R9" i="58"/>
  <c r="P7" i="58"/>
  <c r="M6" i="58" s="1"/>
  <c r="Q9" i="58"/>
  <c r="S6" i="58"/>
  <c r="L9" i="58"/>
  <c r="T6" i="58"/>
  <c r="S8" i="57"/>
  <c r="T8" i="57"/>
  <c r="R8" i="57"/>
  <c r="Q8" i="57"/>
  <c r="V6" i="57"/>
  <c r="P6" i="57"/>
  <c r="R8" i="56"/>
  <c r="V6" i="56"/>
  <c r="T8" i="56"/>
  <c r="Q7" i="56"/>
  <c r="S7" i="56" s="1"/>
  <c r="U7" i="56" s="1"/>
  <c r="W7" i="56" s="1"/>
  <c r="S6" i="56"/>
  <c r="P6" i="55"/>
  <c r="P8" i="55" s="1"/>
  <c r="R8" i="55"/>
  <c r="L8" i="55"/>
  <c r="Q8" i="55"/>
  <c r="S6" i="55"/>
  <c r="T6" i="55"/>
  <c r="F13" i="39"/>
  <c r="R7" i="39"/>
  <c r="T7" i="39" s="1"/>
  <c r="R8" i="39"/>
  <c r="T8" i="39" s="1"/>
  <c r="V8" i="39" s="1"/>
  <c r="X8" i="39" s="1"/>
  <c r="R9" i="39"/>
  <c r="T9" i="39" s="1"/>
  <c r="V9" i="39" s="1"/>
  <c r="R6" i="39"/>
  <c r="T6" i="39" s="1"/>
  <c r="V6" i="39" s="1"/>
  <c r="L7" i="39"/>
  <c r="Q7" i="39" s="1"/>
  <c r="S7" i="39" s="1"/>
  <c r="U7" i="39" s="1"/>
  <c r="W7" i="39" s="1"/>
  <c r="L8" i="39"/>
  <c r="Q8" i="39" s="1"/>
  <c r="S8" i="39" s="1"/>
  <c r="U8" i="39" s="1"/>
  <c r="W8" i="39" s="1"/>
  <c r="L9" i="39"/>
  <c r="Q9" i="39" s="1"/>
  <c r="S9" i="39" s="1"/>
  <c r="U9" i="39" s="1"/>
  <c r="W9" i="39" s="1"/>
  <c r="L6" i="39"/>
  <c r="P10" i="61" l="1"/>
  <c r="P10" i="60"/>
  <c r="P8" i="56"/>
  <c r="P10" i="62"/>
  <c r="M6" i="60"/>
  <c r="N6" i="57"/>
  <c r="M6" i="55"/>
  <c r="X6" i="62"/>
  <c r="X10" i="62" s="1"/>
  <c r="V10" i="62"/>
  <c r="AD6" i="62" s="1"/>
  <c r="Q10" i="62"/>
  <c r="S6" i="62"/>
  <c r="V10" i="61"/>
  <c r="AD6" i="61" s="1"/>
  <c r="X6" i="61"/>
  <c r="X10" i="61" s="1"/>
  <c r="T10" i="61"/>
  <c r="S10" i="61"/>
  <c r="N6" i="61" s="1"/>
  <c r="U6" i="61"/>
  <c r="V10" i="60"/>
  <c r="AD6" i="60" s="1"/>
  <c r="X6" i="60"/>
  <c r="X10" i="60" s="1"/>
  <c r="T10" i="60"/>
  <c r="S10" i="60"/>
  <c r="N6" i="60" s="1"/>
  <c r="U6" i="60"/>
  <c r="P9" i="58"/>
  <c r="S9" i="58"/>
  <c r="N6" i="58" s="1"/>
  <c r="U6" i="58"/>
  <c r="V6" i="58"/>
  <c r="T9" i="58"/>
  <c r="X6" i="57"/>
  <c r="X8" i="57" s="1"/>
  <c r="V8" i="57"/>
  <c r="AD6" i="57" s="1"/>
  <c r="W6" i="57"/>
  <c r="W8" i="57" s="1"/>
  <c r="U8" i="57"/>
  <c r="P8" i="57"/>
  <c r="M6" i="57"/>
  <c r="V8" i="56"/>
  <c r="AD6" i="56" s="1"/>
  <c r="X6" i="56"/>
  <c r="X8" i="56" s="1"/>
  <c r="Q8" i="56"/>
  <c r="U6" i="56"/>
  <c r="S8" i="56"/>
  <c r="S8" i="55"/>
  <c r="N6" i="55" s="1"/>
  <c r="U6" i="55"/>
  <c r="T8" i="55"/>
  <c r="V6" i="55"/>
  <c r="X9" i="39"/>
  <c r="L10" i="39"/>
  <c r="V7" i="39"/>
  <c r="X7" i="39" s="1"/>
  <c r="Q6" i="39"/>
  <c r="S6" i="39" s="1"/>
  <c r="U6" i="39" s="1"/>
  <c r="W6" i="39" s="1"/>
  <c r="R10" i="39"/>
  <c r="U6" i="62" l="1"/>
  <c r="S10" i="62"/>
  <c r="N6" i="62" s="1"/>
  <c r="AB6" i="62"/>
  <c r="Y6" i="62"/>
  <c r="G19" i="62" s="1"/>
  <c r="L7" i="10" s="1"/>
  <c r="AB6" i="61"/>
  <c r="Y6" i="61"/>
  <c r="G19" i="61" s="1"/>
  <c r="K7" i="10" s="1"/>
  <c r="U10" i="61"/>
  <c r="W6" i="61"/>
  <c r="W10" i="61" s="1"/>
  <c r="U10" i="60"/>
  <c r="W6" i="60"/>
  <c r="W10" i="60" s="1"/>
  <c r="AB6" i="60"/>
  <c r="Y6" i="60"/>
  <c r="G19" i="60" s="1"/>
  <c r="J7" i="10" s="1"/>
  <c r="V9" i="58"/>
  <c r="AD6" i="58" s="1"/>
  <c r="X6" i="58"/>
  <c r="X9" i="58" s="1"/>
  <c r="U9" i="58"/>
  <c r="W6" i="58"/>
  <c r="W9" i="58" s="1"/>
  <c r="G14" i="57"/>
  <c r="J8" i="57"/>
  <c r="G12" i="57" s="1"/>
  <c r="AA6" i="57"/>
  <c r="I8" i="57"/>
  <c r="G13" i="57" s="1"/>
  <c r="Y6" i="57"/>
  <c r="G17" i="57" s="1"/>
  <c r="H7" i="10" s="1"/>
  <c r="AB6" i="57"/>
  <c r="AB6" i="56"/>
  <c r="Y6" i="56"/>
  <c r="G17" i="56" s="1"/>
  <c r="G7" i="10" s="1"/>
  <c r="U8" i="56"/>
  <c r="W6" i="56"/>
  <c r="W8" i="56" s="1"/>
  <c r="N6" i="56"/>
  <c r="V8" i="55"/>
  <c r="AD6" i="55" s="1"/>
  <c r="X6" i="55"/>
  <c r="X8" i="55" s="1"/>
  <c r="W6" i="55"/>
  <c r="W8" i="55" s="1"/>
  <c r="U8" i="55"/>
  <c r="Q10" i="39"/>
  <c r="T10" i="39"/>
  <c r="X6" i="39"/>
  <c r="S10" i="39"/>
  <c r="N6" i="39" l="1"/>
  <c r="U10" i="62"/>
  <c r="W6" i="62"/>
  <c r="W10" i="62" s="1"/>
  <c r="G16" i="61"/>
  <c r="J10" i="61"/>
  <c r="G14" i="61" s="1"/>
  <c r="I10" i="61"/>
  <c r="AA6" i="61"/>
  <c r="I10" i="60"/>
  <c r="AA6" i="60"/>
  <c r="G16" i="60"/>
  <c r="J10" i="60"/>
  <c r="G14" i="60" s="1"/>
  <c r="AB6" i="58"/>
  <c r="Y6" i="58"/>
  <c r="G18" i="58" s="1"/>
  <c r="I7" i="10" s="1"/>
  <c r="AA6" i="58"/>
  <c r="I9" i="58"/>
  <c r="G14" i="58" s="1"/>
  <c r="G15" i="58"/>
  <c r="J9" i="58"/>
  <c r="G13" i="58" s="1"/>
  <c r="AE6" i="57"/>
  <c r="AF6" i="57" s="1"/>
  <c r="G18" i="57" s="1"/>
  <c r="H8" i="10" s="1"/>
  <c r="G15" i="57"/>
  <c r="G19" i="57"/>
  <c r="G16" i="57"/>
  <c r="G14" i="56"/>
  <c r="J8" i="56"/>
  <c r="G12" i="56" s="1"/>
  <c r="AA6" i="56"/>
  <c r="I8" i="56"/>
  <c r="I8" i="55"/>
  <c r="G13" i="55" s="1"/>
  <c r="AA6" i="55"/>
  <c r="G14" i="55"/>
  <c r="J8" i="55"/>
  <c r="G12" i="55" s="1"/>
  <c r="AB6" i="55"/>
  <c r="Y6" i="55"/>
  <c r="G17" i="55" s="1"/>
  <c r="F7" i="10" s="1"/>
  <c r="W10" i="39"/>
  <c r="U10" i="39"/>
  <c r="V10" i="39"/>
  <c r="AD6" i="39" s="1"/>
  <c r="X10" i="39"/>
  <c r="Y6" i="39" s="1"/>
  <c r="G19" i="39" s="1"/>
  <c r="E7" i="10" s="1"/>
  <c r="E10" i="10" l="1"/>
  <c r="I10" i="39"/>
  <c r="G15" i="39" s="1"/>
  <c r="AA6" i="62"/>
  <c r="I10" i="62"/>
  <c r="G16" i="62"/>
  <c r="J10" i="62"/>
  <c r="G14" i="62" s="1"/>
  <c r="G15" i="61"/>
  <c r="G21" i="61" s="1"/>
  <c r="AE6" i="61"/>
  <c r="AF6" i="61" s="1"/>
  <c r="G20" i="61" s="1"/>
  <c r="K8" i="10" s="1"/>
  <c r="G18" i="61"/>
  <c r="G17" i="61"/>
  <c r="G18" i="60"/>
  <c r="G17" i="60"/>
  <c r="G15" i="60"/>
  <c r="G21" i="60" s="1"/>
  <c r="AE6" i="60"/>
  <c r="AF6" i="60" s="1"/>
  <c r="G20" i="60" s="1"/>
  <c r="J8" i="10" s="1"/>
  <c r="AE6" i="58"/>
  <c r="AF6" i="58" s="1"/>
  <c r="G19" i="58" s="1"/>
  <c r="I8" i="10" s="1"/>
  <c r="G20" i="58"/>
  <c r="G16" i="58"/>
  <c r="G17" i="58"/>
  <c r="G13" i="56"/>
  <c r="G19" i="56" s="1"/>
  <c r="AE6" i="56"/>
  <c r="AF6" i="56" s="1"/>
  <c r="G18" i="56" s="1"/>
  <c r="G8" i="10" s="1"/>
  <c r="G16" i="56"/>
  <c r="G15" i="56"/>
  <c r="AE6" i="55"/>
  <c r="AF6" i="55" s="1"/>
  <c r="G18" i="55" s="1"/>
  <c r="F8" i="10" s="1"/>
  <c r="G19" i="55"/>
  <c r="G15" i="55"/>
  <c r="G16" i="55"/>
  <c r="G16" i="39"/>
  <c r="AB6" i="39"/>
  <c r="G18" i="62" l="1"/>
  <c r="G17" i="62"/>
  <c r="G15" i="62"/>
  <c r="G21" i="62" s="1"/>
  <c r="AE6" i="62"/>
  <c r="AF6" i="62" s="1"/>
  <c r="G20" i="62" s="1"/>
  <c r="L8" i="10" s="1"/>
  <c r="G21" i="39"/>
  <c r="G18" i="39"/>
  <c r="G17" i="39"/>
  <c r="AE6" i="39"/>
  <c r="AF6" i="39" s="1"/>
  <c r="G20" i="39" s="1"/>
  <c r="E8" i="10" s="1"/>
  <c r="E11" i="10" l="1"/>
  <c r="K10" i="39"/>
  <c r="O10" i="39" l="1"/>
  <c r="P6" i="39" l="1"/>
  <c r="M6" i="39"/>
  <c r="P7" i="39"/>
  <c r="P9" i="39"/>
  <c r="P8" i="39"/>
  <c r="J10" i="39" l="1"/>
  <c r="G14" i="39" s="1"/>
  <c r="P10" i="39"/>
  <c r="R8" i="10" l="1"/>
  <c r="F59" i="7" l="1"/>
  <c r="N30" i="7"/>
  <c r="N31" i="7"/>
  <c r="N32" i="7"/>
  <c r="N33" i="7"/>
  <c r="N34" i="7"/>
  <c r="N35" i="7"/>
  <c r="N36" i="7"/>
  <c r="N37" i="7"/>
  <c r="N38" i="7"/>
  <c r="N39" i="7"/>
  <c r="N29" i="7"/>
  <c r="M30" i="7"/>
  <c r="M31" i="7"/>
  <c r="M32" i="7"/>
  <c r="M33" i="7"/>
  <c r="M34" i="7"/>
  <c r="M35" i="7"/>
  <c r="M36" i="7"/>
  <c r="M37" i="7"/>
  <c r="M38" i="7"/>
  <c r="M39" i="7"/>
  <c r="M29" i="7"/>
  <c r="L30" i="7"/>
  <c r="L31" i="7"/>
  <c r="L32" i="7"/>
  <c r="L33" i="7"/>
  <c r="L34" i="7"/>
  <c r="L35" i="7"/>
  <c r="L36" i="7"/>
  <c r="L29" i="7"/>
  <c r="AM206" i="9"/>
  <c r="AM205" i="9"/>
  <c r="AM206" i="8"/>
  <c r="AM205" i="8"/>
  <c r="AM204" i="8"/>
  <c r="L37" i="7"/>
  <c r="L38" i="7"/>
  <c r="AL205" i="9"/>
  <c r="H28" i="7"/>
  <c r="H30" i="7"/>
  <c r="H31" i="7"/>
  <c r="H32" i="7"/>
  <c r="H33" i="7"/>
  <c r="H34" i="7"/>
  <c r="H35" i="7"/>
  <c r="H36" i="7"/>
  <c r="H37" i="7"/>
  <c r="H38" i="7"/>
  <c r="H39" i="7"/>
  <c r="H29" i="7"/>
  <c r="AL204" i="9"/>
  <c r="AL206" i="9"/>
  <c r="G30" i="7"/>
  <c r="G31" i="7"/>
  <c r="G32" i="7"/>
  <c r="G33" i="7"/>
  <c r="G34" i="7"/>
  <c r="G35" i="7"/>
  <c r="G36" i="7"/>
  <c r="G37" i="7"/>
  <c r="G38" i="7"/>
  <c r="G39" i="7"/>
  <c r="G29" i="7"/>
  <c r="AL206" i="8"/>
  <c r="AL205" i="8"/>
  <c r="AL204" i="8"/>
  <c r="F30" i="7"/>
  <c r="F31" i="7"/>
  <c r="F32" i="7"/>
  <c r="F33" i="7"/>
  <c r="F34" i="7"/>
  <c r="F35" i="7"/>
  <c r="F36" i="7"/>
  <c r="F38" i="7"/>
  <c r="F37" i="7"/>
  <c r="F29" i="7"/>
  <c r="M59" i="7"/>
  <c r="N59" i="7"/>
  <c r="L59" i="7"/>
  <c r="M58" i="7"/>
  <c r="N58" i="7"/>
  <c r="O58" i="7"/>
  <c r="L58" i="7"/>
  <c r="N24" i="7"/>
  <c r="M24" i="7"/>
  <c r="L24" i="7"/>
  <c r="N23" i="7"/>
  <c r="M23" i="7"/>
  <c r="N22" i="7"/>
  <c r="M22" i="7"/>
  <c r="N21" i="7"/>
  <c r="M21" i="7"/>
  <c r="AI29" i="9"/>
  <c r="AH29" i="9"/>
  <c r="AI29" i="8"/>
  <c r="AH29" i="8"/>
  <c r="N20" i="7"/>
  <c r="M20" i="7"/>
  <c r="N19" i="7"/>
  <c r="M19" i="7"/>
  <c r="N18" i="7"/>
  <c r="M18" i="7"/>
  <c r="N17" i="7"/>
  <c r="M17" i="7"/>
  <c r="L17" i="7"/>
  <c r="N16" i="7"/>
  <c r="M16" i="7"/>
  <c r="L16" i="7"/>
  <c r="N15" i="7"/>
  <c r="M15" i="7"/>
  <c r="L15" i="7"/>
  <c r="N12" i="7"/>
  <c r="M12" i="7"/>
  <c r="N11" i="7"/>
  <c r="M11" i="7"/>
  <c r="N10" i="7"/>
  <c r="M10" i="7"/>
  <c r="N9" i="7"/>
  <c r="M9" i="7"/>
  <c r="S23" i="9"/>
  <c r="M8" i="7"/>
  <c r="S29" i="8"/>
  <c r="P28" i="7"/>
  <c r="N28" i="7"/>
  <c r="M28" i="7"/>
  <c r="L28" i="7"/>
  <c r="P27" i="7"/>
  <c r="P26" i="7"/>
  <c r="P25" i="7"/>
  <c r="G58" i="7"/>
  <c r="H58" i="7"/>
  <c r="I58" i="7"/>
  <c r="F58" i="7"/>
  <c r="P38" i="7" l="1"/>
  <c r="J37" i="7"/>
  <c r="P30" i="7"/>
  <c r="J29" i="7"/>
  <c r="J35" i="7"/>
  <c r="J34" i="7"/>
  <c r="P33" i="7"/>
  <c r="J38" i="7"/>
  <c r="J32" i="7"/>
  <c r="J33" i="7"/>
  <c r="P32" i="7"/>
  <c r="J30" i="7"/>
  <c r="J31" i="7"/>
  <c r="J36" i="7"/>
  <c r="P34" i="7"/>
  <c r="P37" i="7"/>
  <c r="P36" i="7"/>
  <c r="P35" i="7"/>
  <c r="P29" i="7"/>
  <c r="P31" i="7"/>
  <c r="P15" i="7"/>
  <c r="P16" i="7"/>
  <c r="P24" i="7"/>
  <c r="P17" i="7"/>
  <c r="D55" i="7"/>
  <c r="D56" i="7"/>
  <c r="D57" i="7"/>
  <c r="D58" i="7"/>
  <c r="D59" i="7"/>
  <c r="J27" i="7"/>
  <c r="J25" i="7"/>
  <c r="J26" i="7"/>
  <c r="G28" i="7"/>
  <c r="F28" i="7"/>
  <c r="H24" i="7"/>
  <c r="G24" i="7"/>
  <c r="F24" i="7"/>
  <c r="H17" i="7"/>
  <c r="H16" i="7"/>
  <c r="G17" i="7"/>
  <c r="G16" i="7"/>
  <c r="F17" i="7"/>
  <c r="F16" i="7"/>
  <c r="D17" i="7"/>
  <c r="D49" i="7" s="1"/>
  <c r="D16" i="7"/>
  <c r="D48" i="7" s="1"/>
  <c r="O5" i="7"/>
  <c r="L3" i="7"/>
  <c r="H15" i="7"/>
  <c r="G15" i="7"/>
  <c r="F15" i="7"/>
  <c r="D15" i="7"/>
  <c r="D47" i="7" s="1"/>
  <c r="D22" i="7"/>
  <c r="D54" i="7" s="1"/>
  <c r="D18" i="7"/>
  <c r="D50" i="7" s="1"/>
  <c r="D21" i="7"/>
  <c r="D53" i="7" s="1"/>
  <c r="D20" i="7"/>
  <c r="D52" i="7" s="1"/>
  <c r="H5" i="7"/>
  <c r="N5" i="7" s="1"/>
  <c r="G5" i="7"/>
  <c r="M5" i="7" s="1"/>
  <c r="F5" i="7"/>
  <c r="L5" i="7" s="1"/>
  <c r="H10" i="7"/>
  <c r="S74" i="9"/>
  <c r="S73" i="9"/>
  <c r="W73" i="9" s="1"/>
  <c r="Y73" i="9" s="1"/>
  <c r="S70" i="9"/>
  <c r="W70" i="9" s="1"/>
  <c r="Y70" i="9" s="1"/>
  <c r="S13" i="9"/>
  <c r="W13" i="9" s="1"/>
  <c r="Y13" i="9" s="1"/>
  <c r="AG13" i="9" s="1"/>
  <c r="AL13" i="9" s="1"/>
  <c r="S17" i="9"/>
  <c r="S16" i="9"/>
  <c r="S11" i="9"/>
  <c r="W11" i="9" s="1"/>
  <c r="Y11" i="9" s="1"/>
  <c r="AG11" i="9" s="1"/>
  <c r="AJ217" i="9"/>
  <c r="AJ213" i="9"/>
  <c r="AJ209" i="9"/>
  <c r="AV189" i="9"/>
  <c r="AU189" i="9"/>
  <c r="AT189" i="9"/>
  <c r="AS189" i="9"/>
  <c r="AR189" i="9"/>
  <c r="AQ189" i="9"/>
  <c r="AP189" i="9"/>
  <c r="AO189" i="9"/>
  <c r="AN189" i="9"/>
  <c r="AM189" i="9"/>
  <c r="N13" i="7" s="1"/>
  <c r="AL189" i="9"/>
  <c r="H13" i="7" s="1"/>
  <c r="AV186" i="9"/>
  <c r="AU186" i="9"/>
  <c r="AT186" i="9"/>
  <c r="AS186" i="9"/>
  <c r="AR186" i="9"/>
  <c r="AQ186" i="9"/>
  <c r="AP186" i="9"/>
  <c r="AO186" i="9"/>
  <c r="AN186" i="9"/>
  <c r="AM186" i="9"/>
  <c r="AL186" i="9"/>
  <c r="AV181" i="9"/>
  <c r="AU181" i="9"/>
  <c r="AT181" i="9"/>
  <c r="AS181" i="9"/>
  <c r="AR181" i="9"/>
  <c r="AQ181" i="9"/>
  <c r="AP181" i="9"/>
  <c r="AO181" i="9"/>
  <c r="AN181" i="9"/>
  <c r="AM181" i="9"/>
  <c r="AL181" i="9"/>
  <c r="W172" i="9"/>
  <c r="Y172" i="9" s="1"/>
  <c r="U172" i="9"/>
  <c r="T172" i="9"/>
  <c r="Q172" i="9"/>
  <c r="S171" i="9"/>
  <c r="U171" i="9" s="1"/>
  <c r="Q171" i="9"/>
  <c r="S170" i="9"/>
  <c r="U170" i="9" s="1"/>
  <c r="W169" i="9"/>
  <c r="Y169" i="9" s="1"/>
  <c r="U169" i="9"/>
  <c r="T169" i="9"/>
  <c r="S168" i="9"/>
  <c r="U168" i="9" s="1"/>
  <c r="W167" i="9"/>
  <c r="Y167" i="9" s="1"/>
  <c r="U167" i="9"/>
  <c r="T167" i="9"/>
  <c r="S166" i="9"/>
  <c r="W166" i="9" s="1"/>
  <c r="Y166" i="9" s="1"/>
  <c r="W165" i="9"/>
  <c r="Y165" i="9" s="1"/>
  <c r="U165" i="9"/>
  <c r="T165" i="9"/>
  <c r="Y164" i="9"/>
  <c r="AG164" i="9" s="1"/>
  <c r="W164" i="9"/>
  <c r="U164" i="9"/>
  <c r="T164" i="9"/>
  <c r="Q164" i="9"/>
  <c r="W163" i="9"/>
  <c r="Y163" i="9" s="1"/>
  <c r="U163" i="9"/>
  <c r="T163" i="9"/>
  <c r="Q163" i="9"/>
  <c r="S162" i="9"/>
  <c r="S173" i="9" s="1"/>
  <c r="Q162" i="9"/>
  <c r="W161" i="9"/>
  <c r="Y161" i="9" s="1"/>
  <c r="U161" i="9"/>
  <c r="T161" i="9"/>
  <c r="Q161" i="9"/>
  <c r="W157" i="9"/>
  <c r="Y157" i="9" s="1"/>
  <c r="U157" i="9"/>
  <c r="T157" i="9"/>
  <c r="Q157" i="9"/>
  <c r="S156" i="9"/>
  <c r="W156" i="9" s="1"/>
  <c r="Y156" i="9" s="1"/>
  <c r="AG156" i="9" s="1"/>
  <c r="Q156" i="9"/>
  <c r="S155" i="9"/>
  <c r="W155" i="9" s="1"/>
  <c r="Y155" i="9" s="1"/>
  <c r="Y154" i="9"/>
  <c r="W154" i="9"/>
  <c r="U154" i="9"/>
  <c r="T154" i="9"/>
  <c r="S153" i="9"/>
  <c r="U153" i="9" s="1"/>
  <c r="W152" i="9"/>
  <c r="Y152" i="9" s="1"/>
  <c r="U152" i="9"/>
  <c r="T152" i="9"/>
  <c r="S151" i="9"/>
  <c r="W150" i="9"/>
  <c r="Y150" i="9" s="1"/>
  <c r="AG150" i="9" s="1"/>
  <c r="U150" i="9"/>
  <c r="T150" i="9"/>
  <c r="Y149" i="9"/>
  <c r="W149" i="9"/>
  <c r="U149" i="9"/>
  <c r="T149" i="9"/>
  <c r="Q149" i="9"/>
  <c r="W148" i="9"/>
  <c r="Y148" i="9" s="1"/>
  <c r="U148" i="9"/>
  <c r="T148" i="9"/>
  <c r="Q148" i="9"/>
  <c r="S147" i="9"/>
  <c r="U147" i="9" s="1"/>
  <c r="Q147" i="9"/>
  <c r="W146" i="9"/>
  <c r="Y146" i="9" s="1"/>
  <c r="AG146" i="9" s="1"/>
  <c r="U146" i="9"/>
  <c r="T146" i="9"/>
  <c r="Q146" i="9"/>
  <c r="Y142" i="9"/>
  <c r="AG142" i="9" s="1"/>
  <c r="W142" i="9"/>
  <c r="U142" i="9"/>
  <c r="T142" i="9"/>
  <c r="Q142" i="9"/>
  <c r="Y141" i="9"/>
  <c r="AG141" i="9" s="1"/>
  <c r="W141" i="9"/>
  <c r="U141" i="9"/>
  <c r="T141" i="9"/>
  <c r="Q141" i="9"/>
  <c r="W140" i="9"/>
  <c r="Y140" i="9" s="1"/>
  <c r="AG140" i="9" s="1"/>
  <c r="T140" i="9"/>
  <c r="S140" i="9"/>
  <c r="U140" i="9" s="1"/>
  <c r="S139" i="9"/>
  <c r="U139" i="9" s="1"/>
  <c r="W138" i="9"/>
  <c r="Y138" i="9" s="1"/>
  <c r="S138" i="9"/>
  <c r="U138" i="9" s="1"/>
  <c r="Y137" i="9"/>
  <c r="AG137" i="9" s="1"/>
  <c r="AK137" i="9" s="1"/>
  <c r="W137" i="9"/>
  <c r="U137" i="9"/>
  <c r="T137" i="9"/>
  <c r="S136" i="9"/>
  <c r="U136" i="9" s="1"/>
  <c r="Y135" i="9"/>
  <c r="AG135" i="9" s="1"/>
  <c r="AJ135" i="9" s="1"/>
  <c r="W135" i="9"/>
  <c r="U135" i="9"/>
  <c r="T135" i="9"/>
  <c r="S134" i="9"/>
  <c r="U134" i="9" s="1"/>
  <c r="Q134" i="9"/>
  <c r="AK133" i="9"/>
  <c r="W133" i="9"/>
  <c r="Y133" i="9" s="1"/>
  <c r="AG133" i="9" s="1"/>
  <c r="U133" i="9"/>
  <c r="T133" i="9"/>
  <c r="Q133" i="9"/>
  <c r="W132" i="9"/>
  <c r="Y132" i="9" s="1"/>
  <c r="U132" i="9"/>
  <c r="T132" i="9"/>
  <c r="Q132" i="9"/>
  <c r="Y131" i="9"/>
  <c r="W131" i="9"/>
  <c r="U131" i="9"/>
  <c r="T131" i="9"/>
  <c r="Q131" i="9"/>
  <c r="W127" i="9"/>
  <c r="Y127" i="9" s="1"/>
  <c r="U127" i="9"/>
  <c r="T127" i="9"/>
  <c r="Q127" i="9"/>
  <c r="T126" i="9"/>
  <c r="S126" i="9"/>
  <c r="Q126" i="9"/>
  <c r="S125" i="9"/>
  <c r="AG124" i="9"/>
  <c r="AJ124" i="9" s="1"/>
  <c r="W124" i="9"/>
  <c r="Y124" i="9" s="1"/>
  <c r="U124" i="9"/>
  <c r="T124" i="9"/>
  <c r="U123" i="9"/>
  <c r="S123" i="9"/>
  <c r="T123" i="9" s="1"/>
  <c r="W122" i="9"/>
  <c r="Y122" i="9" s="1"/>
  <c r="U122" i="9"/>
  <c r="T122" i="9"/>
  <c r="S122" i="9"/>
  <c r="S121" i="9"/>
  <c r="AG120" i="9"/>
  <c r="U120" i="9"/>
  <c r="S120" i="9"/>
  <c r="W120" i="9" s="1"/>
  <c r="Y120" i="9" s="1"/>
  <c r="W119" i="9"/>
  <c r="Y119" i="9" s="1"/>
  <c r="AG119" i="9" s="1"/>
  <c r="U119" i="9"/>
  <c r="T119" i="9"/>
  <c r="Q119" i="9"/>
  <c r="Y118" i="9"/>
  <c r="W118" i="9"/>
  <c r="U118" i="9"/>
  <c r="T118" i="9"/>
  <c r="Q118" i="9"/>
  <c r="S117" i="9"/>
  <c r="W117" i="9" s="1"/>
  <c r="Q117" i="9"/>
  <c r="Y116" i="9"/>
  <c r="W116" i="9"/>
  <c r="U116" i="9"/>
  <c r="T116" i="9"/>
  <c r="Q116" i="9"/>
  <c r="AG112" i="9"/>
  <c r="W112" i="9"/>
  <c r="Y112" i="9" s="1"/>
  <c r="U112" i="9"/>
  <c r="T112" i="9"/>
  <c r="Q112" i="9"/>
  <c r="S111" i="9"/>
  <c r="W111" i="9" s="1"/>
  <c r="Y111" i="9" s="1"/>
  <c r="Q111" i="9"/>
  <c r="U110" i="9"/>
  <c r="T110" i="9"/>
  <c r="S110" i="9"/>
  <c r="W110" i="9" s="1"/>
  <c r="Y110" i="9" s="1"/>
  <c r="AG110" i="9" s="1"/>
  <c r="Y109" i="9"/>
  <c r="W109" i="9"/>
  <c r="U109" i="9"/>
  <c r="T109" i="9"/>
  <c r="AG108" i="9"/>
  <c r="W108" i="9"/>
  <c r="Y108" i="9" s="1"/>
  <c r="U108" i="9"/>
  <c r="T108" i="9"/>
  <c r="Y107" i="9"/>
  <c r="W107" i="9"/>
  <c r="U107" i="9"/>
  <c r="T107" i="9"/>
  <c r="U106" i="9"/>
  <c r="S106" i="9"/>
  <c r="AG105" i="9"/>
  <c r="U105" i="9"/>
  <c r="T105" i="9"/>
  <c r="S105" i="9"/>
  <c r="W105" i="9" s="1"/>
  <c r="Y105" i="9" s="1"/>
  <c r="S104" i="9"/>
  <c r="T104" i="9" s="1"/>
  <c r="Q104" i="9"/>
  <c r="Y103" i="9"/>
  <c r="AG103" i="9" s="1"/>
  <c r="AL103" i="9" s="1"/>
  <c r="W103" i="9"/>
  <c r="U103" i="9"/>
  <c r="T103" i="9"/>
  <c r="Q103" i="9"/>
  <c r="S102" i="9"/>
  <c r="W102" i="9" s="1"/>
  <c r="Y102" i="9" s="1"/>
  <c r="AG102" i="9" s="1"/>
  <c r="AJ102" i="9" s="1"/>
  <c r="Q102" i="9"/>
  <c r="Y101" i="9"/>
  <c r="W101" i="9"/>
  <c r="U101" i="9"/>
  <c r="T101" i="9"/>
  <c r="Q101" i="9"/>
  <c r="S95" i="9"/>
  <c r="U95" i="9" s="1"/>
  <c r="Q95" i="9"/>
  <c r="U94" i="9"/>
  <c r="S94" i="9"/>
  <c r="Q94" i="9"/>
  <c r="S93" i="9"/>
  <c r="AL92" i="9"/>
  <c r="W92" i="9"/>
  <c r="Y92" i="9" s="1"/>
  <c r="AG92" i="9" s="1"/>
  <c r="U92" i="9"/>
  <c r="T92" i="9"/>
  <c r="S91" i="9"/>
  <c r="W90" i="9"/>
  <c r="Y90" i="9" s="1"/>
  <c r="U90" i="9"/>
  <c r="T90" i="9"/>
  <c r="Y89" i="9"/>
  <c r="W89" i="9"/>
  <c r="U89" i="9"/>
  <c r="T89" i="9"/>
  <c r="S88" i="9"/>
  <c r="W87" i="9"/>
  <c r="Y87" i="9" s="1"/>
  <c r="U87" i="9"/>
  <c r="T87" i="9"/>
  <c r="Q87" i="9"/>
  <c r="S86" i="9"/>
  <c r="T86" i="9" s="1"/>
  <c r="Q86" i="9"/>
  <c r="T85" i="9"/>
  <c r="S85" i="9"/>
  <c r="Q85" i="9"/>
  <c r="W84" i="9"/>
  <c r="Y84" i="9" s="1"/>
  <c r="AG84" i="9" s="1"/>
  <c r="U84" i="9"/>
  <c r="T84" i="9"/>
  <c r="Q84" i="9"/>
  <c r="W80" i="9"/>
  <c r="Y80" i="9" s="1"/>
  <c r="AG80" i="9" s="1"/>
  <c r="AL80" i="9" s="1"/>
  <c r="U80" i="9"/>
  <c r="T80" i="9"/>
  <c r="Q80" i="9"/>
  <c r="S79" i="9"/>
  <c r="Q79" i="9"/>
  <c r="S78" i="9"/>
  <c r="W77" i="9"/>
  <c r="Y77" i="9" s="1"/>
  <c r="AG77" i="9" s="1"/>
  <c r="U77" i="9"/>
  <c r="T77" i="9"/>
  <c r="U76" i="9"/>
  <c r="T76" i="9"/>
  <c r="W75" i="9"/>
  <c r="Y75" i="9" s="1"/>
  <c r="U75" i="9"/>
  <c r="T75" i="9"/>
  <c r="T74" i="9"/>
  <c r="W74" i="9"/>
  <c r="Y74" i="9" s="1"/>
  <c r="U73" i="9"/>
  <c r="W72" i="9"/>
  <c r="Y72" i="9" s="1"/>
  <c r="AG72" i="9" s="1"/>
  <c r="U72" i="9"/>
  <c r="T72" i="9"/>
  <c r="Q72" i="9"/>
  <c r="W71" i="9"/>
  <c r="Y71" i="9" s="1"/>
  <c r="AG71" i="9" s="1"/>
  <c r="U71" i="9"/>
  <c r="T71" i="9"/>
  <c r="Q71" i="9"/>
  <c r="T70" i="9"/>
  <c r="U70" i="9"/>
  <c r="Q70" i="9"/>
  <c r="W69" i="9"/>
  <c r="U69" i="9"/>
  <c r="T69" i="9"/>
  <c r="Q69" i="9"/>
  <c r="AG65" i="9"/>
  <c r="AL65" i="9" s="1"/>
  <c r="AM65" i="9" s="1"/>
  <c r="W65" i="9"/>
  <c r="Y65" i="9" s="1"/>
  <c r="U65" i="9"/>
  <c r="T65" i="9"/>
  <c r="Q65" i="9"/>
  <c r="S64" i="9"/>
  <c r="Q64" i="9"/>
  <c r="S63" i="9"/>
  <c r="W62" i="9"/>
  <c r="Y62" i="9" s="1"/>
  <c r="AG62" i="9" s="1"/>
  <c r="U62" i="9"/>
  <c r="T62" i="9"/>
  <c r="W61" i="9"/>
  <c r="Y61" i="9" s="1"/>
  <c r="U61" i="9"/>
  <c r="T61" i="9"/>
  <c r="AM60" i="9"/>
  <c r="AK60" i="9"/>
  <c r="AJ60" i="9"/>
  <c r="Y60" i="9"/>
  <c r="AG60" i="9" s="1"/>
  <c r="AL60" i="9" s="1"/>
  <c r="AN60" i="9" s="1"/>
  <c r="AO60" i="9" s="1"/>
  <c r="AP60" i="9" s="1"/>
  <c r="W60" i="9"/>
  <c r="U60" i="9"/>
  <c r="T60" i="9"/>
  <c r="W59" i="9"/>
  <c r="Y59" i="9" s="1"/>
  <c r="U59" i="9"/>
  <c r="T59" i="9"/>
  <c r="S58" i="9"/>
  <c r="W58" i="9" s="1"/>
  <c r="Y58" i="9" s="1"/>
  <c r="AG58" i="9" s="1"/>
  <c r="W57" i="9"/>
  <c r="Y57" i="9" s="1"/>
  <c r="U57" i="9"/>
  <c r="T57" i="9"/>
  <c r="Q57" i="9"/>
  <c r="W56" i="9"/>
  <c r="Y56" i="9" s="1"/>
  <c r="S56" i="9"/>
  <c r="T56" i="9" s="1"/>
  <c r="Q56" i="9"/>
  <c r="W55" i="9"/>
  <c r="Y55" i="9" s="1"/>
  <c r="U55" i="9"/>
  <c r="S55" i="9"/>
  <c r="T55" i="9" s="1"/>
  <c r="Q55" i="9"/>
  <c r="U54" i="9"/>
  <c r="S54" i="9"/>
  <c r="W54" i="9" s="1"/>
  <c r="Q54" i="9"/>
  <c r="W48" i="9"/>
  <c r="Y48" i="9" s="1"/>
  <c r="AG48" i="9" s="1"/>
  <c r="U48" i="9"/>
  <c r="T48" i="9"/>
  <c r="Q48" i="9"/>
  <c r="S47" i="9"/>
  <c r="Q47" i="9"/>
  <c r="U46" i="9"/>
  <c r="S46" i="9"/>
  <c r="W45" i="9"/>
  <c r="Y45" i="9" s="1"/>
  <c r="AG45" i="9" s="1"/>
  <c r="U45" i="9"/>
  <c r="T45" i="9"/>
  <c r="Y44" i="9"/>
  <c r="W44" i="9"/>
  <c r="U44" i="9"/>
  <c r="S44" i="9"/>
  <c r="T44" i="9" s="1"/>
  <c r="AG43" i="9"/>
  <c r="AJ43" i="9" s="1"/>
  <c r="W43" i="9"/>
  <c r="Y43" i="9" s="1"/>
  <c r="U43" i="9"/>
  <c r="T43" i="9"/>
  <c r="U42" i="9"/>
  <c r="T42" i="9"/>
  <c r="S42" i="9"/>
  <c r="W42" i="9" s="1"/>
  <c r="Y42" i="9" s="1"/>
  <c r="W41" i="9"/>
  <c r="Y41" i="9" s="1"/>
  <c r="AG41" i="9" s="1"/>
  <c r="S41" i="9"/>
  <c r="U41" i="9" s="1"/>
  <c r="W40" i="9"/>
  <c r="Y40" i="9" s="1"/>
  <c r="AG40" i="9" s="1"/>
  <c r="U40" i="9"/>
  <c r="T40" i="9"/>
  <c r="Q40" i="9"/>
  <c r="W39" i="9"/>
  <c r="Y39" i="9" s="1"/>
  <c r="AG39" i="9" s="1"/>
  <c r="U39" i="9"/>
  <c r="T39" i="9"/>
  <c r="Q39" i="9"/>
  <c r="S38" i="9"/>
  <c r="U38" i="9" s="1"/>
  <c r="Q38" i="9"/>
  <c r="W37" i="9"/>
  <c r="U37" i="9"/>
  <c r="T37" i="9"/>
  <c r="Q37" i="9"/>
  <c r="W33" i="9"/>
  <c r="Y33" i="9" s="1"/>
  <c r="AG33" i="9" s="1"/>
  <c r="U33" i="9"/>
  <c r="T33" i="9"/>
  <c r="Q33" i="9"/>
  <c r="T32" i="9"/>
  <c r="S32" i="9"/>
  <c r="W32" i="9" s="1"/>
  <c r="Y32" i="9" s="1"/>
  <c r="AG32" i="9" s="1"/>
  <c r="Q32" i="9"/>
  <c r="AG31" i="9"/>
  <c r="AK31" i="9" s="1"/>
  <c r="T31" i="9"/>
  <c r="S31" i="9"/>
  <c r="W31" i="9" s="1"/>
  <c r="Y31" i="9" s="1"/>
  <c r="Y30" i="9"/>
  <c r="AG30" i="9" s="1"/>
  <c r="AJ30" i="9" s="1"/>
  <c r="W30" i="9"/>
  <c r="U30" i="9"/>
  <c r="T30" i="9"/>
  <c r="W29" i="9"/>
  <c r="Y29" i="9" s="1"/>
  <c r="AG29" i="9" s="1"/>
  <c r="T29" i="9"/>
  <c r="S29" i="9"/>
  <c r="U29" i="9" s="1"/>
  <c r="W28" i="9"/>
  <c r="Y28" i="9" s="1"/>
  <c r="U28" i="9"/>
  <c r="T28" i="9"/>
  <c r="S27" i="9"/>
  <c r="W26" i="9"/>
  <c r="Y26" i="9" s="1"/>
  <c r="AG26" i="9" s="1"/>
  <c r="U26" i="9"/>
  <c r="T26" i="9"/>
  <c r="Y25" i="9"/>
  <c r="AG25" i="9" s="1"/>
  <c r="W25" i="9"/>
  <c r="U25" i="9"/>
  <c r="T25" i="9"/>
  <c r="Q25" i="9"/>
  <c r="W24" i="9"/>
  <c r="Y24" i="9" s="1"/>
  <c r="U24" i="9"/>
  <c r="T24" i="9"/>
  <c r="Q24" i="9"/>
  <c r="U23" i="9"/>
  <c r="Q23" i="9"/>
  <c r="W22" i="9"/>
  <c r="U22" i="9"/>
  <c r="T22" i="9"/>
  <c r="Q22" i="9"/>
  <c r="W18" i="9"/>
  <c r="Y18" i="9" s="1"/>
  <c r="AG18" i="9" s="1"/>
  <c r="U18" i="9"/>
  <c r="T18" i="9"/>
  <c r="Q18" i="9"/>
  <c r="Q17" i="9"/>
  <c r="Y15" i="9"/>
  <c r="AG15" i="9" s="1"/>
  <c r="W15" i="9"/>
  <c r="U15" i="9"/>
  <c r="T15" i="9"/>
  <c r="W14" i="9"/>
  <c r="Y14" i="9" s="1"/>
  <c r="U14" i="9"/>
  <c r="T14" i="9"/>
  <c r="U13" i="9"/>
  <c r="T13" i="9"/>
  <c r="W12" i="9"/>
  <c r="Y12" i="9" s="1"/>
  <c r="AG12" i="9" s="1"/>
  <c r="U12" i="9"/>
  <c r="T12" i="9"/>
  <c r="W10" i="9"/>
  <c r="Y10" i="9" s="1"/>
  <c r="U10" i="9"/>
  <c r="T10" i="9"/>
  <c r="Q10" i="9"/>
  <c r="W9" i="9"/>
  <c r="Y9" i="9" s="1"/>
  <c r="U9" i="9"/>
  <c r="T9" i="9"/>
  <c r="Q9" i="9"/>
  <c r="AG8" i="9"/>
  <c r="AJ8" i="9" s="1"/>
  <c r="W8" i="9"/>
  <c r="Y8" i="9" s="1"/>
  <c r="U8" i="9"/>
  <c r="T8" i="9"/>
  <c r="S8" i="9"/>
  <c r="Q8" i="9"/>
  <c r="W7" i="9"/>
  <c r="Y7" i="9" s="1"/>
  <c r="U7" i="9"/>
  <c r="T7" i="9"/>
  <c r="Q7" i="9"/>
  <c r="B7" i="9"/>
  <c r="AL178" i="9" s="1"/>
  <c r="G13" i="7"/>
  <c r="D6" i="7"/>
  <c r="D43" i="7" s="1"/>
  <c r="D7" i="7"/>
  <c r="D44" i="7" s="1"/>
  <c r="D8" i="7"/>
  <c r="D9" i="7"/>
  <c r="D10" i="7"/>
  <c r="D11" i="7"/>
  <c r="D45" i="7" s="1"/>
  <c r="D12" i="7"/>
  <c r="D13" i="7"/>
  <c r="D14" i="7"/>
  <c r="D46" i="7" s="1"/>
  <c r="D19" i="7"/>
  <c r="D51" i="7" s="1"/>
  <c r="D23" i="7"/>
  <c r="D4" i="7"/>
  <c r="F3" i="7"/>
  <c r="B7" i="8"/>
  <c r="AL178" i="8" s="1"/>
  <c r="S140" i="8"/>
  <c r="U140" i="8" s="1"/>
  <c r="S139" i="8"/>
  <c r="W139" i="8" s="1"/>
  <c r="Y139" i="8" s="1"/>
  <c r="S122" i="8"/>
  <c r="W122" i="8" s="1"/>
  <c r="Y122" i="8" s="1"/>
  <c r="S104" i="8"/>
  <c r="W104" i="8" s="1"/>
  <c r="Y104" i="8" s="1"/>
  <c r="S110" i="8"/>
  <c r="S95" i="8"/>
  <c r="U95" i="8"/>
  <c r="S63" i="8"/>
  <c r="T63" i="8" s="1"/>
  <c r="S64" i="8"/>
  <c r="S54" i="8"/>
  <c r="S55" i="8"/>
  <c r="U55" i="8" s="1"/>
  <c r="S56" i="8"/>
  <c r="U56" i="8" s="1"/>
  <c r="S44" i="8"/>
  <c r="S42" i="8"/>
  <c r="T42" i="8" s="1"/>
  <c r="S31" i="8"/>
  <c r="S17" i="8"/>
  <c r="T17" i="8" s="1"/>
  <c r="S16" i="8"/>
  <c r="S11" i="8"/>
  <c r="T11" i="8" s="1"/>
  <c r="S8" i="8"/>
  <c r="AJ217" i="8"/>
  <c r="AJ213" i="8"/>
  <c r="AJ209" i="8"/>
  <c r="AV189" i="8"/>
  <c r="AU189" i="8"/>
  <c r="AT189" i="8"/>
  <c r="AS189" i="8"/>
  <c r="AR189" i="8"/>
  <c r="AQ189" i="8"/>
  <c r="AP189" i="8"/>
  <c r="AO189" i="8"/>
  <c r="AN189" i="8"/>
  <c r="AM189" i="8"/>
  <c r="M13" i="7" s="1"/>
  <c r="AL189" i="8"/>
  <c r="AV186" i="8"/>
  <c r="AU186" i="8"/>
  <c r="AT186" i="8"/>
  <c r="AS186" i="8"/>
  <c r="AR186" i="8"/>
  <c r="AQ186" i="8"/>
  <c r="AP186" i="8"/>
  <c r="AO186" i="8"/>
  <c r="AN186" i="8"/>
  <c r="AM186" i="8"/>
  <c r="AL186" i="8"/>
  <c r="G10" i="7" s="1"/>
  <c r="AV181" i="8"/>
  <c r="AU181" i="8"/>
  <c r="AT181" i="8"/>
  <c r="AS181" i="8"/>
  <c r="AR181" i="8"/>
  <c r="AQ181" i="8"/>
  <c r="AP181" i="8"/>
  <c r="AO181" i="8"/>
  <c r="AN181" i="8"/>
  <c r="AM181" i="8"/>
  <c r="AL181" i="8"/>
  <c r="W172" i="8"/>
  <c r="Y172" i="8" s="1"/>
  <c r="AG172" i="8" s="1"/>
  <c r="AJ172" i="8" s="1"/>
  <c r="U172" i="8"/>
  <c r="T172" i="8"/>
  <c r="Q172" i="8"/>
  <c r="W171" i="8"/>
  <c r="Y171" i="8" s="1"/>
  <c r="AG171" i="8" s="1"/>
  <c r="U171" i="8"/>
  <c r="T171" i="8"/>
  <c r="S171" i="8"/>
  <c r="Q171" i="8"/>
  <c r="S170" i="8"/>
  <c r="W170" i="8" s="1"/>
  <c r="Y170" i="8" s="1"/>
  <c r="AG170" i="8" s="1"/>
  <c r="W169" i="8"/>
  <c r="Y169" i="8" s="1"/>
  <c r="U169" i="8"/>
  <c r="T169" i="8"/>
  <c r="W168" i="8"/>
  <c r="Y168" i="8" s="1"/>
  <c r="S168" i="8"/>
  <c r="U168" i="8" s="1"/>
  <c r="Y167" i="8"/>
  <c r="AG167" i="8" s="1"/>
  <c r="AJ167" i="8" s="1"/>
  <c r="W167" i="8"/>
  <c r="U167" i="8"/>
  <c r="T167" i="8"/>
  <c r="S166" i="8"/>
  <c r="W165" i="8"/>
  <c r="Y165" i="8" s="1"/>
  <c r="AG165" i="8" s="1"/>
  <c r="U165" i="8"/>
  <c r="T165" i="8"/>
  <c r="W164" i="8"/>
  <c r="Y164" i="8" s="1"/>
  <c r="AG164" i="8" s="1"/>
  <c r="U164" i="8"/>
  <c r="T164" i="8"/>
  <c r="Q164" i="8"/>
  <c r="W163" i="8"/>
  <c r="Y163" i="8" s="1"/>
  <c r="U163" i="8"/>
  <c r="T163" i="8"/>
  <c r="Q163" i="8"/>
  <c r="W162" i="8"/>
  <c r="Y162" i="8" s="1"/>
  <c r="T162" i="8"/>
  <c r="S162" i="8"/>
  <c r="U162" i="8" s="1"/>
  <c r="Q162" i="8"/>
  <c r="W161" i="8"/>
  <c r="U161" i="8"/>
  <c r="T161" i="8"/>
  <c r="Q161" i="8"/>
  <c r="W157" i="8"/>
  <c r="Y157" i="8" s="1"/>
  <c r="AG157" i="8" s="1"/>
  <c r="U157" i="8"/>
  <c r="T157" i="8"/>
  <c r="Q157" i="8"/>
  <c r="S156" i="8"/>
  <c r="Q156" i="8"/>
  <c r="S155" i="8"/>
  <c r="W154" i="8"/>
  <c r="Y154" i="8" s="1"/>
  <c r="U154" i="8"/>
  <c r="T154" i="8"/>
  <c r="W153" i="8"/>
  <c r="Y153" i="8" s="1"/>
  <c r="S153" i="8"/>
  <c r="U153" i="8" s="1"/>
  <c r="W152" i="8"/>
  <c r="Y152" i="8" s="1"/>
  <c r="U152" i="8"/>
  <c r="T152" i="8"/>
  <c r="S151" i="8"/>
  <c r="Y150" i="8"/>
  <c r="W150" i="8"/>
  <c r="U150" i="8"/>
  <c r="T150" i="8"/>
  <c r="W149" i="8"/>
  <c r="Y149" i="8" s="1"/>
  <c r="U149" i="8"/>
  <c r="T149" i="8"/>
  <c r="Q149" i="8"/>
  <c r="Y148" i="8"/>
  <c r="W148" i="8"/>
  <c r="U148" i="8"/>
  <c r="T148" i="8"/>
  <c r="Q148" i="8"/>
  <c r="U147" i="8"/>
  <c r="T147" i="8"/>
  <c r="S147" i="8"/>
  <c r="S158" i="8" s="1"/>
  <c r="Q147" i="8"/>
  <c r="W146" i="8"/>
  <c r="U146" i="8"/>
  <c r="T146" i="8"/>
  <c r="Q146" i="8"/>
  <c r="Y142" i="8"/>
  <c r="AG142" i="8" s="1"/>
  <c r="AK142" i="8" s="1"/>
  <c r="W142" i="8"/>
  <c r="U142" i="8"/>
  <c r="T142" i="8"/>
  <c r="Q142" i="8"/>
  <c r="W141" i="8"/>
  <c r="Y141" i="8" s="1"/>
  <c r="AG141" i="8" s="1"/>
  <c r="U141" i="8"/>
  <c r="T141" i="8"/>
  <c r="Q141" i="8"/>
  <c r="W140" i="8"/>
  <c r="Y140" i="8" s="1"/>
  <c r="W138" i="8"/>
  <c r="Y138" i="8" s="1"/>
  <c r="U138" i="8"/>
  <c r="S138" i="8"/>
  <c r="T138" i="8" s="1"/>
  <c r="AN137" i="8"/>
  <c r="AO137" i="8" s="1"/>
  <c r="AP137" i="8" s="1"/>
  <c r="AJ137" i="8"/>
  <c r="AG137" i="8"/>
  <c r="AL137" i="8" s="1"/>
  <c r="AM137" i="8" s="1"/>
  <c r="W137" i="8"/>
  <c r="Y137" i="8" s="1"/>
  <c r="U137" i="8"/>
  <c r="T137" i="8"/>
  <c r="S136" i="8"/>
  <c r="W135" i="8"/>
  <c r="Y135" i="8" s="1"/>
  <c r="U135" i="8"/>
  <c r="T135" i="8"/>
  <c r="W134" i="8"/>
  <c r="Y134" i="8" s="1"/>
  <c r="AG134" i="8" s="1"/>
  <c r="U134" i="8"/>
  <c r="S134" i="8"/>
  <c r="T134" i="8" s="1"/>
  <c r="Q134" i="8"/>
  <c r="W133" i="8"/>
  <c r="Y133" i="8" s="1"/>
  <c r="AG133" i="8" s="1"/>
  <c r="AL133" i="8" s="1"/>
  <c r="U133" i="8"/>
  <c r="T133" i="8"/>
  <c r="Q133" i="8"/>
  <c r="Y132" i="8"/>
  <c r="W132" i="8"/>
  <c r="U132" i="8"/>
  <c r="T132" i="8"/>
  <c r="Q132" i="8"/>
  <c r="W131" i="8"/>
  <c r="Y131" i="8" s="1"/>
  <c r="AG131" i="8" s="1"/>
  <c r="U131" i="8"/>
  <c r="T131" i="8"/>
  <c r="Q131" i="8"/>
  <c r="W127" i="8"/>
  <c r="Y127" i="8" s="1"/>
  <c r="AG127" i="8" s="1"/>
  <c r="U127" i="8"/>
  <c r="T127" i="8"/>
  <c r="Q127" i="8"/>
  <c r="W126" i="8"/>
  <c r="Y126" i="8" s="1"/>
  <c r="AG126" i="8" s="1"/>
  <c r="AL126" i="8" s="1"/>
  <c r="U126" i="8"/>
  <c r="S126" i="8"/>
  <c r="T126" i="8" s="1"/>
  <c r="Q126" i="8"/>
  <c r="W125" i="8"/>
  <c r="Y125" i="8" s="1"/>
  <c r="U125" i="8"/>
  <c r="S125" i="8"/>
  <c r="T125" i="8" s="1"/>
  <c r="W124" i="8"/>
  <c r="Y124" i="8" s="1"/>
  <c r="AG124" i="8" s="1"/>
  <c r="U124" i="8"/>
  <c r="T124" i="8"/>
  <c r="T123" i="8"/>
  <c r="S123" i="8"/>
  <c r="T122" i="8"/>
  <c r="W121" i="8"/>
  <c r="Y121" i="8" s="1"/>
  <c r="S121" i="8"/>
  <c r="U121" i="8" s="1"/>
  <c r="S120" i="8"/>
  <c r="Y119" i="8"/>
  <c r="AG119" i="8" s="1"/>
  <c r="W119" i="8"/>
  <c r="U119" i="8"/>
  <c r="T119" i="8"/>
  <c r="Q119" i="8"/>
  <c r="W118" i="8"/>
  <c r="Y118" i="8" s="1"/>
  <c r="AG118" i="8" s="1"/>
  <c r="U118" i="8"/>
  <c r="T118" i="8"/>
  <c r="Q118" i="8"/>
  <c r="U117" i="8"/>
  <c r="S117" i="8"/>
  <c r="T117" i="8" s="1"/>
  <c r="Q117" i="8"/>
  <c r="W116" i="8"/>
  <c r="Y116" i="8" s="1"/>
  <c r="U116" i="8"/>
  <c r="T116" i="8"/>
  <c r="Q116" i="8"/>
  <c r="W112" i="8"/>
  <c r="Y112" i="8" s="1"/>
  <c r="U112" i="8"/>
  <c r="T112" i="8"/>
  <c r="Q112" i="8"/>
  <c r="W111" i="8"/>
  <c r="Y111" i="8" s="1"/>
  <c r="S111" i="8"/>
  <c r="U111" i="8" s="1"/>
  <c r="Q111" i="8"/>
  <c r="W109" i="8"/>
  <c r="Y109" i="8" s="1"/>
  <c r="AG109" i="8" s="1"/>
  <c r="AK109" i="8" s="1"/>
  <c r="U109" i="8"/>
  <c r="T109" i="8"/>
  <c r="W108" i="8"/>
  <c r="Y108" i="8" s="1"/>
  <c r="AG108" i="8" s="1"/>
  <c r="AL108" i="8" s="1"/>
  <c r="U108" i="8"/>
  <c r="T108" i="8"/>
  <c r="W107" i="8"/>
  <c r="Y107" i="8" s="1"/>
  <c r="U107" i="8"/>
  <c r="T107" i="8"/>
  <c r="S106" i="8"/>
  <c r="S105" i="8"/>
  <c r="U105" i="8" s="1"/>
  <c r="Q104" i="8"/>
  <c r="W103" i="8"/>
  <c r="Y103" i="8" s="1"/>
  <c r="U103" i="8"/>
  <c r="T103" i="8"/>
  <c r="Q103" i="8"/>
  <c r="S102" i="8"/>
  <c r="T102" i="8" s="1"/>
  <c r="Q102" i="8"/>
  <c r="W101" i="8"/>
  <c r="U101" i="8"/>
  <c r="T101" i="8"/>
  <c r="Q101" i="8"/>
  <c r="Q95" i="8"/>
  <c r="S94" i="8"/>
  <c r="Q94" i="8"/>
  <c r="S93" i="8"/>
  <c r="T93" i="8" s="1"/>
  <c r="W92" i="8"/>
  <c r="Y92" i="8" s="1"/>
  <c r="AG92" i="8" s="1"/>
  <c r="U92" i="8"/>
  <c r="T92" i="8"/>
  <c r="W91" i="8"/>
  <c r="Y91" i="8" s="1"/>
  <c r="U91" i="8"/>
  <c r="S91" i="8"/>
  <c r="T91" i="8" s="1"/>
  <c r="W90" i="8"/>
  <c r="Y90" i="8" s="1"/>
  <c r="U90" i="8"/>
  <c r="T90" i="8"/>
  <c r="W89" i="8"/>
  <c r="Y89" i="8" s="1"/>
  <c r="S88" i="8"/>
  <c r="W87" i="8"/>
  <c r="Y87" i="8" s="1"/>
  <c r="AG87" i="8" s="1"/>
  <c r="U87" i="8"/>
  <c r="T87" i="8"/>
  <c r="Q87" i="8"/>
  <c r="S86" i="8"/>
  <c r="T86" i="8" s="1"/>
  <c r="Q86" i="8"/>
  <c r="S85" i="8"/>
  <c r="W85" i="8" s="1"/>
  <c r="Q85" i="8"/>
  <c r="W84" i="8"/>
  <c r="Y84" i="8" s="1"/>
  <c r="AG84" i="8" s="1"/>
  <c r="AL84" i="8" s="1"/>
  <c r="AN84" i="8" s="1"/>
  <c r="U84" i="8"/>
  <c r="T84" i="8"/>
  <c r="Q84" i="8"/>
  <c r="W80" i="8"/>
  <c r="Y80" i="8" s="1"/>
  <c r="U80" i="8"/>
  <c r="T80" i="8"/>
  <c r="Q80" i="8"/>
  <c r="W79" i="8"/>
  <c r="Y79" i="8" s="1"/>
  <c r="AG79" i="8" s="1"/>
  <c r="S79" i="8"/>
  <c r="U79" i="8" s="1"/>
  <c r="Q79" i="8"/>
  <c r="S78" i="8"/>
  <c r="W78" i="8" s="1"/>
  <c r="Y78" i="8" s="1"/>
  <c r="W77" i="8"/>
  <c r="Y77" i="8" s="1"/>
  <c r="U77" i="8"/>
  <c r="T77" i="8"/>
  <c r="Y76" i="8"/>
  <c r="U76" i="8"/>
  <c r="T76" i="8"/>
  <c r="S76" i="8"/>
  <c r="W76" i="8" s="1"/>
  <c r="W75" i="8"/>
  <c r="Y75" i="8" s="1"/>
  <c r="U75" i="8"/>
  <c r="T75" i="8"/>
  <c r="S74" i="8"/>
  <c r="T74" i="8" s="1"/>
  <c r="S73" i="8"/>
  <c r="W73" i="8" s="1"/>
  <c r="Y73" i="8" s="1"/>
  <c r="W72" i="8"/>
  <c r="Y72" i="8" s="1"/>
  <c r="U72" i="8"/>
  <c r="T72" i="8"/>
  <c r="Q72" i="8"/>
  <c r="W71" i="8"/>
  <c r="Y71" i="8" s="1"/>
  <c r="AG71" i="8" s="1"/>
  <c r="U71" i="8"/>
  <c r="T71" i="8"/>
  <c r="Q71" i="8"/>
  <c r="W70" i="8"/>
  <c r="Y70" i="8" s="1"/>
  <c r="U70" i="8"/>
  <c r="T70" i="8"/>
  <c r="S70" i="8"/>
  <c r="Q70" i="8"/>
  <c r="W69" i="8"/>
  <c r="Y69" i="8" s="1"/>
  <c r="U69" i="8"/>
  <c r="T69" i="8"/>
  <c r="Q69" i="8"/>
  <c r="W65" i="8"/>
  <c r="Y65" i="8" s="1"/>
  <c r="AG65" i="8" s="1"/>
  <c r="AK65" i="8" s="1"/>
  <c r="U65" i="8"/>
  <c r="T65" i="8"/>
  <c r="Q65" i="8"/>
  <c r="Q64" i="8"/>
  <c r="W62" i="8"/>
  <c r="Y62" i="8" s="1"/>
  <c r="AG62" i="8" s="1"/>
  <c r="U62" i="8"/>
  <c r="T62" i="8"/>
  <c r="W61" i="8"/>
  <c r="Y61" i="8" s="1"/>
  <c r="AG61" i="8" s="1"/>
  <c r="U61" i="8"/>
  <c r="T61" i="8"/>
  <c r="W60" i="8"/>
  <c r="Y60" i="8" s="1"/>
  <c r="U60" i="8"/>
  <c r="T60" i="8"/>
  <c r="W59" i="8"/>
  <c r="Y59" i="8" s="1"/>
  <c r="AG59" i="8" s="1"/>
  <c r="U59" i="8"/>
  <c r="T59" i="8"/>
  <c r="S58" i="8"/>
  <c r="U58" i="8" s="1"/>
  <c r="W57" i="8"/>
  <c r="Y57" i="8" s="1"/>
  <c r="AG57" i="8" s="1"/>
  <c r="U57" i="8"/>
  <c r="T57" i="8"/>
  <c r="Q57" i="8"/>
  <c r="T56" i="8"/>
  <c r="W56" i="8"/>
  <c r="Y56" i="8" s="1"/>
  <c r="AG56" i="8" s="1"/>
  <c r="AL56" i="8" s="1"/>
  <c r="Q56" i="8"/>
  <c r="Q55" i="8"/>
  <c r="Q54" i="8"/>
  <c r="Y48" i="8"/>
  <c r="AG48" i="8" s="1"/>
  <c r="AL48" i="8" s="1"/>
  <c r="W48" i="8"/>
  <c r="U48" i="8"/>
  <c r="T48" i="8"/>
  <c r="Q48" i="8"/>
  <c r="S47" i="8"/>
  <c r="W47" i="8" s="1"/>
  <c r="Y47" i="8" s="1"/>
  <c r="Q47" i="8"/>
  <c r="W46" i="8"/>
  <c r="Y46" i="8" s="1"/>
  <c r="S46" i="8"/>
  <c r="T46" i="8" s="1"/>
  <c r="W45" i="8"/>
  <c r="Y45" i="8" s="1"/>
  <c r="AG45" i="8" s="1"/>
  <c r="U45" i="8"/>
  <c r="T45" i="8"/>
  <c r="W44" i="8"/>
  <c r="Y44" i="8" s="1"/>
  <c r="AG44" i="8" s="1"/>
  <c r="U44" i="8"/>
  <c r="T44" i="8"/>
  <c r="W43" i="8"/>
  <c r="Y43" i="8" s="1"/>
  <c r="AG43" i="8" s="1"/>
  <c r="AJ43" i="8" s="1"/>
  <c r="U43" i="8"/>
  <c r="T43" i="8"/>
  <c r="W42" i="8"/>
  <c r="Y42" i="8" s="1"/>
  <c r="AG42" i="8" s="1"/>
  <c r="U42" i="8"/>
  <c r="AJ41" i="8"/>
  <c r="T41" i="8"/>
  <c r="S41" i="8"/>
  <c r="W41" i="8" s="1"/>
  <c r="Y41" i="8" s="1"/>
  <c r="AG41" i="8" s="1"/>
  <c r="W40" i="8"/>
  <c r="Y40" i="8" s="1"/>
  <c r="U40" i="8"/>
  <c r="T40" i="8"/>
  <c r="Q40" i="8"/>
  <c r="W39" i="8"/>
  <c r="Y39" i="8" s="1"/>
  <c r="AG39" i="8" s="1"/>
  <c r="U39" i="8"/>
  <c r="T39" i="8"/>
  <c r="Q39" i="8"/>
  <c r="S38" i="8"/>
  <c r="T38" i="8" s="1"/>
  <c r="Q38" i="8"/>
  <c r="W37" i="8"/>
  <c r="U37" i="8"/>
  <c r="T37" i="8"/>
  <c r="Q37" i="8"/>
  <c r="W33" i="8"/>
  <c r="Y33" i="8" s="1"/>
  <c r="U33" i="8"/>
  <c r="T33" i="8"/>
  <c r="Q33" i="8"/>
  <c r="S32" i="8"/>
  <c r="Q32" i="8"/>
  <c r="AG30" i="8"/>
  <c r="W30" i="8"/>
  <c r="Y30" i="8" s="1"/>
  <c r="U30" i="8"/>
  <c r="T30" i="8"/>
  <c r="W28" i="8"/>
  <c r="Y28" i="8" s="1"/>
  <c r="AG28" i="8" s="1"/>
  <c r="U28" i="8"/>
  <c r="T28" i="8"/>
  <c r="W27" i="8"/>
  <c r="Y27" i="8" s="1"/>
  <c r="S27" i="8"/>
  <c r="U27" i="8" s="1"/>
  <c r="W26" i="8"/>
  <c r="Y26" i="8" s="1"/>
  <c r="U26" i="8"/>
  <c r="T26" i="8"/>
  <c r="W25" i="8"/>
  <c r="Y25" i="8" s="1"/>
  <c r="AG25" i="8" s="1"/>
  <c r="U25" i="8"/>
  <c r="T25" i="8"/>
  <c r="Q25" i="8"/>
  <c r="W24" i="8"/>
  <c r="Y24" i="8" s="1"/>
  <c r="AG24" i="8" s="1"/>
  <c r="AK24" i="8" s="1"/>
  <c r="U24" i="8"/>
  <c r="T24" i="8"/>
  <c r="Q24" i="8"/>
  <c r="S23" i="8"/>
  <c r="W23" i="8" s="1"/>
  <c r="Y23" i="8" s="1"/>
  <c r="Q23" i="8"/>
  <c r="W22" i="8"/>
  <c r="Y22" i="8" s="1"/>
  <c r="AG22" i="8" s="1"/>
  <c r="AJ22" i="8" s="1"/>
  <c r="U22" i="8"/>
  <c r="T22" i="8"/>
  <c r="Q22" i="8"/>
  <c r="W18" i="8"/>
  <c r="Y18" i="8" s="1"/>
  <c r="U18" i="8"/>
  <c r="T18" i="8"/>
  <c r="Q18" i="8"/>
  <c r="U17" i="8"/>
  <c r="W17" i="8"/>
  <c r="Y17" i="8" s="1"/>
  <c r="Q17" i="8"/>
  <c r="U16" i="8"/>
  <c r="T16" i="8"/>
  <c r="W16" i="8"/>
  <c r="Y16" i="8" s="1"/>
  <c r="W15" i="8"/>
  <c r="Y15" i="8" s="1"/>
  <c r="U15" i="8"/>
  <c r="T15" i="8"/>
  <c r="W14" i="8"/>
  <c r="Y14" i="8" s="1"/>
  <c r="U14" i="8"/>
  <c r="T14" i="8"/>
  <c r="W13" i="8"/>
  <c r="Y13" i="8" s="1"/>
  <c r="U13" i="8"/>
  <c r="T13" i="8"/>
  <c r="W12" i="8"/>
  <c r="Y12" i="8" s="1"/>
  <c r="U12" i="8"/>
  <c r="T12" i="8"/>
  <c r="U11" i="8"/>
  <c r="W10" i="8"/>
  <c r="Y10" i="8" s="1"/>
  <c r="AG10" i="8" s="1"/>
  <c r="U10" i="8"/>
  <c r="T10" i="8"/>
  <c r="Q10" i="8"/>
  <c r="W9" i="8"/>
  <c r="Y9" i="8" s="1"/>
  <c r="U9" i="8"/>
  <c r="T9" i="8"/>
  <c r="Q9" i="8"/>
  <c r="W8" i="8"/>
  <c r="Y8" i="8" s="1"/>
  <c r="T8" i="8"/>
  <c r="U8" i="8"/>
  <c r="Q8" i="8"/>
  <c r="W7" i="8"/>
  <c r="U7" i="8"/>
  <c r="T7" i="8"/>
  <c r="Q7" i="8"/>
  <c r="F13" i="7"/>
  <c r="L10" i="7"/>
  <c r="P10" i="7" s="1"/>
  <c r="F10" i="7"/>
  <c r="L4" i="7"/>
  <c r="F4" i="7"/>
  <c r="L68" i="7" l="1"/>
  <c r="M68" i="7"/>
  <c r="N68" i="7"/>
  <c r="H69" i="7"/>
  <c r="F69" i="7"/>
  <c r="G69" i="7"/>
  <c r="M64" i="7"/>
  <c r="L64" i="7"/>
  <c r="N64" i="7"/>
  <c r="G67" i="7"/>
  <c r="F67" i="7"/>
  <c r="H67" i="7"/>
  <c r="H65" i="7"/>
  <c r="F65" i="7"/>
  <c r="G65" i="7"/>
  <c r="F62" i="7"/>
  <c r="G62" i="7"/>
  <c r="H62" i="7"/>
  <c r="G66" i="7"/>
  <c r="H66" i="7"/>
  <c r="F66" i="7"/>
  <c r="L62" i="7"/>
  <c r="M62" i="7"/>
  <c r="N62" i="7"/>
  <c r="G61" i="7"/>
  <c r="H61" i="7"/>
  <c r="F61" i="7"/>
  <c r="G60" i="7"/>
  <c r="H60" i="7"/>
  <c r="F60" i="7"/>
  <c r="M60" i="7"/>
  <c r="N60" i="7"/>
  <c r="L60" i="7"/>
  <c r="N63" i="7"/>
  <c r="L63" i="7"/>
  <c r="M63" i="7"/>
  <c r="M61" i="7"/>
  <c r="N61" i="7"/>
  <c r="L61" i="7"/>
  <c r="H64" i="7"/>
  <c r="F64" i="7"/>
  <c r="G64" i="7"/>
  <c r="F68" i="7"/>
  <c r="G68" i="7"/>
  <c r="H68" i="7"/>
  <c r="G63" i="7"/>
  <c r="H63" i="7"/>
  <c r="F63" i="7"/>
  <c r="N69" i="7"/>
  <c r="M69" i="7"/>
  <c r="L69" i="7"/>
  <c r="M67" i="7"/>
  <c r="L67" i="7"/>
  <c r="N67" i="7"/>
  <c r="M66" i="7"/>
  <c r="N66" i="7"/>
  <c r="L66" i="7"/>
  <c r="M65" i="7"/>
  <c r="N65" i="7"/>
  <c r="L65" i="7"/>
  <c r="M48" i="7"/>
  <c r="N48" i="7"/>
  <c r="L48" i="7"/>
  <c r="L49" i="7"/>
  <c r="M49" i="7"/>
  <c r="N49" i="7"/>
  <c r="N55" i="7"/>
  <c r="L55" i="7"/>
  <c r="M55" i="7"/>
  <c r="M47" i="7"/>
  <c r="N47" i="7"/>
  <c r="L47" i="7"/>
  <c r="J17" i="7"/>
  <c r="J24" i="7"/>
  <c r="J16" i="7"/>
  <c r="J28" i="7"/>
  <c r="AL33" i="9"/>
  <c r="AK33" i="9"/>
  <c r="AK26" i="9"/>
  <c r="AL26" i="9"/>
  <c r="AM26" i="9" s="1"/>
  <c r="AK40" i="9"/>
  <c r="AL40" i="9"/>
  <c r="AJ40" i="9"/>
  <c r="AM80" i="9"/>
  <c r="AN80" i="9"/>
  <c r="AO80" i="9" s="1"/>
  <c r="AP80" i="9" s="1"/>
  <c r="AK8" i="9"/>
  <c r="AK43" i="9"/>
  <c r="S113" i="9"/>
  <c r="T162" i="9"/>
  <c r="T166" i="9"/>
  <c r="T11" i="9"/>
  <c r="AL43" i="9"/>
  <c r="AN43" i="9" s="1"/>
  <c r="AO43" i="9" s="1"/>
  <c r="AP43" i="9" s="1"/>
  <c r="T58" i="9"/>
  <c r="T111" i="9"/>
  <c r="W162" i="9"/>
  <c r="Y162" i="9" s="1"/>
  <c r="U11" i="9"/>
  <c r="U58" i="9"/>
  <c r="U111" i="9"/>
  <c r="T134" i="9"/>
  <c r="T136" i="9"/>
  <c r="T138" i="9"/>
  <c r="W170" i="9"/>
  <c r="Y170" i="9" s="1"/>
  <c r="AG170" i="9" s="1"/>
  <c r="T23" i="9"/>
  <c r="W134" i="9"/>
  <c r="Y134" i="9" s="1"/>
  <c r="AG134" i="9" s="1"/>
  <c r="W136" i="9"/>
  <c r="Y136" i="9" s="1"/>
  <c r="W23" i="9"/>
  <c r="Y23" i="9" s="1"/>
  <c r="AG23" i="9" s="1"/>
  <c r="AK65" i="9"/>
  <c r="W168" i="9"/>
  <c r="Y168" i="9" s="1"/>
  <c r="AG168" i="9" s="1"/>
  <c r="AK103" i="9"/>
  <c r="W171" i="9"/>
  <c r="Y171" i="9" s="1"/>
  <c r="AJ10" i="8"/>
  <c r="AK10" i="8"/>
  <c r="AJ59" i="8"/>
  <c r="AL59" i="8"/>
  <c r="AN59" i="8" s="1"/>
  <c r="AO59" i="8" s="1"/>
  <c r="AP59" i="8" s="1"/>
  <c r="AK59" i="8"/>
  <c r="AL62" i="8"/>
  <c r="AK62" i="8"/>
  <c r="U73" i="8"/>
  <c r="U81" i="8" s="1"/>
  <c r="AP184" i="8" s="1"/>
  <c r="U85" i="8"/>
  <c r="W147" i="8"/>
  <c r="Y147" i="8" s="1"/>
  <c r="AJ48" i="8"/>
  <c r="T73" i="8"/>
  <c r="T85" i="8"/>
  <c r="U47" i="8"/>
  <c r="T170" i="8"/>
  <c r="U102" i="8"/>
  <c r="T105" i="8"/>
  <c r="T168" i="8"/>
  <c r="U170" i="8"/>
  <c r="T27" i="8"/>
  <c r="U74" i="8"/>
  <c r="T79" i="8"/>
  <c r="W102" i="8"/>
  <c r="Y102" i="8" s="1"/>
  <c r="W105" i="8"/>
  <c r="Y105" i="8" s="1"/>
  <c r="AG105" i="8" s="1"/>
  <c r="T111" i="8"/>
  <c r="W117" i="8"/>
  <c r="Y117" i="8" s="1"/>
  <c r="T153" i="8"/>
  <c r="U46" i="8"/>
  <c r="J15" i="7"/>
  <c r="J13" i="7"/>
  <c r="J10" i="7"/>
  <c r="AK11" i="9"/>
  <c r="AJ11" i="9"/>
  <c r="AL11" i="9"/>
  <c r="AG24" i="9"/>
  <c r="AG14" i="9"/>
  <c r="AG10" i="9"/>
  <c r="AL12" i="9"/>
  <c r="AJ12" i="9"/>
  <c r="AK12" i="9"/>
  <c r="AL18" i="9"/>
  <c r="AJ18" i="9"/>
  <c r="AK18" i="9"/>
  <c r="AL15" i="9"/>
  <c r="AK15" i="9"/>
  <c r="AJ15" i="9"/>
  <c r="AG9" i="9"/>
  <c r="AN13" i="9"/>
  <c r="AO13" i="9" s="1"/>
  <c r="AP13" i="9" s="1"/>
  <c r="AM13" i="9"/>
  <c r="AJ32" i="9"/>
  <c r="AL32" i="9"/>
  <c r="AK32" i="9"/>
  <c r="AL41" i="9"/>
  <c r="AK41" i="9"/>
  <c r="AJ41" i="9"/>
  <c r="AG55" i="9"/>
  <c r="Y69" i="9"/>
  <c r="AL25" i="9"/>
  <c r="AK25" i="9"/>
  <c r="Y37" i="9"/>
  <c r="AG42" i="9"/>
  <c r="AG59" i="9"/>
  <c r="AG169" i="9"/>
  <c r="AL23" i="9"/>
  <c r="AK23" i="9"/>
  <c r="AJ23" i="9"/>
  <c r="AJ13" i="9"/>
  <c r="W16" i="9"/>
  <c r="Y16" i="9" s="1"/>
  <c r="U16" i="9"/>
  <c r="U19" i="9" s="1"/>
  <c r="AL184" i="9" s="1"/>
  <c r="H8" i="7" s="1"/>
  <c r="T16" i="9"/>
  <c r="W17" i="9"/>
  <c r="Y17" i="9" s="1"/>
  <c r="U17" i="9"/>
  <c r="T17" i="9"/>
  <c r="S19" i="9"/>
  <c r="AJ45" i="9"/>
  <c r="AL45" i="9"/>
  <c r="AK45" i="9"/>
  <c r="AL72" i="9"/>
  <c r="AK72" i="9"/>
  <c r="AJ72" i="9"/>
  <c r="AK77" i="9"/>
  <c r="AJ77" i="9"/>
  <c r="AL77" i="9"/>
  <c r="AG118" i="9"/>
  <c r="AG162" i="9"/>
  <c r="AG109" i="9"/>
  <c r="Y19" i="9"/>
  <c r="AA12" i="9" s="1"/>
  <c r="AG7" i="9"/>
  <c r="AK13" i="9"/>
  <c r="AJ25" i="9"/>
  <c r="AJ26" i="9"/>
  <c r="AG61" i="9"/>
  <c r="AG155" i="9"/>
  <c r="AG57" i="9"/>
  <c r="AN26" i="9"/>
  <c r="AO26" i="9" s="1"/>
  <c r="AP26" i="9" s="1"/>
  <c r="AJ31" i="9"/>
  <c r="AL31" i="9"/>
  <c r="AJ39" i="9"/>
  <c r="AL39" i="9"/>
  <c r="AK39" i="9"/>
  <c r="AG56" i="9"/>
  <c r="W64" i="9"/>
  <c r="Y64" i="9" s="1"/>
  <c r="U64" i="9"/>
  <c r="T64" i="9"/>
  <c r="Y22" i="9"/>
  <c r="U27" i="9"/>
  <c r="W27" i="9"/>
  <c r="Y27" i="9" s="1"/>
  <c r="AL48" i="9"/>
  <c r="AK48" i="9"/>
  <c r="AJ48" i="9"/>
  <c r="AK58" i="9"/>
  <c r="AJ58" i="9"/>
  <c r="AL58" i="9"/>
  <c r="AG73" i="9"/>
  <c r="AL8" i="9"/>
  <c r="T27" i="9"/>
  <c r="AL29" i="9"/>
  <c r="AK29" i="9"/>
  <c r="AJ29" i="9"/>
  <c r="AL30" i="9"/>
  <c r="AK30" i="9"/>
  <c r="AG44" i="9"/>
  <c r="AG70" i="9"/>
  <c r="AG74" i="9"/>
  <c r="AG28" i="9"/>
  <c r="AK62" i="9"/>
  <c r="AJ62" i="9"/>
  <c r="AL62" i="9"/>
  <c r="AG127" i="9"/>
  <c r="U31" i="9"/>
  <c r="U32" i="9"/>
  <c r="S34" i="9"/>
  <c r="W38" i="9"/>
  <c r="Y38" i="9" s="1"/>
  <c r="S49" i="9"/>
  <c r="AN65" i="9"/>
  <c r="AO65" i="9" s="1"/>
  <c r="AP65" i="9" s="1"/>
  <c r="U74" i="9"/>
  <c r="AJ105" i="9"/>
  <c r="AL105" i="9"/>
  <c r="AK105" i="9"/>
  <c r="AG111" i="9"/>
  <c r="S128" i="9"/>
  <c r="U117" i="9"/>
  <c r="T117" i="9"/>
  <c r="AL141" i="9"/>
  <c r="AK141" i="9"/>
  <c r="AJ141" i="9"/>
  <c r="W19" i="9"/>
  <c r="X7" i="9" s="1"/>
  <c r="W46" i="9"/>
  <c r="Y46" i="9" s="1"/>
  <c r="T46" i="9"/>
  <c r="S81" i="9"/>
  <c r="AG90" i="9"/>
  <c r="W95" i="9"/>
  <c r="Y95" i="9" s="1"/>
  <c r="T95" i="9"/>
  <c r="AL102" i="9"/>
  <c r="AK102" i="9"/>
  <c r="AN103" i="9"/>
  <c r="AO103" i="9" s="1"/>
  <c r="AP103" i="9" s="1"/>
  <c r="AM103" i="9"/>
  <c r="AK112" i="9"/>
  <c r="AJ112" i="9"/>
  <c r="AL112" i="9"/>
  <c r="Y117" i="9"/>
  <c r="AL134" i="9"/>
  <c r="AK134" i="9"/>
  <c r="AJ134" i="9"/>
  <c r="S66" i="9"/>
  <c r="AL84" i="9"/>
  <c r="AK84" i="9"/>
  <c r="AG87" i="9"/>
  <c r="AJ92" i="9"/>
  <c r="AK92" i="9"/>
  <c r="AG107" i="9"/>
  <c r="AL108" i="9"/>
  <c r="AK108" i="9"/>
  <c r="AJ108" i="9"/>
  <c r="AJ110" i="9"/>
  <c r="AK110" i="9"/>
  <c r="AK120" i="9"/>
  <c r="AJ120" i="9"/>
  <c r="W125" i="9"/>
  <c r="Y125" i="9" s="1"/>
  <c r="U125" i="9"/>
  <c r="AJ33" i="9"/>
  <c r="T41" i="9"/>
  <c r="T54" i="9"/>
  <c r="AG75" i="9"/>
  <c r="W76" i="9"/>
  <c r="Y76" i="9" s="1"/>
  <c r="AJ84" i="9"/>
  <c r="W94" i="9"/>
  <c r="Y94" i="9" s="1"/>
  <c r="T94" i="9"/>
  <c r="AJ103" i="9"/>
  <c r="AL120" i="9"/>
  <c r="T125" i="9"/>
  <c r="AG136" i="9"/>
  <c r="AK71" i="9"/>
  <c r="AJ71" i="9"/>
  <c r="W78" i="9"/>
  <c r="Y78" i="9" s="1"/>
  <c r="U78" i="9"/>
  <c r="T78" i="9"/>
  <c r="AG89" i="9"/>
  <c r="U91" i="9"/>
  <c r="T91" i="9"/>
  <c r="AN92" i="9"/>
  <c r="AO92" i="9" s="1"/>
  <c r="AP92" i="9" s="1"/>
  <c r="AM92" i="9"/>
  <c r="AJ119" i="9"/>
  <c r="AL119" i="9"/>
  <c r="AK119" i="9"/>
  <c r="AG122" i="9"/>
  <c r="W47" i="9"/>
  <c r="Y47" i="9" s="1"/>
  <c r="U47" i="9"/>
  <c r="U49" i="9" s="1"/>
  <c r="AN184" i="9" s="1"/>
  <c r="T47" i="9"/>
  <c r="U56" i="9"/>
  <c r="U66" i="9" s="1"/>
  <c r="AO184" i="9" s="1"/>
  <c r="W63" i="9"/>
  <c r="Y63" i="9" s="1"/>
  <c r="U63" i="9"/>
  <c r="T63" i="9"/>
  <c r="AL71" i="9"/>
  <c r="AJ80" i="9"/>
  <c r="W88" i="9"/>
  <c r="Y88" i="9" s="1"/>
  <c r="T88" i="9"/>
  <c r="T96" i="9" s="1"/>
  <c r="V92" i="9" s="1"/>
  <c r="W91" i="9"/>
  <c r="Y91" i="9" s="1"/>
  <c r="W93" i="9"/>
  <c r="Y93" i="9" s="1"/>
  <c r="T93" i="9"/>
  <c r="T38" i="9"/>
  <c r="Y54" i="9"/>
  <c r="AJ65" i="9"/>
  <c r="T73" i="9"/>
  <c r="W79" i="9"/>
  <c r="Y79" i="9" s="1"/>
  <c r="U79" i="9"/>
  <c r="T79" i="9"/>
  <c r="AK80" i="9"/>
  <c r="U88" i="9"/>
  <c r="U93" i="9"/>
  <c r="AL110" i="9"/>
  <c r="AG116" i="9"/>
  <c r="AG131" i="9"/>
  <c r="AG132" i="9"/>
  <c r="W85" i="9"/>
  <c r="Y85" i="9" s="1"/>
  <c r="U85" i="9"/>
  <c r="U102" i="9"/>
  <c r="T102" i="9"/>
  <c r="U121" i="9"/>
  <c r="T121" i="9"/>
  <c r="AL124" i="9"/>
  <c r="AK124" i="9"/>
  <c r="AL150" i="9"/>
  <c r="AK150" i="9"/>
  <c r="AJ150" i="9"/>
  <c r="W86" i="9"/>
  <c r="Y86" i="9" s="1"/>
  <c r="Y96" i="9" s="1"/>
  <c r="U86" i="9"/>
  <c r="S96" i="9"/>
  <c r="AG101" i="9"/>
  <c r="W104" i="9"/>
  <c r="U104" i="9"/>
  <c r="U113" i="9" s="1"/>
  <c r="AR184" i="9" s="1"/>
  <c r="W106" i="9"/>
  <c r="Y106" i="9" s="1"/>
  <c r="T106" i="9"/>
  <c r="W121" i="9"/>
  <c r="Y121" i="9" s="1"/>
  <c r="W126" i="9"/>
  <c r="Y126" i="9" s="1"/>
  <c r="U126" i="9"/>
  <c r="U128" i="9" s="1"/>
  <c r="AS184" i="9" s="1"/>
  <c r="AG171" i="9"/>
  <c r="AG148" i="9"/>
  <c r="AG152" i="9"/>
  <c r="AG154" i="9"/>
  <c r="AG163" i="9"/>
  <c r="T120" i="9"/>
  <c r="W123" i="9"/>
  <c r="Y123" i="9" s="1"/>
  <c r="AL133" i="9"/>
  <c r="AJ133" i="9"/>
  <c r="AL135" i="9"/>
  <c r="AK135" i="9"/>
  <c r="AG165" i="9"/>
  <c r="AG167" i="9"/>
  <c r="U143" i="9"/>
  <c r="AT184" i="9" s="1"/>
  <c r="AG138" i="9"/>
  <c r="W151" i="9"/>
  <c r="Y151" i="9" s="1"/>
  <c r="U151" i="9"/>
  <c r="T151" i="9"/>
  <c r="AL142" i="9"/>
  <c r="AK142" i="9"/>
  <c r="AJ142" i="9"/>
  <c r="AG157" i="9"/>
  <c r="AG166" i="9"/>
  <c r="AJ137" i="9"/>
  <c r="AL137" i="9"/>
  <c r="AL140" i="9"/>
  <c r="AK140" i="9"/>
  <c r="AJ140" i="9"/>
  <c r="AG149" i="9"/>
  <c r="AL156" i="9"/>
  <c r="AK156" i="9"/>
  <c r="AJ156" i="9"/>
  <c r="S158" i="9"/>
  <c r="AL164" i="9"/>
  <c r="AK164" i="9"/>
  <c r="AJ164" i="9"/>
  <c r="AL170" i="9"/>
  <c r="AK170" i="9"/>
  <c r="AJ170" i="9"/>
  <c r="AG172" i="9"/>
  <c r="W139" i="9"/>
  <c r="Y139" i="9" s="1"/>
  <c r="Y143" i="9" s="1"/>
  <c r="S143" i="9"/>
  <c r="W147" i="9"/>
  <c r="W153" i="9"/>
  <c r="Y153" i="9" s="1"/>
  <c r="AG161" i="9"/>
  <c r="U166" i="9"/>
  <c r="T170" i="9"/>
  <c r="T171" i="9"/>
  <c r="AJ146" i="9"/>
  <c r="T155" i="9"/>
  <c r="T156" i="9"/>
  <c r="AK146" i="9"/>
  <c r="U155" i="9"/>
  <c r="U156" i="9"/>
  <c r="AL146" i="9"/>
  <c r="T168" i="9"/>
  <c r="T139" i="9"/>
  <c r="T147" i="9"/>
  <c r="T158" i="9" s="1"/>
  <c r="T153" i="9"/>
  <c r="U162" i="9"/>
  <c r="U173" i="9" s="1"/>
  <c r="AV184" i="9" s="1"/>
  <c r="T140" i="8"/>
  <c r="T139" i="8"/>
  <c r="U139" i="8"/>
  <c r="U122" i="8"/>
  <c r="S96" i="8"/>
  <c r="W95" i="8"/>
  <c r="Y95" i="8" s="1"/>
  <c r="AG95" i="8" s="1"/>
  <c r="AK95" i="8" s="1"/>
  <c r="T95" i="8"/>
  <c r="W55" i="8"/>
  <c r="Y55" i="8" s="1"/>
  <c r="AG55" i="8" s="1"/>
  <c r="T55" i="8"/>
  <c r="T19" i="8"/>
  <c r="V10" i="8" s="1"/>
  <c r="AG12" i="8"/>
  <c r="AG15" i="8"/>
  <c r="AN56" i="8"/>
  <c r="AO56" i="8" s="1"/>
  <c r="AP56" i="8" s="1"/>
  <c r="AM56" i="8"/>
  <c r="U19" i="8"/>
  <c r="AL184" i="8" s="1"/>
  <c r="G8" i="7" s="1"/>
  <c r="AG16" i="8"/>
  <c r="AG17" i="8"/>
  <c r="AG13" i="8"/>
  <c r="AK39" i="8"/>
  <c r="AJ39" i="8"/>
  <c r="AL39" i="8"/>
  <c r="AG23" i="8"/>
  <c r="AG14" i="8"/>
  <c r="AG9" i="8"/>
  <c r="AG18" i="8"/>
  <c r="AL28" i="8"/>
  <c r="AK28" i="8"/>
  <c r="AJ28" i="8"/>
  <c r="AK30" i="8"/>
  <c r="AJ30" i="8"/>
  <c r="AL45" i="8"/>
  <c r="AK45" i="8"/>
  <c r="AK57" i="8"/>
  <c r="AL57" i="8"/>
  <c r="AJ57" i="8"/>
  <c r="AJ61" i="8"/>
  <c r="AL61" i="8"/>
  <c r="AK61" i="8"/>
  <c r="U64" i="8"/>
  <c r="W64" i="8"/>
  <c r="Y64" i="8" s="1"/>
  <c r="T64" i="8"/>
  <c r="AL87" i="8"/>
  <c r="AK87" i="8"/>
  <c r="AL95" i="8"/>
  <c r="Y7" i="8"/>
  <c r="AL10" i="8"/>
  <c r="S19" i="8"/>
  <c r="AL30" i="8"/>
  <c r="W32" i="8"/>
  <c r="Y32" i="8" s="1"/>
  <c r="U32" i="8"/>
  <c r="T32" i="8"/>
  <c r="AG33" i="8"/>
  <c r="AG40" i="8"/>
  <c r="AJ44" i="8"/>
  <c r="AL44" i="8"/>
  <c r="AK44" i="8"/>
  <c r="AJ45" i="8"/>
  <c r="AG47" i="8"/>
  <c r="AJ87" i="8"/>
  <c r="AG103" i="8"/>
  <c r="W106" i="8"/>
  <c r="Y106" i="8" s="1"/>
  <c r="U106" i="8"/>
  <c r="T106" i="8"/>
  <c r="AN108" i="8"/>
  <c r="AO108" i="8" s="1"/>
  <c r="AP108" i="8" s="1"/>
  <c r="AM108" i="8"/>
  <c r="AK22" i="8"/>
  <c r="W11" i="8"/>
  <c r="Y11" i="8" s="1"/>
  <c r="AG26" i="8"/>
  <c r="AG27" i="8"/>
  <c r="W31" i="8"/>
  <c r="Y31" i="8" s="1"/>
  <c r="U31" i="8"/>
  <c r="T31" i="8"/>
  <c r="AN48" i="8"/>
  <c r="AO48" i="8" s="1"/>
  <c r="AP48" i="8" s="1"/>
  <c r="AM48" i="8"/>
  <c r="S66" i="8"/>
  <c r="U54" i="8"/>
  <c r="T54" i="8"/>
  <c r="W54" i="8"/>
  <c r="AG60" i="8"/>
  <c r="AG80" i="8"/>
  <c r="AM126" i="8"/>
  <c r="AN126" i="8"/>
  <c r="AO126" i="8" s="1"/>
  <c r="AP126" i="8" s="1"/>
  <c r="AG8" i="8"/>
  <c r="AL22" i="8"/>
  <c r="AG77" i="8"/>
  <c r="AG90" i="8"/>
  <c r="AG121" i="8"/>
  <c r="AL41" i="8"/>
  <c r="AK41" i="8"/>
  <c r="AJ42" i="8"/>
  <c r="AL42" i="8"/>
  <c r="AK42" i="8"/>
  <c r="U89" i="8"/>
  <c r="T89" i="8"/>
  <c r="W93" i="8"/>
  <c r="Y93" i="8" s="1"/>
  <c r="U93" i="8"/>
  <c r="AL43" i="8"/>
  <c r="AK43" i="8"/>
  <c r="AJ56" i="8"/>
  <c r="AK56" i="8"/>
  <c r="AG75" i="8"/>
  <c r="AL24" i="8"/>
  <c r="AJ24" i="8"/>
  <c r="AG46" i="8"/>
  <c r="AM84" i="8"/>
  <c r="AG89" i="8"/>
  <c r="AK25" i="8"/>
  <c r="AJ25" i="8"/>
  <c r="U29" i="8"/>
  <c r="T29" i="8"/>
  <c r="AK79" i="8"/>
  <c r="AJ79" i="8"/>
  <c r="AL79" i="8"/>
  <c r="AO84" i="8"/>
  <c r="AG91" i="8"/>
  <c r="S34" i="8"/>
  <c r="U23" i="8"/>
  <c r="T23" i="8"/>
  <c r="AL25" i="8"/>
  <c r="W29" i="8"/>
  <c r="Y29" i="8" s="1"/>
  <c r="Y37" i="8"/>
  <c r="AL118" i="8"/>
  <c r="AK118" i="8"/>
  <c r="AJ118" i="8"/>
  <c r="AG107" i="8"/>
  <c r="AG117" i="8"/>
  <c r="T143" i="8"/>
  <c r="AG154" i="8"/>
  <c r="S49" i="8"/>
  <c r="T47" i="8"/>
  <c r="T58" i="8"/>
  <c r="AM59" i="8"/>
  <c r="U63" i="8"/>
  <c r="W63" i="8"/>
  <c r="Y63" i="8" s="1"/>
  <c r="AG69" i="8"/>
  <c r="AG76" i="8"/>
  <c r="U86" i="8"/>
  <c r="W86" i="8"/>
  <c r="Y86" i="8" s="1"/>
  <c r="W88" i="8"/>
  <c r="Y88" i="8" s="1"/>
  <c r="U88" i="8"/>
  <c r="T88" i="8"/>
  <c r="AG104" i="8"/>
  <c r="AN133" i="8"/>
  <c r="AO133" i="8" s="1"/>
  <c r="AP133" i="8" s="1"/>
  <c r="AM133" i="8"/>
  <c r="AG150" i="8"/>
  <c r="U38" i="8"/>
  <c r="U41" i="8"/>
  <c r="AK48" i="8"/>
  <c r="W58" i="8"/>
  <c r="Y58" i="8" s="1"/>
  <c r="U78" i="8"/>
  <c r="T78" i="8"/>
  <c r="T81" i="8" s="1"/>
  <c r="V75" i="8" s="1"/>
  <c r="AL127" i="8"/>
  <c r="AK127" i="8"/>
  <c r="AJ127" i="8"/>
  <c r="U156" i="8"/>
  <c r="W156" i="8"/>
  <c r="Y156" i="8" s="1"/>
  <c r="T156" i="8"/>
  <c r="AJ65" i="8"/>
  <c r="AL65" i="8"/>
  <c r="AG70" i="8"/>
  <c r="AK71" i="8"/>
  <c r="AL71" i="8"/>
  <c r="AG72" i="8"/>
  <c r="AG73" i="8"/>
  <c r="AK84" i="8"/>
  <c r="AL92" i="8"/>
  <c r="AK92" i="8"/>
  <c r="W94" i="8"/>
  <c r="Y94" i="8" s="1"/>
  <c r="T94" i="8"/>
  <c r="AG102" i="8"/>
  <c r="AK131" i="8"/>
  <c r="AJ131" i="8"/>
  <c r="W38" i="8"/>
  <c r="Y38" i="8" s="1"/>
  <c r="AJ62" i="8"/>
  <c r="AJ71" i="8"/>
  <c r="AG78" i="8"/>
  <c r="AJ84" i="8"/>
  <c r="Y85" i="8"/>
  <c r="AJ92" i="8"/>
  <c r="U94" i="8"/>
  <c r="AJ108" i="8"/>
  <c r="AK108" i="8"/>
  <c r="U110" i="8"/>
  <c r="T110" i="8"/>
  <c r="W110" i="8"/>
  <c r="Y110" i="8" s="1"/>
  <c r="AG111" i="8"/>
  <c r="AG112" i="8"/>
  <c r="AG122" i="8"/>
  <c r="AJ124" i="8"/>
  <c r="AK124" i="8"/>
  <c r="AL124" i="8"/>
  <c r="AG125" i="8"/>
  <c r="AL131" i="8"/>
  <c r="AG149" i="8"/>
  <c r="AG162" i="8"/>
  <c r="AL141" i="8"/>
  <c r="AK141" i="8"/>
  <c r="AJ141" i="8"/>
  <c r="AL164" i="8"/>
  <c r="AJ164" i="8"/>
  <c r="AK164" i="8"/>
  <c r="U104" i="8"/>
  <c r="T104" i="8"/>
  <c r="S113" i="8"/>
  <c r="AL109" i="8"/>
  <c r="AJ109" i="8"/>
  <c r="AJ119" i="8"/>
  <c r="AL119" i="8"/>
  <c r="AK119" i="8"/>
  <c r="AK126" i="8"/>
  <c r="AJ126" i="8"/>
  <c r="AG132" i="8"/>
  <c r="AG140" i="8"/>
  <c r="Y101" i="8"/>
  <c r="W120" i="8"/>
  <c r="Y120" i="8" s="1"/>
  <c r="T120" i="8"/>
  <c r="U120" i="8"/>
  <c r="AG139" i="8"/>
  <c r="S81" i="8"/>
  <c r="AG116" i="8"/>
  <c r="AK134" i="8"/>
  <c r="AJ134" i="8"/>
  <c r="AL134" i="8"/>
  <c r="AG152" i="8"/>
  <c r="W74" i="8"/>
  <c r="Y74" i="8" s="1"/>
  <c r="Y81" i="8" s="1"/>
  <c r="AK133" i="8"/>
  <c r="AJ133" i="8"/>
  <c r="W136" i="8"/>
  <c r="Y136" i="8" s="1"/>
  <c r="S143" i="8"/>
  <c r="U136" i="8"/>
  <c r="T136" i="8"/>
  <c r="Y161" i="8"/>
  <c r="AL165" i="8"/>
  <c r="AK165" i="8"/>
  <c r="AJ165" i="8"/>
  <c r="U143" i="8"/>
  <c r="AT184" i="8" s="1"/>
  <c r="W123" i="8"/>
  <c r="Y123" i="8" s="1"/>
  <c r="U123" i="8"/>
  <c r="AG135" i="8"/>
  <c r="AG148" i="8"/>
  <c r="AG163" i="8"/>
  <c r="W143" i="8"/>
  <c r="X131" i="8" s="1"/>
  <c r="AG153" i="8"/>
  <c r="U166" i="8"/>
  <c r="U173" i="8" s="1"/>
  <c r="AV184" i="8" s="1"/>
  <c r="S173" i="8"/>
  <c r="W166" i="8"/>
  <c r="Y166" i="8" s="1"/>
  <c r="AG138" i="8"/>
  <c r="Y146" i="8"/>
  <c r="W151" i="8"/>
  <c r="Y151" i="8" s="1"/>
  <c r="U151" i="8"/>
  <c r="U158" i="8" s="1"/>
  <c r="AU184" i="8" s="1"/>
  <c r="T151" i="8"/>
  <c r="T166" i="8"/>
  <c r="AK137" i="8"/>
  <c r="AL142" i="8"/>
  <c r="AJ142" i="8"/>
  <c r="U155" i="8"/>
  <c r="W155" i="8"/>
  <c r="Y155" i="8" s="1"/>
  <c r="T121" i="8"/>
  <c r="S128" i="8"/>
  <c r="AG147" i="8"/>
  <c r="T155" i="8"/>
  <c r="AJ157" i="8"/>
  <c r="AL157" i="8"/>
  <c r="AK157" i="8"/>
  <c r="AG169" i="8"/>
  <c r="AK170" i="8"/>
  <c r="AJ170" i="8"/>
  <c r="AL170" i="8"/>
  <c r="AK171" i="8"/>
  <c r="AJ171" i="8"/>
  <c r="AL171" i="8"/>
  <c r="AK167" i="8"/>
  <c r="T158" i="8"/>
  <c r="V153" i="8" s="1"/>
  <c r="AL167" i="8"/>
  <c r="AG168" i="8"/>
  <c r="AL172" i="8"/>
  <c r="AK172" i="8"/>
  <c r="L13" i="7"/>
  <c r="P13" i="7" s="1"/>
  <c r="G59" i="7" l="1"/>
  <c r="H59" i="7"/>
  <c r="G47" i="7"/>
  <c r="H47" i="7"/>
  <c r="F47" i="7"/>
  <c r="F48" i="7"/>
  <c r="G48" i="7"/>
  <c r="H48" i="7"/>
  <c r="H55" i="7"/>
  <c r="G55" i="7"/>
  <c r="F55" i="7"/>
  <c r="F49" i="7"/>
  <c r="H49" i="7"/>
  <c r="G49" i="7"/>
  <c r="AA141" i="9"/>
  <c r="AA131" i="9"/>
  <c r="AA138" i="9"/>
  <c r="AA136" i="9"/>
  <c r="W143" i="9"/>
  <c r="X131" i="9" s="1"/>
  <c r="AM43" i="9"/>
  <c r="Y173" i="9"/>
  <c r="AA171" i="9" s="1"/>
  <c r="AV183" i="9" s="1"/>
  <c r="W173" i="9"/>
  <c r="X161" i="9" s="1"/>
  <c r="AC161" i="9" s="1"/>
  <c r="AV187" i="9" s="1"/>
  <c r="AV210" i="9" s="1"/>
  <c r="U96" i="9"/>
  <c r="AQ184" i="9" s="1"/>
  <c r="AN40" i="9"/>
  <c r="AO40" i="9" s="1"/>
  <c r="AP40" i="9" s="1"/>
  <c r="AM40" i="9"/>
  <c r="U158" i="9"/>
  <c r="AU184" i="9" s="1"/>
  <c r="U34" i="9"/>
  <c r="AM184" i="9" s="1"/>
  <c r="N8" i="7" s="1"/>
  <c r="T143" i="9"/>
  <c r="AM33" i="9"/>
  <c r="AN33" i="9"/>
  <c r="AO33" i="9" s="1"/>
  <c r="AP33" i="9" s="1"/>
  <c r="AA70" i="8"/>
  <c r="AP183" i="8" s="1"/>
  <c r="AA76" i="8"/>
  <c r="AA72" i="8"/>
  <c r="AA73" i="8"/>
  <c r="U128" i="8"/>
  <c r="AS184" i="8" s="1"/>
  <c r="U113" i="8"/>
  <c r="AR184" i="8" s="1"/>
  <c r="AN62" i="8"/>
  <c r="AO62" i="8" s="1"/>
  <c r="AP62" i="8" s="1"/>
  <c r="AM62" i="8"/>
  <c r="U34" i="8"/>
  <c r="AM184" i="8" s="1"/>
  <c r="W19" i="8"/>
  <c r="X7" i="8" s="1"/>
  <c r="W113" i="8"/>
  <c r="X101" i="8" s="1"/>
  <c r="U49" i="8"/>
  <c r="AN184" i="8" s="1"/>
  <c r="U96" i="8"/>
  <c r="AQ184" i="8" s="1"/>
  <c r="W81" i="8"/>
  <c r="X69" i="8" s="1"/>
  <c r="U81" i="9"/>
  <c r="AP184" i="9" s="1"/>
  <c r="T19" i="9"/>
  <c r="V9" i="9" s="1"/>
  <c r="V146" i="9"/>
  <c r="V150" i="9"/>
  <c r="V148" i="9"/>
  <c r="V149" i="9"/>
  <c r="V154" i="9"/>
  <c r="V152" i="9"/>
  <c r="V157" i="9"/>
  <c r="V135" i="9"/>
  <c r="V131" i="9"/>
  <c r="V132" i="9"/>
  <c r="V133" i="9"/>
  <c r="V138" i="9"/>
  <c r="V140" i="9"/>
  <c r="V136" i="9"/>
  <c r="V137" i="9"/>
  <c r="V141" i="9"/>
  <c r="V134" i="9"/>
  <c r="Z84" i="9"/>
  <c r="AA87" i="9"/>
  <c r="AA92" i="9"/>
  <c r="AA89" i="9"/>
  <c r="AA90" i="9"/>
  <c r="AA84" i="9"/>
  <c r="V156" i="9"/>
  <c r="AA168" i="9"/>
  <c r="AT185" i="9"/>
  <c r="AC131" i="9"/>
  <c r="AT187" i="9" s="1"/>
  <c r="AA163" i="9"/>
  <c r="AL148" i="9"/>
  <c r="AK148" i="9"/>
  <c r="AJ148" i="9"/>
  <c r="AA137" i="9"/>
  <c r="AA142" i="9"/>
  <c r="Z131" i="9"/>
  <c r="AA133" i="9"/>
  <c r="AA140" i="9"/>
  <c r="AA134" i="9"/>
  <c r="AA135" i="9"/>
  <c r="AJ87" i="9"/>
  <c r="AL87" i="9"/>
  <c r="AK87" i="9"/>
  <c r="W128" i="9"/>
  <c r="X116" i="9" s="1"/>
  <c r="AJ111" i="9"/>
  <c r="AL111" i="9"/>
  <c r="AK111" i="9"/>
  <c r="AK127" i="9"/>
  <c r="AJ127" i="9"/>
  <c r="AL127" i="9"/>
  <c r="AL73" i="9"/>
  <c r="AK73" i="9"/>
  <c r="AJ73" i="9"/>
  <c r="AG64" i="9"/>
  <c r="AG17" i="9"/>
  <c r="AA17" i="9"/>
  <c r="AG139" i="9"/>
  <c r="AA139" i="9"/>
  <c r="AT183" i="9" s="1"/>
  <c r="AL168" i="9"/>
  <c r="AK168" i="9"/>
  <c r="AJ168" i="9"/>
  <c r="AN156" i="9"/>
  <c r="AO156" i="9" s="1"/>
  <c r="AP156" i="9" s="1"/>
  <c r="AM156" i="9"/>
  <c r="AM140" i="9"/>
  <c r="AN140" i="9"/>
  <c r="AO140" i="9" s="1"/>
  <c r="AP140" i="9" s="1"/>
  <c r="AL157" i="9"/>
  <c r="AK157" i="9"/>
  <c r="AJ157" i="9"/>
  <c r="AA161" i="9"/>
  <c r="AA167" i="9"/>
  <c r="AL163" i="9"/>
  <c r="AK163" i="9"/>
  <c r="AJ163" i="9"/>
  <c r="AL171" i="9"/>
  <c r="AK171" i="9"/>
  <c r="AJ171" i="9"/>
  <c r="AG106" i="9"/>
  <c r="AN120" i="9"/>
  <c r="AO120" i="9" s="1"/>
  <c r="AP120" i="9" s="1"/>
  <c r="AM120" i="9"/>
  <c r="AG76" i="9"/>
  <c r="V86" i="9"/>
  <c r="W66" i="9"/>
  <c r="X54" i="9" s="1"/>
  <c r="AA117" i="9"/>
  <c r="AG117" i="9"/>
  <c r="Y128" i="9"/>
  <c r="AN141" i="9"/>
  <c r="AO141" i="9" s="1"/>
  <c r="AP141" i="9" s="1"/>
  <c r="AM141" i="9"/>
  <c r="AM29" i="9"/>
  <c r="AN29" i="9"/>
  <c r="AO29" i="9" s="1"/>
  <c r="AP29" i="9" s="1"/>
  <c r="AM58" i="9"/>
  <c r="AN58" i="9"/>
  <c r="AO58" i="9" s="1"/>
  <c r="AP58" i="9" s="1"/>
  <c r="AG22" i="9"/>
  <c r="Y34" i="9"/>
  <c r="AA22" i="9" s="1"/>
  <c r="AK61" i="9"/>
  <c r="AJ61" i="9"/>
  <c r="AL61" i="9"/>
  <c r="AA162" i="9"/>
  <c r="AA169" i="9"/>
  <c r="AG37" i="9"/>
  <c r="Y49" i="9"/>
  <c r="AA38" i="9" s="1"/>
  <c r="AA9" i="9"/>
  <c r="AN18" i="9"/>
  <c r="AO18" i="9" s="1"/>
  <c r="AP18" i="9" s="1"/>
  <c r="AM18" i="9"/>
  <c r="AA14" i="9"/>
  <c r="AN146" i="9"/>
  <c r="AM146" i="9"/>
  <c r="AA172" i="9"/>
  <c r="AN137" i="9"/>
  <c r="AO137" i="9" s="1"/>
  <c r="AP137" i="9" s="1"/>
  <c r="AM137" i="9"/>
  <c r="AL167" i="9"/>
  <c r="AK167" i="9"/>
  <c r="AJ167" i="9"/>
  <c r="AN135" i="9"/>
  <c r="AO135" i="9" s="1"/>
  <c r="AP135" i="9" s="1"/>
  <c r="AM135" i="9"/>
  <c r="Y66" i="9"/>
  <c r="AA64" i="9" s="1"/>
  <c r="AG54" i="9"/>
  <c r="AM71" i="9"/>
  <c r="AN71" i="9"/>
  <c r="AO71" i="9" s="1"/>
  <c r="AP71" i="9" s="1"/>
  <c r="AG47" i="9"/>
  <c r="AA47" i="9"/>
  <c r="AJ75" i="9"/>
  <c r="AL75" i="9"/>
  <c r="AK75" i="9"/>
  <c r="AG125" i="9"/>
  <c r="AA125" i="9"/>
  <c r="AN108" i="9"/>
  <c r="AO108" i="9" s="1"/>
  <c r="AP108" i="9" s="1"/>
  <c r="AM108" i="9"/>
  <c r="AM102" i="9"/>
  <c r="AN102" i="9"/>
  <c r="AO102" i="9" s="1"/>
  <c r="AP102" i="9" s="1"/>
  <c r="AN105" i="9"/>
  <c r="AO105" i="9" s="1"/>
  <c r="AP105" i="9" s="1"/>
  <c r="AM105" i="9"/>
  <c r="AK28" i="9"/>
  <c r="AJ28" i="9"/>
  <c r="AL28" i="9"/>
  <c r="W34" i="9"/>
  <c r="X22" i="9" s="1"/>
  <c r="AK56" i="9"/>
  <c r="AL56" i="9"/>
  <c r="AJ56" i="9"/>
  <c r="AL162" i="9"/>
  <c r="AK162" i="9"/>
  <c r="AJ162" i="9"/>
  <c r="AN72" i="9"/>
  <c r="AO72" i="9" s="1"/>
  <c r="AP72" i="9" s="1"/>
  <c r="AM72" i="9"/>
  <c r="AL169" i="9"/>
  <c r="AK169" i="9"/>
  <c r="AJ169" i="9"/>
  <c r="W49" i="9"/>
  <c r="X37" i="9" s="1"/>
  <c r="AN41" i="9"/>
  <c r="AO41" i="9" s="1"/>
  <c r="AP41" i="9" s="1"/>
  <c r="AM41" i="9"/>
  <c r="AK9" i="9"/>
  <c r="AJ9" i="9"/>
  <c r="AL9" i="9"/>
  <c r="AK14" i="9"/>
  <c r="AL14" i="9"/>
  <c r="AJ14" i="9"/>
  <c r="Z161" i="9"/>
  <c r="AA164" i="9"/>
  <c r="AL172" i="9"/>
  <c r="AK172" i="9"/>
  <c r="AJ172" i="9"/>
  <c r="V151" i="9"/>
  <c r="AA165" i="9"/>
  <c r="AL154" i="9"/>
  <c r="AK154" i="9"/>
  <c r="AJ154" i="9"/>
  <c r="AN150" i="9"/>
  <c r="AO150" i="9" s="1"/>
  <c r="AP150" i="9" s="1"/>
  <c r="AM150" i="9"/>
  <c r="T113" i="9"/>
  <c r="V106" i="9" s="1"/>
  <c r="AJ116" i="9"/>
  <c r="AL116" i="9"/>
  <c r="AK116" i="9"/>
  <c r="AG78" i="9"/>
  <c r="AN84" i="9"/>
  <c r="AM84" i="9"/>
  <c r="AN112" i="9"/>
  <c r="AO112" i="9" s="1"/>
  <c r="AP112" i="9" s="1"/>
  <c r="AM112" i="9"/>
  <c r="V95" i="9"/>
  <c r="AQ182" i="9" s="1"/>
  <c r="AG46" i="9"/>
  <c r="AL74" i="9"/>
  <c r="AK74" i="9"/>
  <c r="AJ74" i="9"/>
  <c r="AK44" i="9"/>
  <c r="AL44" i="9"/>
  <c r="AJ44" i="9"/>
  <c r="AL57" i="9"/>
  <c r="AJ57" i="9"/>
  <c r="AK57" i="9"/>
  <c r="T34" i="9"/>
  <c r="V27" i="9" s="1"/>
  <c r="AG16" i="9"/>
  <c r="AG19" i="9" s="1"/>
  <c r="AA16" i="9"/>
  <c r="AL24" i="9"/>
  <c r="AK24" i="9"/>
  <c r="AJ24" i="9"/>
  <c r="AG126" i="9"/>
  <c r="AA126" i="9"/>
  <c r="AK132" i="9"/>
  <c r="AJ132" i="9"/>
  <c r="AL132" i="9"/>
  <c r="V91" i="9"/>
  <c r="AA95" i="9"/>
  <c r="AQ183" i="9" s="1"/>
  <c r="AG95" i="9"/>
  <c r="T128" i="9"/>
  <c r="V125" i="9" s="1"/>
  <c r="AM62" i="9"/>
  <c r="AN62" i="9"/>
  <c r="AO62" i="9" s="1"/>
  <c r="AP62" i="9" s="1"/>
  <c r="AM39" i="9"/>
  <c r="AN39" i="9"/>
  <c r="AO39" i="9" s="1"/>
  <c r="AP39" i="9" s="1"/>
  <c r="AA8" i="9"/>
  <c r="Y81" i="9"/>
  <c r="AG69" i="9"/>
  <c r="W113" i="9"/>
  <c r="X101" i="9" s="1"/>
  <c r="Y104" i="9"/>
  <c r="AL149" i="9"/>
  <c r="AK149" i="9"/>
  <c r="AJ149" i="9"/>
  <c r="AL165" i="9"/>
  <c r="AK165" i="9"/>
  <c r="AJ165" i="9"/>
  <c r="AJ101" i="9"/>
  <c r="AL101" i="9"/>
  <c r="AK101" i="9"/>
  <c r="V93" i="9"/>
  <c r="V94" i="9"/>
  <c r="AJ107" i="9"/>
  <c r="AL107" i="9"/>
  <c r="AK107" i="9"/>
  <c r="AL185" i="9"/>
  <c r="H9" i="7" s="1"/>
  <c r="AC7" i="9"/>
  <c r="AL187" i="9" s="1"/>
  <c r="H11" i="7" s="1"/>
  <c r="AG38" i="9"/>
  <c r="AL118" i="9"/>
  <c r="AK118" i="9"/>
  <c r="AJ118" i="9"/>
  <c r="V153" i="9"/>
  <c r="AG173" i="9"/>
  <c r="AL161" i="9"/>
  <c r="AK161" i="9"/>
  <c r="AJ161" i="9"/>
  <c r="AN164" i="9"/>
  <c r="AO164" i="9" s="1"/>
  <c r="AP164" i="9" s="1"/>
  <c r="AM164" i="9"/>
  <c r="AG151" i="9"/>
  <c r="AN133" i="9"/>
  <c r="AO133" i="9" s="1"/>
  <c r="AP133" i="9" s="1"/>
  <c r="AM133" i="9"/>
  <c r="AK152" i="9"/>
  <c r="AJ152" i="9"/>
  <c r="AL152" i="9"/>
  <c r="AG121" i="9"/>
  <c r="AA121" i="9"/>
  <c r="AA132" i="9"/>
  <c r="T173" i="9"/>
  <c r="AA93" i="9"/>
  <c r="AG93" i="9"/>
  <c r="AG63" i="9"/>
  <c r="AA63" i="9"/>
  <c r="AJ122" i="9"/>
  <c r="AL122" i="9"/>
  <c r="AK122" i="9"/>
  <c r="AA94" i="9"/>
  <c r="AG94" i="9"/>
  <c r="T66" i="9"/>
  <c r="V64" i="9" s="1"/>
  <c r="T81" i="9"/>
  <c r="V79" i="9" s="1"/>
  <c r="W96" i="9"/>
  <c r="X84" i="9" s="1"/>
  <c r="AL155" i="9"/>
  <c r="AK155" i="9"/>
  <c r="AJ155" i="9"/>
  <c r="AL7" i="9"/>
  <c r="AJ7" i="9"/>
  <c r="AK7" i="9"/>
  <c r="AM77" i="9"/>
  <c r="AN77" i="9"/>
  <c r="AO77" i="9" s="1"/>
  <c r="AP77" i="9" s="1"/>
  <c r="AL59" i="9"/>
  <c r="AK59" i="9"/>
  <c r="AJ59" i="9"/>
  <c r="AN25" i="9"/>
  <c r="AO25" i="9" s="1"/>
  <c r="AP25" i="9" s="1"/>
  <c r="AM25" i="9"/>
  <c r="W81" i="9"/>
  <c r="X69" i="9" s="1"/>
  <c r="AN32" i="9"/>
  <c r="AO32" i="9" s="1"/>
  <c r="AP32" i="9" s="1"/>
  <c r="AM32" i="9"/>
  <c r="V147" i="9"/>
  <c r="AG153" i="9"/>
  <c r="AN170" i="9"/>
  <c r="AO170" i="9" s="1"/>
  <c r="AP170" i="9" s="1"/>
  <c r="AM170" i="9"/>
  <c r="AA166" i="9"/>
  <c r="AN142" i="9"/>
  <c r="AO142" i="9" s="1"/>
  <c r="AP142" i="9" s="1"/>
  <c r="AM142" i="9"/>
  <c r="AG123" i="9"/>
  <c r="AA123" i="9"/>
  <c r="AM124" i="9"/>
  <c r="AN124" i="9"/>
  <c r="AO124" i="9" s="1"/>
  <c r="AP124" i="9" s="1"/>
  <c r="AN110" i="9"/>
  <c r="AO110" i="9" s="1"/>
  <c r="AP110" i="9" s="1"/>
  <c r="AM110" i="9"/>
  <c r="AA91" i="9"/>
  <c r="AG91" i="9"/>
  <c r="AL136" i="9"/>
  <c r="AJ136" i="9"/>
  <c r="AK136" i="9"/>
  <c r="AL90" i="9"/>
  <c r="AK90" i="9"/>
  <c r="AJ90" i="9"/>
  <c r="AL70" i="9"/>
  <c r="AJ70" i="9"/>
  <c r="AK70" i="9"/>
  <c r="AN30" i="9"/>
  <c r="AO30" i="9" s="1"/>
  <c r="AP30" i="9" s="1"/>
  <c r="AM30" i="9"/>
  <c r="AM8" i="9"/>
  <c r="AN8" i="9"/>
  <c r="AO8" i="9" s="1"/>
  <c r="AP8" i="9" s="1"/>
  <c r="AM48" i="9"/>
  <c r="AN48" i="9"/>
  <c r="AO48" i="9" s="1"/>
  <c r="AP48" i="9" s="1"/>
  <c r="AN31" i="9"/>
  <c r="AO31" i="9" s="1"/>
  <c r="AP31" i="9" s="1"/>
  <c r="AM31" i="9"/>
  <c r="AA7" i="9"/>
  <c r="AA11" i="9"/>
  <c r="AL183" i="9" s="1"/>
  <c r="H7" i="7" s="1"/>
  <c r="AA18" i="9"/>
  <c r="AA15" i="9"/>
  <c r="Z7" i="9"/>
  <c r="AA13" i="9"/>
  <c r="AM45" i="9"/>
  <c r="AN45" i="9"/>
  <c r="AO45" i="9" s="1"/>
  <c r="AP45" i="9" s="1"/>
  <c r="AL42" i="9"/>
  <c r="AK42" i="9"/>
  <c r="AJ42" i="9"/>
  <c r="AM15" i="9"/>
  <c r="AN15" i="9"/>
  <c r="AO15" i="9" s="1"/>
  <c r="AP15" i="9" s="1"/>
  <c r="AM12" i="9"/>
  <c r="AN12" i="9"/>
  <c r="AO12" i="9" s="1"/>
  <c r="AP12" i="9" s="1"/>
  <c r="AM11" i="9"/>
  <c r="AN11" i="9"/>
  <c r="AO11" i="9" s="1"/>
  <c r="AP11" i="9" s="1"/>
  <c r="V139" i="9"/>
  <c r="AT182" i="9" s="1"/>
  <c r="W158" i="9"/>
  <c r="X146" i="9" s="1"/>
  <c r="Y147" i="9"/>
  <c r="AA170" i="9"/>
  <c r="AJ166" i="9"/>
  <c r="AL166" i="9"/>
  <c r="AK166" i="9"/>
  <c r="AK138" i="9"/>
  <c r="AJ138" i="9"/>
  <c r="AL138" i="9"/>
  <c r="AG86" i="9"/>
  <c r="AA86" i="9"/>
  <c r="AL131" i="9"/>
  <c r="AK131" i="9"/>
  <c r="AG143" i="9"/>
  <c r="AJ131" i="9"/>
  <c r="V84" i="9"/>
  <c r="V90" i="9"/>
  <c r="AG79" i="9"/>
  <c r="V88" i="9"/>
  <c r="AN119" i="9"/>
  <c r="AO119" i="9" s="1"/>
  <c r="AP119" i="9" s="1"/>
  <c r="AM119" i="9"/>
  <c r="AJ89" i="9"/>
  <c r="AL89" i="9"/>
  <c r="AK89" i="9"/>
  <c r="V85" i="9"/>
  <c r="AM134" i="9"/>
  <c r="AN134" i="9"/>
  <c r="AO134" i="9" s="1"/>
  <c r="AP134" i="9" s="1"/>
  <c r="V89" i="9"/>
  <c r="V87" i="9"/>
  <c r="T49" i="9"/>
  <c r="V46" i="9" s="1"/>
  <c r="AG27" i="9"/>
  <c r="AK55" i="9"/>
  <c r="AJ55" i="9"/>
  <c r="AL55" i="9"/>
  <c r="AA10" i="9"/>
  <c r="V155" i="9"/>
  <c r="AU182" i="9" s="1"/>
  <c r="AG85" i="9"/>
  <c r="AA85" i="9"/>
  <c r="AA88" i="9"/>
  <c r="AG88" i="9"/>
  <c r="AL109" i="9"/>
  <c r="AK109" i="9"/>
  <c r="AJ109" i="9"/>
  <c r="AN23" i="9"/>
  <c r="AO23" i="9" s="1"/>
  <c r="AP23" i="9" s="1"/>
  <c r="AM23" i="9"/>
  <c r="AL10" i="9"/>
  <c r="AJ10" i="9"/>
  <c r="AK10" i="9"/>
  <c r="AJ95" i="8"/>
  <c r="W96" i="8"/>
  <c r="X84" i="8" s="1"/>
  <c r="AC84" i="8" s="1"/>
  <c r="AQ187" i="8" s="1"/>
  <c r="Y96" i="8"/>
  <c r="AA91" i="8" s="1"/>
  <c r="U66" i="8"/>
  <c r="AO184" i="8" s="1"/>
  <c r="V15" i="8"/>
  <c r="V17" i="8"/>
  <c r="V8" i="8"/>
  <c r="V16" i="8"/>
  <c r="V13" i="8"/>
  <c r="V9" i="8"/>
  <c r="V7" i="8"/>
  <c r="V12" i="8"/>
  <c r="V14" i="8"/>
  <c r="V18" i="8"/>
  <c r="V11" i="8"/>
  <c r="AL182" i="8" s="1"/>
  <c r="G6" i="7" s="1"/>
  <c r="AN171" i="8"/>
  <c r="AO171" i="8" s="1"/>
  <c r="AP171" i="8" s="1"/>
  <c r="AM171" i="8"/>
  <c r="AT185" i="8"/>
  <c r="AC131" i="8"/>
  <c r="AT187" i="8" s="1"/>
  <c r="AJ139" i="8"/>
  <c r="AK139" i="8"/>
  <c r="AL139" i="8"/>
  <c r="AR185" i="8"/>
  <c r="AC101" i="8"/>
  <c r="AR187" i="8" s="1"/>
  <c r="V152" i="8"/>
  <c r="AL76" i="8"/>
  <c r="AK76" i="8"/>
  <c r="AJ76" i="8"/>
  <c r="V133" i="8"/>
  <c r="V141" i="8"/>
  <c r="V140" i="8"/>
  <c r="V139" i="8"/>
  <c r="AT182" i="8" s="1"/>
  <c r="V132" i="8"/>
  <c r="V74" i="8"/>
  <c r="W49" i="8"/>
  <c r="X37" i="8" s="1"/>
  <c r="AK91" i="8"/>
  <c r="AL91" i="8"/>
  <c r="AJ91" i="8"/>
  <c r="AJ89" i="8"/>
  <c r="AL89" i="8"/>
  <c r="AK89" i="8"/>
  <c r="AG31" i="8"/>
  <c r="AK40" i="8"/>
  <c r="AJ40" i="8"/>
  <c r="AL40" i="8"/>
  <c r="AN61" i="8"/>
  <c r="AO61" i="8" s="1"/>
  <c r="AP61" i="8" s="1"/>
  <c r="AM61" i="8"/>
  <c r="AN28" i="8"/>
  <c r="AO28" i="8" s="1"/>
  <c r="AP28" i="8" s="1"/>
  <c r="AM28" i="8"/>
  <c r="AG166" i="8"/>
  <c r="AG123" i="8"/>
  <c r="AJ122" i="8"/>
  <c r="AL122" i="8"/>
  <c r="AK122" i="8"/>
  <c r="AA78" i="8"/>
  <c r="AG94" i="8"/>
  <c r="AL72" i="8"/>
  <c r="AJ72" i="8"/>
  <c r="AK72" i="8"/>
  <c r="V156" i="8"/>
  <c r="V73" i="8"/>
  <c r="Y34" i="8"/>
  <c r="V76" i="8"/>
  <c r="AN41" i="8"/>
  <c r="AO41" i="8" s="1"/>
  <c r="AP41" i="8" s="1"/>
  <c r="AM41" i="8"/>
  <c r="AK77" i="8"/>
  <c r="AL77" i="8"/>
  <c r="AJ77" i="8"/>
  <c r="AJ80" i="8"/>
  <c r="AL80" i="8"/>
  <c r="AK80" i="8"/>
  <c r="AJ55" i="8"/>
  <c r="AL55" i="8"/>
  <c r="AK55" i="8"/>
  <c r="AL18" i="8"/>
  <c r="AK18" i="8"/>
  <c r="AJ18" i="8"/>
  <c r="AL14" i="8"/>
  <c r="AK14" i="8"/>
  <c r="AJ14" i="8"/>
  <c r="AG136" i="8"/>
  <c r="AN172" i="8"/>
  <c r="AO172" i="8" s="1"/>
  <c r="AP172" i="8" s="1"/>
  <c r="AM172" i="8"/>
  <c r="AG155" i="8"/>
  <c r="AL163" i="8"/>
  <c r="AK163" i="8"/>
  <c r="AJ163" i="8"/>
  <c r="AM164" i="8"/>
  <c r="AN164" i="8"/>
  <c r="AO164" i="8" s="1"/>
  <c r="AP164" i="8" s="1"/>
  <c r="AN71" i="8"/>
  <c r="AO71" i="8" s="1"/>
  <c r="AP71" i="8" s="1"/>
  <c r="AM71" i="8"/>
  <c r="T49" i="8"/>
  <c r="AL47" i="8"/>
  <c r="AK47" i="8"/>
  <c r="AJ47" i="8"/>
  <c r="AN87" i="8"/>
  <c r="AO87" i="8" s="1"/>
  <c r="AP87" i="8" s="1"/>
  <c r="AM87" i="8"/>
  <c r="AN170" i="8"/>
  <c r="AO170" i="8" s="1"/>
  <c r="AP170" i="8" s="1"/>
  <c r="AM170" i="8"/>
  <c r="V147" i="8"/>
  <c r="W173" i="8"/>
  <c r="X161" i="8" s="1"/>
  <c r="AG74" i="8"/>
  <c r="AG81" i="8" s="1"/>
  <c r="AA74" i="8"/>
  <c r="Y143" i="8"/>
  <c r="AN131" i="8"/>
  <c r="AM131" i="8"/>
  <c r="W128" i="8"/>
  <c r="X116" i="8" s="1"/>
  <c r="AM92" i="8"/>
  <c r="AN92" i="8"/>
  <c r="AO92" i="8" s="1"/>
  <c r="AP92" i="8" s="1"/>
  <c r="V78" i="8"/>
  <c r="AL69" i="8"/>
  <c r="AK69" i="8"/>
  <c r="AJ69" i="8"/>
  <c r="AM118" i="8"/>
  <c r="AN118" i="8"/>
  <c r="AO118" i="8" s="1"/>
  <c r="AP118" i="8" s="1"/>
  <c r="AG29" i="8"/>
  <c r="AA29" i="8"/>
  <c r="AM183" i="8" s="1"/>
  <c r="M7" i="7" s="1"/>
  <c r="AP84" i="8"/>
  <c r="AN24" i="8"/>
  <c r="AO24" i="8" s="1"/>
  <c r="AP24" i="8" s="1"/>
  <c r="AM24" i="8"/>
  <c r="AM43" i="8"/>
  <c r="AN43" i="8"/>
  <c r="AO43" i="8" s="1"/>
  <c r="AP43" i="8" s="1"/>
  <c r="AL60" i="8"/>
  <c r="AK60" i="8"/>
  <c r="AJ60" i="8"/>
  <c r="AL33" i="8"/>
  <c r="AJ33" i="8"/>
  <c r="AK33" i="8"/>
  <c r="Y19" i="8"/>
  <c r="AA7" i="8" s="1"/>
  <c r="AG7" i="8"/>
  <c r="AL23" i="8"/>
  <c r="AK23" i="8"/>
  <c r="AJ23" i="8"/>
  <c r="AK15" i="8"/>
  <c r="AJ15" i="8"/>
  <c r="AL15" i="8"/>
  <c r="AL169" i="8"/>
  <c r="AJ169" i="8"/>
  <c r="AK169" i="8"/>
  <c r="AN157" i="8"/>
  <c r="AO157" i="8" s="1"/>
  <c r="AP157" i="8" s="1"/>
  <c r="AM157" i="8"/>
  <c r="AN165" i="8"/>
  <c r="AO165" i="8" s="1"/>
  <c r="AP165" i="8" s="1"/>
  <c r="AM165" i="8"/>
  <c r="AJ132" i="8"/>
  <c r="AL132" i="8"/>
  <c r="AK132" i="8"/>
  <c r="AL149" i="8"/>
  <c r="AK149" i="8"/>
  <c r="AJ149" i="8"/>
  <c r="AP185" i="8"/>
  <c r="AC69" i="8"/>
  <c r="AP187" i="8" s="1"/>
  <c r="AA80" i="8"/>
  <c r="AM10" i="8"/>
  <c r="AN10" i="8"/>
  <c r="AO10" i="8" s="1"/>
  <c r="AP10" i="8" s="1"/>
  <c r="AK168" i="8"/>
  <c r="AJ168" i="8"/>
  <c r="AL168" i="8"/>
  <c r="V135" i="8"/>
  <c r="V155" i="8"/>
  <c r="AU182" i="8" s="1"/>
  <c r="W158" i="8"/>
  <c r="X146" i="8" s="1"/>
  <c r="V157" i="8"/>
  <c r="AK148" i="8"/>
  <c r="AJ148" i="8"/>
  <c r="AL148" i="8"/>
  <c r="Y173" i="8"/>
  <c r="AA166" i="8" s="1"/>
  <c r="AG161" i="8"/>
  <c r="AA161" i="8"/>
  <c r="AG120" i="8"/>
  <c r="AG128" i="8" s="1"/>
  <c r="V79" i="8"/>
  <c r="T113" i="8"/>
  <c r="V110" i="8" s="1"/>
  <c r="Y128" i="8"/>
  <c r="AA123" i="8" s="1"/>
  <c r="AK112" i="8"/>
  <c r="AL112" i="8"/>
  <c r="AJ112" i="8"/>
  <c r="AL150" i="8"/>
  <c r="AK150" i="8"/>
  <c r="AJ150" i="8"/>
  <c r="AG88" i="8"/>
  <c r="AG63" i="8"/>
  <c r="AL107" i="8"/>
  <c r="AK107" i="8"/>
  <c r="AJ107" i="8"/>
  <c r="AN25" i="8"/>
  <c r="AO25" i="8" s="1"/>
  <c r="AP25" i="8" s="1"/>
  <c r="AM25" i="8"/>
  <c r="AN79" i="8"/>
  <c r="AO79" i="8" s="1"/>
  <c r="AP79" i="8" s="1"/>
  <c r="AM79" i="8"/>
  <c r="W34" i="8"/>
  <c r="X22" i="8" s="1"/>
  <c r="AL26" i="8"/>
  <c r="AK26" i="8"/>
  <c r="AJ26" i="8"/>
  <c r="AG106" i="8"/>
  <c r="AL105" i="8"/>
  <c r="AK105" i="8"/>
  <c r="AJ105" i="8"/>
  <c r="AN57" i="8"/>
  <c r="AO57" i="8" s="1"/>
  <c r="AP57" i="8" s="1"/>
  <c r="AM57" i="8"/>
  <c r="AN39" i="8"/>
  <c r="AO39" i="8" s="1"/>
  <c r="AP39" i="8" s="1"/>
  <c r="AM39" i="8"/>
  <c r="V151" i="8"/>
  <c r="AG151" i="8"/>
  <c r="AJ116" i="8"/>
  <c r="AL116" i="8"/>
  <c r="AK116" i="8"/>
  <c r="AN109" i="8"/>
  <c r="AO109" i="8" s="1"/>
  <c r="AP109" i="8" s="1"/>
  <c r="AM109" i="8"/>
  <c r="AL78" i="8"/>
  <c r="AJ78" i="8"/>
  <c r="AK78" i="8"/>
  <c r="AG156" i="8"/>
  <c r="Z69" i="8"/>
  <c r="AA69" i="8"/>
  <c r="AA79" i="8"/>
  <c r="AK117" i="8"/>
  <c r="AL117" i="8"/>
  <c r="AJ117" i="8"/>
  <c r="AA77" i="8"/>
  <c r="AJ27" i="8"/>
  <c r="AL27" i="8"/>
  <c r="AK27" i="8"/>
  <c r="AL17" i="8"/>
  <c r="AK17" i="8"/>
  <c r="AJ17" i="8"/>
  <c r="AN167" i="8"/>
  <c r="AO167" i="8" s="1"/>
  <c r="AP167" i="8" s="1"/>
  <c r="AM167" i="8"/>
  <c r="AM142" i="8"/>
  <c r="AN142" i="8"/>
  <c r="AO142" i="8" s="1"/>
  <c r="AP142" i="8" s="1"/>
  <c r="Y158" i="8"/>
  <c r="AA146" i="8" s="1"/>
  <c r="AG146" i="8"/>
  <c r="V134" i="8"/>
  <c r="V136" i="8"/>
  <c r="AL152" i="8"/>
  <c r="AK152" i="8"/>
  <c r="AJ152" i="8"/>
  <c r="V80" i="8"/>
  <c r="AM141" i="8"/>
  <c r="AN141" i="8"/>
  <c r="AO141" i="8" s="1"/>
  <c r="AP141" i="8" s="1"/>
  <c r="AK125" i="8"/>
  <c r="AJ125" i="8"/>
  <c r="AL125" i="8"/>
  <c r="AJ111" i="8"/>
  <c r="AK111" i="8"/>
  <c r="AL111" i="8"/>
  <c r="AJ70" i="8"/>
  <c r="AK70" i="8"/>
  <c r="AL70" i="8"/>
  <c r="AA71" i="8"/>
  <c r="AG86" i="8"/>
  <c r="AL154" i="8"/>
  <c r="AK154" i="8"/>
  <c r="AJ154" i="8"/>
  <c r="T34" i="8"/>
  <c r="V23" i="8" s="1"/>
  <c r="V138" i="8"/>
  <c r="AL46" i="8"/>
  <c r="AK46" i="8"/>
  <c r="AJ46" i="8"/>
  <c r="AL75" i="8"/>
  <c r="AJ75" i="8"/>
  <c r="AK75" i="8"/>
  <c r="AN22" i="8"/>
  <c r="AM22" i="8"/>
  <c r="AG11" i="8"/>
  <c r="AG64" i="8"/>
  <c r="AL16" i="8"/>
  <c r="AK16" i="8"/>
  <c r="AJ16" i="8"/>
  <c r="V150" i="8"/>
  <c r="AJ147" i="8"/>
  <c r="AK147" i="8"/>
  <c r="AL147" i="8"/>
  <c r="AJ153" i="8"/>
  <c r="AK153" i="8"/>
  <c r="AL153" i="8"/>
  <c r="AN134" i="8"/>
  <c r="AO134" i="8" s="1"/>
  <c r="AP134" i="8" s="1"/>
  <c r="AM134" i="8"/>
  <c r="T128" i="8"/>
  <c r="V120" i="8" s="1"/>
  <c r="V71" i="8"/>
  <c r="V77" i="8"/>
  <c r="V72" i="8"/>
  <c r="AN124" i="8"/>
  <c r="AO124" i="8" s="1"/>
  <c r="AP124" i="8" s="1"/>
  <c r="AM124" i="8"/>
  <c r="AG38" i="8"/>
  <c r="AK102" i="8"/>
  <c r="AJ102" i="8"/>
  <c r="AL102" i="8"/>
  <c r="AM65" i="8"/>
  <c r="AN65" i="8"/>
  <c r="AO65" i="8" s="1"/>
  <c r="AP65" i="8" s="1"/>
  <c r="AN127" i="8"/>
  <c r="AO127" i="8" s="1"/>
  <c r="AP127" i="8" s="1"/>
  <c r="AM127" i="8"/>
  <c r="V137" i="8"/>
  <c r="AA75" i="8"/>
  <c r="AG93" i="8"/>
  <c r="AN42" i="8"/>
  <c r="AO42" i="8" s="1"/>
  <c r="AP42" i="8" s="1"/>
  <c r="AM42" i="8"/>
  <c r="AL121" i="8"/>
  <c r="AJ121" i="8"/>
  <c r="AK121" i="8"/>
  <c r="AK8" i="8"/>
  <c r="AL8" i="8"/>
  <c r="AJ8" i="8"/>
  <c r="W66" i="8"/>
  <c r="X54" i="8" s="1"/>
  <c r="Y54" i="8"/>
  <c r="AL103" i="8"/>
  <c r="AK103" i="8"/>
  <c r="AJ103" i="8"/>
  <c r="AM44" i="8"/>
  <c r="AN44" i="8"/>
  <c r="AO44" i="8" s="1"/>
  <c r="AP44" i="8" s="1"/>
  <c r="AA32" i="8"/>
  <c r="AG32" i="8"/>
  <c r="AN95" i="8"/>
  <c r="AO95" i="8" s="1"/>
  <c r="AP95" i="8" s="1"/>
  <c r="AM95" i="8"/>
  <c r="AL9" i="8"/>
  <c r="AK9" i="8"/>
  <c r="AJ9" i="8"/>
  <c r="AL12" i="8"/>
  <c r="AK12" i="8"/>
  <c r="AJ12" i="8"/>
  <c r="V154" i="8"/>
  <c r="V149" i="8"/>
  <c r="V148" i="8"/>
  <c r="V146" i="8"/>
  <c r="T173" i="8"/>
  <c r="V166" i="8" s="1"/>
  <c r="AL138" i="8"/>
  <c r="AK138" i="8"/>
  <c r="AJ138" i="8"/>
  <c r="AL135" i="8"/>
  <c r="AJ135" i="8"/>
  <c r="AK135" i="8"/>
  <c r="Y113" i="8"/>
  <c r="AA101" i="8" s="1"/>
  <c r="AG101" i="8"/>
  <c r="AK140" i="8"/>
  <c r="AJ140" i="8"/>
  <c r="AL140" i="8"/>
  <c r="AM119" i="8"/>
  <c r="AN119" i="8"/>
  <c r="AO119" i="8" s="1"/>
  <c r="AP119" i="8" s="1"/>
  <c r="V69" i="8"/>
  <c r="AK162" i="8"/>
  <c r="AJ162" i="8"/>
  <c r="AL162" i="8"/>
  <c r="AG110" i="8"/>
  <c r="AG85" i="8"/>
  <c r="AG143" i="8"/>
  <c r="AJ73" i="8"/>
  <c r="AK73" i="8"/>
  <c r="AL73" i="8"/>
  <c r="T96" i="8"/>
  <c r="V94" i="8" s="1"/>
  <c r="AG58" i="8"/>
  <c r="AL104" i="8"/>
  <c r="AK104" i="8"/>
  <c r="AJ104" i="8"/>
  <c r="V131" i="8"/>
  <c r="Y49" i="8"/>
  <c r="AA38" i="8" s="1"/>
  <c r="AG37" i="8"/>
  <c r="V70" i="8"/>
  <c r="AP182" i="8" s="1"/>
  <c r="AJ90" i="8"/>
  <c r="AK90" i="8"/>
  <c r="AL90" i="8"/>
  <c r="T66" i="8"/>
  <c r="V64" i="8" s="1"/>
  <c r="AN30" i="8"/>
  <c r="AO30" i="8" s="1"/>
  <c r="AP30" i="8" s="1"/>
  <c r="AM30" i="8"/>
  <c r="AM45" i="8"/>
  <c r="AN45" i="8"/>
  <c r="AO45" i="8" s="1"/>
  <c r="AP45" i="8" s="1"/>
  <c r="AL185" i="8"/>
  <c r="G9" i="7" s="1"/>
  <c r="AC7" i="8"/>
  <c r="AL187" i="8" s="1"/>
  <c r="G11" i="7" s="1"/>
  <c r="AJ13" i="8"/>
  <c r="AL13" i="8"/>
  <c r="AK13" i="8"/>
  <c r="AA27" i="9" l="1"/>
  <c r="AG34" i="8"/>
  <c r="V31" i="8"/>
  <c r="G42" i="7"/>
  <c r="V54" i="9"/>
  <c r="AG128" i="9"/>
  <c r="AA54" i="9"/>
  <c r="AA143" i="9"/>
  <c r="AV185" i="9"/>
  <c r="AA155" i="8"/>
  <c r="AU183" i="8" s="1"/>
  <c r="V41" i="9"/>
  <c r="V38" i="9"/>
  <c r="V63" i="9"/>
  <c r="V47" i="9"/>
  <c r="V73" i="9"/>
  <c r="AQ185" i="8"/>
  <c r="V8" i="9"/>
  <c r="V13" i="9"/>
  <c r="V16" i="9"/>
  <c r="V18" i="9"/>
  <c r="V17" i="9"/>
  <c r="V15" i="9"/>
  <c r="V11" i="9"/>
  <c r="AL182" i="9" s="1"/>
  <c r="H6" i="7" s="1"/>
  <c r="V10" i="9"/>
  <c r="V7" i="9"/>
  <c r="V14" i="9"/>
  <c r="V12" i="9"/>
  <c r="AN10" i="9"/>
  <c r="AO10" i="9" s="1"/>
  <c r="AP10" i="9" s="1"/>
  <c r="AM10" i="9"/>
  <c r="AL86" i="9"/>
  <c r="AK86" i="9"/>
  <c r="AJ86" i="9"/>
  <c r="AN136" i="9"/>
  <c r="AO136" i="9" s="1"/>
  <c r="AP136" i="9" s="1"/>
  <c r="AM136" i="9"/>
  <c r="AL153" i="9"/>
  <c r="AK153" i="9"/>
  <c r="AJ153" i="9"/>
  <c r="AN7" i="9"/>
  <c r="AM7" i="9"/>
  <c r="AL85" i="9"/>
  <c r="AJ85" i="9"/>
  <c r="AK85" i="9"/>
  <c r="AG96" i="9"/>
  <c r="AL27" i="9"/>
  <c r="AJ27" i="9"/>
  <c r="AK27" i="9"/>
  <c r="AM89" i="9"/>
  <c r="AN89" i="9"/>
  <c r="AO89" i="9" s="1"/>
  <c r="AP89" i="9" s="1"/>
  <c r="V120" i="9"/>
  <c r="AG147" i="9"/>
  <c r="Y158" i="9"/>
  <c r="AA147" i="9" s="1"/>
  <c r="AL188" i="9"/>
  <c r="H12" i="7" s="1"/>
  <c r="AR7" i="9"/>
  <c r="AS7" i="9" s="1"/>
  <c r="AE7" i="9"/>
  <c r="AL190" i="9" s="1"/>
  <c r="H14" i="7" s="1"/>
  <c r="AL91" i="9"/>
  <c r="AK91" i="9"/>
  <c r="AJ91" i="9"/>
  <c r="AK123" i="9"/>
  <c r="AJ123" i="9"/>
  <c r="AL123" i="9"/>
  <c r="AN118" i="9"/>
  <c r="AO118" i="9" s="1"/>
  <c r="AP118" i="9" s="1"/>
  <c r="AM118" i="9"/>
  <c r="Z69" i="9"/>
  <c r="AA72" i="9"/>
  <c r="AA71" i="9"/>
  <c r="AA73" i="9"/>
  <c r="AA75" i="9"/>
  <c r="AA80" i="9"/>
  <c r="AA70" i="9"/>
  <c r="AP183" i="9" s="1"/>
  <c r="AA74" i="9"/>
  <c r="AA77" i="9"/>
  <c r="V117" i="9"/>
  <c r="AL126" i="9"/>
  <c r="AK126" i="9"/>
  <c r="AJ126" i="9"/>
  <c r="AA46" i="9"/>
  <c r="AA78" i="9"/>
  <c r="AN169" i="9"/>
  <c r="AO169" i="9" s="1"/>
  <c r="AP169" i="9" s="1"/>
  <c r="AM169" i="9"/>
  <c r="AK54" i="9"/>
  <c r="AJ54" i="9"/>
  <c r="AG66" i="9"/>
  <c r="AL54" i="9"/>
  <c r="AA96" i="9"/>
  <c r="V37" i="9"/>
  <c r="V44" i="9"/>
  <c r="V43" i="9"/>
  <c r="V40" i="9"/>
  <c r="V42" i="9"/>
  <c r="AN182" i="9" s="1"/>
  <c r="V48" i="9"/>
  <c r="V45" i="9"/>
  <c r="V39" i="9"/>
  <c r="AM138" i="9"/>
  <c r="AN138" i="9"/>
  <c r="AO138" i="9" s="1"/>
  <c r="AP138" i="9" s="1"/>
  <c r="AU185" i="9"/>
  <c r="AC146" i="9"/>
  <c r="AU187" i="9" s="1"/>
  <c r="AU210" i="9" s="1"/>
  <c r="AM59" i="9"/>
  <c r="AN59" i="9"/>
  <c r="AO59" i="9" s="1"/>
  <c r="AP59" i="9" s="1"/>
  <c r="AA69" i="9"/>
  <c r="AK95" i="9"/>
  <c r="AL95" i="9"/>
  <c r="AJ95" i="9"/>
  <c r="AM57" i="9"/>
  <c r="AN57" i="9"/>
  <c r="AO57" i="9" s="1"/>
  <c r="AP57" i="9" s="1"/>
  <c r="AK46" i="9"/>
  <c r="AL46" i="9"/>
  <c r="AJ46" i="9"/>
  <c r="AL78" i="9"/>
  <c r="AK78" i="9"/>
  <c r="AJ78" i="9"/>
  <c r="AM185" i="9"/>
  <c r="AC22" i="9"/>
  <c r="AM187" i="9" s="1"/>
  <c r="AM75" i="9"/>
  <c r="AN75" i="9"/>
  <c r="AO75" i="9" s="1"/>
  <c r="AP75" i="9" s="1"/>
  <c r="Z54" i="9"/>
  <c r="AA65" i="9"/>
  <c r="AA60" i="9"/>
  <c r="AA62" i="9"/>
  <c r="AA61" i="9"/>
  <c r="AA58" i="9"/>
  <c r="AA55" i="9"/>
  <c r="AA59" i="9"/>
  <c r="AA57" i="9"/>
  <c r="AA56" i="9"/>
  <c r="AO183" i="9" s="1"/>
  <c r="AA76" i="9"/>
  <c r="AM168" i="9"/>
  <c r="AN168" i="9"/>
  <c r="AO168" i="9" s="1"/>
  <c r="AP168" i="9" s="1"/>
  <c r="AS185" i="9"/>
  <c r="AC116" i="9"/>
  <c r="AS187" i="9" s="1"/>
  <c r="AM148" i="9"/>
  <c r="AN148" i="9"/>
  <c r="AO148" i="9" s="1"/>
  <c r="AP148" i="9" s="1"/>
  <c r="AN155" i="9"/>
  <c r="AO155" i="9" s="1"/>
  <c r="AP155" i="9" s="1"/>
  <c r="AM155" i="9"/>
  <c r="AM122" i="9"/>
  <c r="AN122" i="9"/>
  <c r="AO122" i="9" s="1"/>
  <c r="AP122" i="9" s="1"/>
  <c r="V169" i="9"/>
  <c r="V164" i="9"/>
  <c r="V167" i="9"/>
  <c r="V162" i="9"/>
  <c r="V165" i="9"/>
  <c r="V172" i="9"/>
  <c r="V166" i="9"/>
  <c r="V161" i="9"/>
  <c r="V163" i="9"/>
  <c r="AK173" i="9"/>
  <c r="AL38" i="9"/>
  <c r="AK38" i="9"/>
  <c r="AJ38" i="9"/>
  <c r="AN172" i="9"/>
  <c r="AO172" i="9" s="1"/>
  <c r="AP172" i="9" s="1"/>
  <c r="AM172" i="9"/>
  <c r="V171" i="9"/>
  <c r="AV182" i="9" s="1"/>
  <c r="AA41" i="9"/>
  <c r="AA43" i="9"/>
  <c r="AA48" i="9"/>
  <c r="AA45" i="9"/>
  <c r="Z37" i="9"/>
  <c r="AA40" i="9"/>
  <c r="AA42" i="9"/>
  <c r="AN183" i="9" s="1"/>
  <c r="AA39" i="9"/>
  <c r="AA44" i="9"/>
  <c r="AK76" i="9"/>
  <c r="AL76" i="9"/>
  <c r="AJ76" i="9"/>
  <c r="AN171" i="9"/>
  <c r="AO171" i="9" s="1"/>
  <c r="AP171" i="9" s="1"/>
  <c r="AM171" i="9"/>
  <c r="AN157" i="9"/>
  <c r="AO157" i="9" s="1"/>
  <c r="AP157" i="9" s="1"/>
  <c r="AM157" i="9"/>
  <c r="AM73" i="9"/>
  <c r="AN73" i="9"/>
  <c r="AO73" i="9" s="1"/>
  <c r="AP73" i="9" s="1"/>
  <c r="AN161" i="9"/>
  <c r="AM161" i="9"/>
  <c r="AL173" i="9"/>
  <c r="AN101" i="9"/>
  <c r="AM101" i="9"/>
  <c r="AM24" i="9"/>
  <c r="AN24" i="9"/>
  <c r="AO24" i="9" s="1"/>
  <c r="AP24" i="9" s="1"/>
  <c r="AN44" i="9"/>
  <c r="AO44" i="9" s="1"/>
  <c r="AP44" i="9" s="1"/>
  <c r="AM44" i="9"/>
  <c r="AN28" i="9"/>
  <c r="AO28" i="9" s="1"/>
  <c r="AP28" i="9" s="1"/>
  <c r="AM28" i="9"/>
  <c r="AL139" i="9"/>
  <c r="AK139" i="9"/>
  <c r="AJ139" i="9"/>
  <c r="AN127" i="9"/>
  <c r="AO127" i="9" s="1"/>
  <c r="AP127" i="9" s="1"/>
  <c r="AM127" i="9"/>
  <c r="AN87" i="9"/>
  <c r="AO87" i="9" s="1"/>
  <c r="AP87" i="9" s="1"/>
  <c r="AM87" i="9"/>
  <c r="AN55" i="9"/>
  <c r="AO55" i="9" s="1"/>
  <c r="AP55" i="9" s="1"/>
  <c r="AM55" i="9"/>
  <c r="AM131" i="9"/>
  <c r="AN131" i="9"/>
  <c r="AN132" i="9"/>
  <c r="AO132" i="9" s="1"/>
  <c r="AP132" i="9" s="1"/>
  <c r="AM132" i="9"/>
  <c r="AN116" i="9"/>
  <c r="AM116" i="9"/>
  <c r="AV188" i="9"/>
  <c r="AR161" i="9"/>
  <c r="AS161" i="9" s="1"/>
  <c r="AE161" i="9"/>
  <c r="AV190" i="9" s="1"/>
  <c r="AV214" i="9" s="1"/>
  <c r="AL47" i="9"/>
  <c r="AK47" i="9"/>
  <c r="AJ47" i="9"/>
  <c r="AA37" i="9"/>
  <c r="Z22" i="9"/>
  <c r="AA33" i="9"/>
  <c r="AA30" i="9"/>
  <c r="AA29" i="9"/>
  <c r="AM183" i="9" s="1"/>
  <c r="N7" i="7" s="1"/>
  <c r="AA25" i="9"/>
  <c r="AA23" i="9"/>
  <c r="AA24" i="9"/>
  <c r="AA26" i="9"/>
  <c r="AA31" i="9"/>
  <c r="AA28" i="9"/>
  <c r="AA32" i="9"/>
  <c r="Z116" i="9"/>
  <c r="AA120" i="9"/>
  <c r="AA122" i="9"/>
  <c r="AS183" i="9" s="1"/>
  <c r="AA116" i="9"/>
  <c r="AA118" i="9"/>
  <c r="AA127" i="9"/>
  <c r="AA119" i="9"/>
  <c r="AA124" i="9"/>
  <c r="AK143" i="9"/>
  <c r="AM42" i="9"/>
  <c r="AN42" i="9"/>
  <c r="AO42" i="9" s="1"/>
  <c r="AP42" i="9" s="1"/>
  <c r="AN90" i="9"/>
  <c r="AO90" i="9" s="1"/>
  <c r="AP90" i="9" s="1"/>
  <c r="AM90" i="9"/>
  <c r="AQ185" i="9"/>
  <c r="AC84" i="9"/>
  <c r="AQ187" i="9" s="1"/>
  <c r="AN149" i="9"/>
  <c r="AO149" i="9" s="1"/>
  <c r="AP149" i="9" s="1"/>
  <c r="AM149" i="9"/>
  <c r="AK37" i="9"/>
  <c r="AL37" i="9"/>
  <c r="AJ37" i="9"/>
  <c r="AG49" i="9"/>
  <c r="AN109" i="9"/>
  <c r="AO109" i="9" s="1"/>
  <c r="AP109" i="9" s="1"/>
  <c r="AM109" i="9"/>
  <c r="AA19" i="9"/>
  <c r="AP185" i="9"/>
  <c r="AC69" i="9"/>
  <c r="AP187" i="9" s="1"/>
  <c r="V72" i="9"/>
  <c r="V76" i="9"/>
  <c r="V80" i="9"/>
  <c r="V69" i="9"/>
  <c r="V77" i="9"/>
  <c r="V70" i="9"/>
  <c r="AP182" i="9" s="1"/>
  <c r="V71" i="9"/>
  <c r="V75" i="9"/>
  <c r="V74" i="9"/>
  <c r="AG104" i="9"/>
  <c r="Y113" i="9"/>
  <c r="AT188" i="9"/>
  <c r="AR131" i="9"/>
  <c r="AS131" i="9" s="1"/>
  <c r="AE131" i="9"/>
  <c r="AT190" i="9" s="1"/>
  <c r="AK88" i="9"/>
  <c r="AJ88" i="9"/>
  <c r="AL88" i="9"/>
  <c r="AA79" i="9"/>
  <c r="V121" i="9"/>
  <c r="AN166" i="9"/>
  <c r="AO166" i="9" s="1"/>
  <c r="AP166" i="9" s="1"/>
  <c r="AM166" i="9"/>
  <c r="V61" i="9"/>
  <c r="V59" i="9"/>
  <c r="V58" i="9"/>
  <c r="V60" i="9"/>
  <c r="V62" i="9"/>
  <c r="V56" i="9"/>
  <c r="V55" i="9"/>
  <c r="V57" i="9"/>
  <c r="V65" i="9"/>
  <c r="AL63" i="9"/>
  <c r="AK63" i="9"/>
  <c r="AJ63" i="9"/>
  <c r="AL121" i="9"/>
  <c r="AK121" i="9"/>
  <c r="AJ121" i="9"/>
  <c r="AC101" i="9"/>
  <c r="AR187" i="9" s="1"/>
  <c r="AR185" i="9"/>
  <c r="AL16" i="9"/>
  <c r="AK16" i="9"/>
  <c r="AJ16" i="9"/>
  <c r="AN154" i="9"/>
  <c r="AO154" i="9" s="1"/>
  <c r="AP154" i="9" s="1"/>
  <c r="AM154" i="9"/>
  <c r="AN185" i="9"/>
  <c r="AC37" i="9"/>
  <c r="AN187" i="9" s="1"/>
  <c r="AM162" i="9"/>
  <c r="AN162" i="9"/>
  <c r="AO162" i="9" s="1"/>
  <c r="AP162" i="9" s="1"/>
  <c r="AO146" i="9"/>
  <c r="AG34" i="9"/>
  <c r="AL22" i="9"/>
  <c r="AK22" i="9"/>
  <c r="AJ22" i="9"/>
  <c r="AL117" i="9"/>
  <c r="AK117" i="9"/>
  <c r="AK128" i="9" s="1"/>
  <c r="AJ117" i="9"/>
  <c r="V78" i="9"/>
  <c r="AN163" i="9"/>
  <c r="AO163" i="9" s="1"/>
  <c r="AP163" i="9" s="1"/>
  <c r="AM163" i="9"/>
  <c r="AL17" i="9"/>
  <c r="AK17" i="9"/>
  <c r="AK19" i="9" s="1"/>
  <c r="AJ17" i="9"/>
  <c r="AQ188" i="9"/>
  <c r="AE84" i="9"/>
  <c r="AQ190" i="9" s="1"/>
  <c r="AR84" i="9"/>
  <c r="AS84" i="9" s="1"/>
  <c r="AL79" i="9"/>
  <c r="AK79" i="9"/>
  <c r="AJ79" i="9"/>
  <c r="AK93" i="9"/>
  <c r="AL93" i="9"/>
  <c r="AJ93" i="9"/>
  <c r="AN152" i="9"/>
  <c r="AO152" i="9" s="1"/>
  <c r="AP152" i="9" s="1"/>
  <c r="AM152" i="9"/>
  <c r="AL151" i="9"/>
  <c r="AK151" i="9"/>
  <c r="AJ151" i="9"/>
  <c r="AM107" i="9"/>
  <c r="AN107" i="9"/>
  <c r="AO107" i="9" s="1"/>
  <c r="AP107" i="9" s="1"/>
  <c r="V170" i="9"/>
  <c r="V30" i="9"/>
  <c r="V25" i="9"/>
  <c r="V23" i="9"/>
  <c r="V33" i="9"/>
  <c r="V29" i="9"/>
  <c r="AM182" i="9" s="1"/>
  <c r="N6" i="7" s="1"/>
  <c r="V28" i="9"/>
  <c r="V22" i="9"/>
  <c r="V32" i="9"/>
  <c r="V31" i="9"/>
  <c r="V24" i="9"/>
  <c r="V26" i="9"/>
  <c r="AN14" i="9"/>
  <c r="AO14" i="9" s="1"/>
  <c r="AP14" i="9" s="1"/>
  <c r="AM14" i="9"/>
  <c r="AN167" i="9"/>
  <c r="AO167" i="9" s="1"/>
  <c r="AP167" i="9" s="1"/>
  <c r="AM167" i="9"/>
  <c r="AK106" i="9"/>
  <c r="AL106" i="9"/>
  <c r="AJ106" i="9"/>
  <c r="V168" i="9"/>
  <c r="V158" i="9"/>
  <c r="AK94" i="9"/>
  <c r="AL94" i="9"/>
  <c r="AJ94" i="9"/>
  <c r="AL69" i="9"/>
  <c r="AK69" i="9"/>
  <c r="AG81" i="9"/>
  <c r="AJ69" i="9"/>
  <c r="V142" i="9"/>
  <c r="V143" i="9" s="1"/>
  <c r="V116" i="9"/>
  <c r="V127" i="9"/>
  <c r="V119" i="9"/>
  <c r="V123" i="9"/>
  <c r="V126" i="9"/>
  <c r="V122" i="9"/>
  <c r="AS182" i="9" s="1"/>
  <c r="V118" i="9"/>
  <c r="V124" i="9"/>
  <c r="AN74" i="9"/>
  <c r="AO74" i="9" s="1"/>
  <c r="AP74" i="9" s="1"/>
  <c r="AM74" i="9"/>
  <c r="AO84" i="9"/>
  <c r="V112" i="9"/>
  <c r="V101" i="9"/>
  <c r="V108" i="9"/>
  <c r="V111" i="9"/>
  <c r="V104" i="9"/>
  <c r="AR182" i="9" s="1"/>
  <c r="V107" i="9"/>
  <c r="V110" i="9"/>
  <c r="V105" i="9"/>
  <c r="V103" i="9"/>
  <c r="V109" i="9"/>
  <c r="AN56" i="9"/>
  <c r="AO56" i="9" s="1"/>
  <c r="AP56" i="9" s="1"/>
  <c r="AM56" i="9"/>
  <c r="AL125" i="9"/>
  <c r="AK125" i="9"/>
  <c r="AJ125" i="9"/>
  <c r="AO185" i="9"/>
  <c r="AC54" i="9"/>
  <c r="AO187" i="9" s="1"/>
  <c r="AA173" i="9"/>
  <c r="AL64" i="9"/>
  <c r="AK64" i="9"/>
  <c r="AJ64" i="9"/>
  <c r="AN111" i="9"/>
  <c r="AO111" i="9" s="1"/>
  <c r="AP111" i="9" s="1"/>
  <c r="AM111" i="9"/>
  <c r="V96" i="9"/>
  <c r="AN70" i="9"/>
  <c r="AO70" i="9" s="1"/>
  <c r="AP70" i="9" s="1"/>
  <c r="AM70" i="9"/>
  <c r="AN165" i="9"/>
  <c r="AO165" i="9" s="1"/>
  <c r="AP165" i="9" s="1"/>
  <c r="AM165" i="9"/>
  <c r="V102" i="9"/>
  <c r="AN9" i="9"/>
  <c r="AO9" i="9" s="1"/>
  <c r="AP9" i="9" s="1"/>
  <c r="AM9" i="9"/>
  <c r="AN61" i="9"/>
  <c r="AO61" i="9" s="1"/>
  <c r="AP61" i="9" s="1"/>
  <c r="AM61" i="9"/>
  <c r="AA120" i="8"/>
  <c r="AA110" i="8"/>
  <c r="V104" i="8"/>
  <c r="AR182" i="8" s="1"/>
  <c r="V106" i="8"/>
  <c r="AA84" i="8"/>
  <c r="AA85" i="8"/>
  <c r="V89" i="8"/>
  <c r="AA89" i="8"/>
  <c r="AA94" i="8"/>
  <c r="AA87" i="8"/>
  <c r="AA86" i="8"/>
  <c r="AA93" i="8"/>
  <c r="AA92" i="8"/>
  <c r="Z84" i="8"/>
  <c r="AQ188" i="8" s="1"/>
  <c r="AA90" i="8"/>
  <c r="AA88" i="8"/>
  <c r="AA95" i="8"/>
  <c r="AQ183" i="8" s="1"/>
  <c r="V54" i="8"/>
  <c r="V58" i="8"/>
  <c r="AA37" i="8"/>
  <c r="V19" i="8"/>
  <c r="AA11" i="8"/>
  <c r="AL183" i="8" s="1"/>
  <c r="G7" i="7" s="1"/>
  <c r="V37" i="8"/>
  <c r="V48" i="8"/>
  <c r="V45" i="8"/>
  <c r="V40" i="8"/>
  <c r="V39" i="8"/>
  <c r="V44" i="8"/>
  <c r="V46" i="8"/>
  <c r="V42" i="8"/>
  <c r="AN182" i="8" s="1"/>
  <c r="V38" i="8"/>
  <c r="V43" i="8"/>
  <c r="V41" i="8"/>
  <c r="AO185" i="8"/>
  <c r="AC54" i="8"/>
  <c r="AO187" i="8" s="1"/>
  <c r="AK210" i="8" s="1"/>
  <c r="AL210" i="8" s="1"/>
  <c r="AO131" i="8"/>
  <c r="V81" i="8"/>
  <c r="Z101" i="8"/>
  <c r="AA108" i="8"/>
  <c r="AA109" i="8"/>
  <c r="AA111" i="8"/>
  <c r="AA105" i="8"/>
  <c r="AA103" i="8"/>
  <c r="AA107" i="8"/>
  <c r="AA102" i="8"/>
  <c r="AA112" i="8"/>
  <c r="AA104" i="8"/>
  <c r="AR183" i="8" s="1"/>
  <c r="AJ93" i="8"/>
  <c r="AL93" i="8"/>
  <c r="AK93" i="8"/>
  <c r="AN102" i="8"/>
  <c r="AO102" i="8" s="1"/>
  <c r="AP102" i="8" s="1"/>
  <c r="AM102" i="8"/>
  <c r="AO22" i="8"/>
  <c r="V22" i="8"/>
  <c r="V28" i="8"/>
  <c r="V24" i="8"/>
  <c r="V33" i="8"/>
  <c r="V27" i="8"/>
  <c r="V25" i="8"/>
  <c r="V30" i="8"/>
  <c r="V26" i="8"/>
  <c r="AN70" i="8"/>
  <c r="AO70" i="8" s="1"/>
  <c r="AP70" i="8" s="1"/>
  <c r="AM70" i="8"/>
  <c r="AM117" i="8"/>
  <c r="AN117" i="8"/>
  <c r="AO117" i="8" s="1"/>
  <c r="AP117" i="8" s="1"/>
  <c r="AA151" i="8"/>
  <c r="AM26" i="8"/>
  <c r="AN26" i="8"/>
  <c r="AO26" i="8" s="1"/>
  <c r="AP26" i="8" s="1"/>
  <c r="AN107" i="8"/>
  <c r="AO107" i="8" s="1"/>
  <c r="AP107" i="8" s="1"/>
  <c r="AM107" i="8"/>
  <c r="AK120" i="8"/>
  <c r="AL120" i="8"/>
  <c r="AJ120" i="8"/>
  <c r="AN149" i="8"/>
  <c r="AO149" i="8" s="1"/>
  <c r="AP149" i="8" s="1"/>
  <c r="AM149" i="8"/>
  <c r="AM69" i="8"/>
  <c r="AN69" i="8"/>
  <c r="AL155" i="8"/>
  <c r="AJ155" i="8"/>
  <c r="AK155" i="8"/>
  <c r="AN14" i="8"/>
  <c r="AO14" i="8" s="1"/>
  <c r="AP14" i="8" s="1"/>
  <c r="AM14" i="8"/>
  <c r="AN80" i="8"/>
  <c r="AO80" i="8" s="1"/>
  <c r="AP80" i="8" s="1"/>
  <c r="AM80" i="8"/>
  <c r="Z22" i="8"/>
  <c r="AA25" i="8"/>
  <c r="AA30" i="8"/>
  <c r="AA33" i="8"/>
  <c r="AA28" i="8"/>
  <c r="AA22" i="8"/>
  <c r="AA24" i="8"/>
  <c r="AA26" i="8"/>
  <c r="AA23" i="8"/>
  <c r="AA27" i="8"/>
  <c r="AL31" i="8"/>
  <c r="AK31" i="8"/>
  <c r="AJ31" i="8"/>
  <c r="AM125" i="8"/>
  <c r="AN125" i="8"/>
  <c r="AO125" i="8" s="1"/>
  <c r="AP125" i="8" s="1"/>
  <c r="AN139" i="8"/>
  <c r="AO139" i="8" s="1"/>
  <c r="AP139" i="8" s="1"/>
  <c r="AM139" i="8"/>
  <c r="AM104" i="8"/>
  <c r="AN104" i="8"/>
  <c r="AO104" i="8" s="1"/>
  <c r="AP104" i="8" s="1"/>
  <c r="AK85" i="8"/>
  <c r="AL85" i="8"/>
  <c r="AJ85" i="8"/>
  <c r="AG96" i="8"/>
  <c r="V158" i="8"/>
  <c r="AN8" i="8"/>
  <c r="AO8" i="8" s="1"/>
  <c r="AP8" i="8" s="1"/>
  <c r="AM8" i="8"/>
  <c r="AN16" i="8"/>
  <c r="AO16" i="8" s="1"/>
  <c r="AP16" i="8" s="1"/>
  <c r="AM16" i="8"/>
  <c r="AN78" i="8"/>
  <c r="AO78" i="8" s="1"/>
  <c r="AP78" i="8" s="1"/>
  <c r="AM78" i="8"/>
  <c r="AK151" i="8"/>
  <c r="AJ151" i="8"/>
  <c r="AL151" i="8"/>
  <c r="AM185" i="8"/>
  <c r="AC22" i="8"/>
  <c r="AM187" i="8" s="1"/>
  <c r="AL63" i="8"/>
  <c r="AK63" i="8"/>
  <c r="AJ63" i="8"/>
  <c r="AU185" i="8"/>
  <c r="AC146" i="8"/>
  <c r="AU187" i="8" s="1"/>
  <c r="AU210" i="8" s="1"/>
  <c r="AM23" i="8"/>
  <c r="AN23" i="8"/>
  <c r="AO23" i="8" s="1"/>
  <c r="AP23" i="8" s="1"/>
  <c r="AA142" i="8"/>
  <c r="AA131" i="8"/>
  <c r="Z131" i="8"/>
  <c r="AA133" i="8"/>
  <c r="AA139" i="8"/>
  <c r="AT183" i="8" s="1"/>
  <c r="AA135" i="8"/>
  <c r="AA138" i="8"/>
  <c r="AA141" i="8"/>
  <c r="AA137" i="8"/>
  <c r="AA132" i="8"/>
  <c r="AA134" i="8"/>
  <c r="AA140" i="8"/>
  <c r="AA31" i="8"/>
  <c r="AN185" i="8"/>
  <c r="AC37" i="8"/>
  <c r="AN187" i="8" s="1"/>
  <c r="AL101" i="8"/>
  <c r="AG113" i="8"/>
  <c r="AK101" i="8"/>
  <c r="AJ101" i="8"/>
  <c r="AL166" i="8"/>
  <c r="AK166" i="8"/>
  <c r="AJ166" i="8"/>
  <c r="AN13" i="8"/>
  <c r="AO13" i="8" s="1"/>
  <c r="AP13" i="8" s="1"/>
  <c r="AM13" i="8"/>
  <c r="AG49" i="8"/>
  <c r="AL37" i="8"/>
  <c r="AK37" i="8"/>
  <c r="AJ37" i="8"/>
  <c r="AL58" i="8"/>
  <c r="AJ58" i="8"/>
  <c r="AK58" i="8"/>
  <c r="AN9" i="8"/>
  <c r="AO9" i="8" s="1"/>
  <c r="AP9" i="8" s="1"/>
  <c r="AM9" i="8"/>
  <c r="AN147" i="8"/>
  <c r="AO147" i="8" s="1"/>
  <c r="AP147" i="8" s="1"/>
  <c r="AM147" i="8"/>
  <c r="AL64" i="8"/>
  <c r="AK64" i="8"/>
  <c r="AJ64" i="8"/>
  <c r="AL146" i="8"/>
  <c r="AK146" i="8"/>
  <c r="AG158" i="8"/>
  <c r="AJ146" i="8"/>
  <c r="AN17" i="8"/>
  <c r="AO17" i="8" s="1"/>
  <c r="AP17" i="8" s="1"/>
  <c r="AM17" i="8"/>
  <c r="AM105" i="8"/>
  <c r="AN105" i="8"/>
  <c r="AO105" i="8" s="1"/>
  <c r="AP105" i="8" s="1"/>
  <c r="AN112" i="8"/>
  <c r="AO112" i="8" s="1"/>
  <c r="AP112" i="8" s="1"/>
  <c r="AM112" i="8"/>
  <c r="AN132" i="8"/>
  <c r="AO132" i="8" s="1"/>
  <c r="AP132" i="8" s="1"/>
  <c r="AM132" i="8"/>
  <c r="AN60" i="8"/>
  <c r="AO60" i="8" s="1"/>
  <c r="AP60" i="8" s="1"/>
  <c r="AM60" i="8"/>
  <c r="AN76" i="8"/>
  <c r="AO76" i="8" s="1"/>
  <c r="AP76" i="8" s="1"/>
  <c r="AM76" i="8"/>
  <c r="AN152" i="8"/>
  <c r="AO152" i="8" s="1"/>
  <c r="AP152" i="8" s="1"/>
  <c r="AM152" i="8"/>
  <c r="V163" i="8"/>
  <c r="V172" i="8"/>
  <c r="V162" i="8"/>
  <c r="V167" i="8"/>
  <c r="V165" i="8"/>
  <c r="V168" i="8"/>
  <c r="V161" i="8"/>
  <c r="V169" i="8"/>
  <c r="V170" i="8"/>
  <c r="V164" i="8"/>
  <c r="V171" i="8"/>
  <c r="AV182" i="8" s="1"/>
  <c r="AN150" i="8"/>
  <c r="AO150" i="8" s="1"/>
  <c r="AP150" i="8" s="1"/>
  <c r="AM150" i="8"/>
  <c r="AM33" i="8"/>
  <c r="AN33" i="8"/>
  <c r="AO33" i="8" s="1"/>
  <c r="AP33" i="8" s="1"/>
  <c r="AM140" i="8"/>
  <c r="AN140" i="8"/>
  <c r="AO140" i="8" s="1"/>
  <c r="AP140" i="8" s="1"/>
  <c r="AM135" i="8"/>
  <c r="AN135" i="8"/>
  <c r="AO135" i="8" s="1"/>
  <c r="AP135" i="8" s="1"/>
  <c r="AN103" i="8"/>
  <c r="AO103" i="8" s="1"/>
  <c r="AP103" i="8" s="1"/>
  <c r="AM103" i="8"/>
  <c r="AM75" i="8"/>
  <c r="AN75" i="8"/>
  <c r="AO75" i="8" s="1"/>
  <c r="AP75" i="8" s="1"/>
  <c r="AM111" i="8"/>
  <c r="AN111" i="8"/>
  <c r="AO111" i="8" s="1"/>
  <c r="AP111" i="8" s="1"/>
  <c r="AA157" i="8"/>
  <c r="Z146" i="8"/>
  <c r="AA153" i="8"/>
  <c r="AA147" i="8"/>
  <c r="AA154" i="8"/>
  <c r="AA152" i="8"/>
  <c r="AA150" i="8"/>
  <c r="AA148" i="8"/>
  <c r="AA149" i="8"/>
  <c r="AA81" i="8"/>
  <c r="V32" i="8"/>
  <c r="AL161" i="8"/>
  <c r="AG173" i="8"/>
  <c r="AK161" i="8"/>
  <c r="AJ161" i="8"/>
  <c r="V88" i="8"/>
  <c r="AM169" i="8"/>
  <c r="AN169" i="8"/>
  <c r="AO169" i="8" s="1"/>
  <c r="AP169" i="8" s="1"/>
  <c r="AG19" i="8"/>
  <c r="AJ7" i="8"/>
  <c r="AL7" i="8"/>
  <c r="AK7" i="8"/>
  <c r="AL29" i="8"/>
  <c r="AK29" i="8"/>
  <c r="AJ29" i="8"/>
  <c r="AA136" i="8"/>
  <c r="AM18" i="8"/>
  <c r="AN18" i="8"/>
  <c r="AO18" i="8" s="1"/>
  <c r="AP18" i="8" s="1"/>
  <c r="AM77" i="8"/>
  <c r="AN77" i="8"/>
  <c r="AO77" i="8" s="1"/>
  <c r="AP77" i="8" s="1"/>
  <c r="AM122" i="8"/>
  <c r="AN122" i="8"/>
  <c r="AO122" i="8" s="1"/>
  <c r="AP122" i="8" s="1"/>
  <c r="AM89" i="8"/>
  <c r="AN89" i="8"/>
  <c r="AO89" i="8" s="1"/>
  <c r="AP89" i="8" s="1"/>
  <c r="AM138" i="8"/>
  <c r="AN138" i="8"/>
  <c r="AO138" i="8" s="1"/>
  <c r="AP138" i="8" s="1"/>
  <c r="AG54" i="8"/>
  <c r="Y66" i="8"/>
  <c r="AA54" i="8" s="1"/>
  <c r="AM46" i="8"/>
  <c r="AN46" i="8"/>
  <c r="AO46" i="8" s="1"/>
  <c r="AP46" i="8" s="1"/>
  <c r="AL94" i="8"/>
  <c r="AK94" i="8"/>
  <c r="AJ94" i="8"/>
  <c r="AN91" i="8"/>
  <c r="AO91" i="8" s="1"/>
  <c r="AP91" i="8" s="1"/>
  <c r="AM91" i="8"/>
  <c r="V57" i="8"/>
  <c r="V62" i="8"/>
  <c r="V60" i="8"/>
  <c r="V63" i="8"/>
  <c r="V61" i="8"/>
  <c r="V59" i="8"/>
  <c r="V65" i="8"/>
  <c r="V55" i="8"/>
  <c r="V56" i="8"/>
  <c r="AA41" i="8"/>
  <c r="AA42" i="8"/>
  <c r="AN183" i="8" s="1"/>
  <c r="AA39" i="8"/>
  <c r="AA44" i="8"/>
  <c r="Z37" i="8"/>
  <c r="AA46" i="8"/>
  <c r="AA43" i="8"/>
  <c r="AA45" i="8"/>
  <c r="AA47" i="8"/>
  <c r="AA40" i="8"/>
  <c r="AA48" i="8"/>
  <c r="V84" i="8"/>
  <c r="V91" i="8"/>
  <c r="V87" i="8"/>
  <c r="V93" i="8"/>
  <c r="V95" i="8"/>
  <c r="AQ182" i="8" s="1"/>
  <c r="V92" i="8"/>
  <c r="V86" i="8"/>
  <c r="V85" i="8"/>
  <c r="V90" i="8"/>
  <c r="AJ110" i="8"/>
  <c r="AL110" i="8"/>
  <c r="AK110" i="8"/>
  <c r="AL38" i="8"/>
  <c r="AJ38" i="8"/>
  <c r="AK38" i="8"/>
  <c r="V127" i="8"/>
  <c r="V116" i="8"/>
  <c r="V118" i="8"/>
  <c r="V125" i="8"/>
  <c r="V126" i="8"/>
  <c r="V117" i="8"/>
  <c r="V124" i="8"/>
  <c r="V142" i="8"/>
  <c r="V119" i="8"/>
  <c r="V122" i="8"/>
  <c r="AS182" i="8" s="1"/>
  <c r="V123" i="8"/>
  <c r="AN154" i="8"/>
  <c r="AO154" i="8" s="1"/>
  <c r="AP154" i="8" s="1"/>
  <c r="AM154" i="8"/>
  <c r="AN27" i="8"/>
  <c r="AO27" i="8" s="1"/>
  <c r="AP27" i="8" s="1"/>
  <c r="AM27" i="8"/>
  <c r="AP188" i="8"/>
  <c r="AR69" i="8"/>
  <c r="AS69" i="8" s="1"/>
  <c r="AE69" i="8"/>
  <c r="AP190" i="8" s="1"/>
  <c r="AL106" i="8"/>
  <c r="AK106" i="8"/>
  <c r="AJ106" i="8"/>
  <c r="AJ88" i="8"/>
  <c r="AL88" i="8"/>
  <c r="AK88" i="8"/>
  <c r="Z116" i="8"/>
  <c r="AA127" i="8"/>
  <c r="AA124" i="8"/>
  <c r="AA119" i="8"/>
  <c r="AA118" i="8"/>
  <c r="AA121" i="8"/>
  <c r="AA126" i="8"/>
  <c r="AA122" i="8"/>
  <c r="AS183" i="8" s="1"/>
  <c r="AA117" i="8"/>
  <c r="AA125" i="8"/>
  <c r="AA116" i="8"/>
  <c r="Z161" i="8"/>
  <c r="AA172" i="8"/>
  <c r="AA171" i="8"/>
  <c r="AV183" i="8" s="1"/>
  <c r="AA165" i="8"/>
  <c r="AA170" i="8"/>
  <c r="AA167" i="8"/>
  <c r="AA169" i="8"/>
  <c r="AA162" i="8"/>
  <c r="AA164" i="8"/>
  <c r="AA163" i="8"/>
  <c r="AA168" i="8"/>
  <c r="AN168" i="8"/>
  <c r="AO168" i="8" s="1"/>
  <c r="AP168" i="8" s="1"/>
  <c r="AM168" i="8"/>
  <c r="AN15" i="8"/>
  <c r="AO15" i="8" s="1"/>
  <c r="AP15" i="8" s="1"/>
  <c r="AM15" i="8"/>
  <c r="Z7" i="8"/>
  <c r="AA12" i="8"/>
  <c r="AA9" i="8"/>
  <c r="AA10" i="8"/>
  <c r="AA16" i="8"/>
  <c r="AA18" i="8"/>
  <c r="AA15" i="8"/>
  <c r="AA17" i="8"/>
  <c r="AA8" i="8"/>
  <c r="AA13" i="8"/>
  <c r="AA14" i="8"/>
  <c r="AK74" i="8"/>
  <c r="AK81" i="8" s="1"/>
  <c r="AJ74" i="8"/>
  <c r="AL74" i="8"/>
  <c r="AL81" i="8" s="1"/>
  <c r="AJ136" i="8"/>
  <c r="AL136" i="8"/>
  <c r="AK136" i="8"/>
  <c r="AK143" i="8" s="1"/>
  <c r="AR84" i="8"/>
  <c r="AS84" i="8" s="1"/>
  <c r="AJ86" i="8"/>
  <c r="AL86" i="8"/>
  <c r="AK86" i="8"/>
  <c r="AL156" i="8"/>
  <c r="AK156" i="8"/>
  <c r="AJ156" i="8"/>
  <c r="AN163" i="8"/>
  <c r="AO163" i="8" s="1"/>
  <c r="AP163" i="8" s="1"/>
  <c r="AM163" i="8"/>
  <c r="AM12" i="8"/>
  <c r="AN12" i="8"/>
  <c r="AO12" i="8" s="1"/>
  <c r="AP12" i="8" s="1"/>
  <c r="AN153" i="8"/>
  <c r="AO153" i="8" s="1"/>
  <c r="AP153" i="8" s="1"/>
  <c r="AM153" i="8"/>
  <c r="V47" i="8"/>
  <c r="AN90" i="8"/>
  <c r="AO90" i="8" s="1"/>
  <c r="AP90" i="8" s="1"/>
  <c r="AM90" i="8"/>
  <c r="V143" i="8"/>
  <c r="AM73" i="8"/>
  <c r="AN73" i="8"/>
  <c r="AO73" i="8" s="1"/>
  <c r="AP73" i="8" s="1"/>
  <c r="AM162" i="8"/>
  <c r="AN162" i="8"/>
  <c r="AO162" i="8" s="1"/>
  <c r="AP162" i="8" s="1"/>
  <c r="AL32" i="8"/>
  <c r="AK32" i="8"/>
  <c r="AJ32" i="8"/>
  <c r="AN121" i="8"/>
  <c r="AO121" i="8" s="1"/>
  <c r="AP121" i="8" s="1"/>
  <c r="AM121" i="8"/>
  <c r="AK11" i="8"/>
  <c r="AJ11" i="8"/>
  <c r="AL11" i="8"/>
  <c r="AA156" i="8"/>
  <c r="AM116" i="8"/>
  <c r="AN116" i="8"/>
  <c r="AA106" i="8"/>
  <c r="V112" i="8"/>
  <c r="V107" i="8"/>
  <c r="V103" i="8"/>
  <c r="V102" i="8"/>
  <c r="V109" i="8"/>
  <c r="V108" i="8"/>
  <c r="V101" i="8"/>
  <c r="V111" i="8"/>
  <c r="V105" i="8"/>
  <c r="AN148" i="8"/>
  <c r="AO148" i="8" s="1"/>
  <c r="AP148" i="8" s="1"/>
  <c r="AM148" i="8"/>
  <c r="AS185" i="8"/>
  <c r="AC116" i="8"/>
  <c r="AS187" i="8" s="1"/>
  <c r="AV185" i="8"/>
  <c r="AC161" i="8"/>
  <c r="AV187" i="8" s="1"/>
  <c r="AV210" i="8" s="1"/>
  <c r="AM47" i="8"/>
  <c r="AN47" i="8"/>
  <c r="AO47" i="8" s="1"/>
  <c r="AP47" i="8" s="1"/>
  <c r="V121" i="8"/>
  <c r="AN55" i="8"/>
  <c r="AO55" i="8" s="1"/>
  <c r="AP55" i="8" s="1"/>
  <c r="AM55" i="8"/>
  <c r="AN72" i="8"/>
  <c r="AO72" i="8" s="1"/>
  <c r="AP72" i="8" s="1"/>
  <c r="AM72" i="8"/>
  <c r="AK123" i="8"/>
  <c r="AJ123" i="8"/>
  <c r="AL123" i="8"/>
  <c r="AM40" i="8"/>
  <c r="AN40" i="8"/>
  <c r="AO40" i="8" s="1"/>
  <c r="AP40" i="8" s="1"/>
  <c r="V29" i="8"/>
  <c r="AM182" i="8" s="1"/>
  <c r="M6" i="7" s="1"/>
  <c r="F7" i="7"/>
  <c r="L9" i="7"/>
  <c r="P9" i="7" s="1"/>
  <c r="F8" i="7" l="1"/>
  <c r="J8" i="7" s="1"/>
  <c r="L8" i="7"/>
  <c r="P8" i="7" s="1"/>
  <c r="N42" i="7"/>
  <c r="M42" i="7"/>
  <c r="H42" i="7"/>
  <c r="AH13" i="9"/>
  <c r="H22" i="7" s="1"/>
  <c r="H18" i="7"/>
  <c r="AO182" i="9"/>
  <c r="AA49" i="9"/>
  <c r="V19" i="9"/>
  <c r="AA34" i="9"/>
  <c r="AA66" i="9"/>
  <c r="AK96" i="9"/>
  <c r="AL128" i="9"/>
  <c r="AI13" i="9"/>
  <c r="H21" i="7" s="1"/>
  <c r="AA173" i="8"/>
  <c r="AK49" i="8"/>
  <c r="AK34" i="8"/>
  <c r="AK128" i="8"/>
  <c r="AK19" i="8"/>
  <c r="AK173" i="8"/>
  <c r="AA158" i="8"/>
  <c r="AK210" i="9"/>
  <c r="AL210" i="9" s="1"/>
  <c r="V66" i="9"/>
  <c r="V49" i="9"/>
  <c r="J7" i="7"/>
  <c r="H44" i="7" s="1"/>
  <c r="F11" i="7"/>
  <c r="F9" i="7"/>
  <c r="J9" i="7" s="1"/>
  <c r="AN64" i="9"/>
  <c r="AO64" i="9" s="1"/>
  <c r="AP64" i="9" s="1"/>
  <c r="AM64" i="9"/>
  <c r="AO116" i="9"/>
  <c r="AN139" i="9"/>
  <c r="AO139" i="9" s="1"/>
  <c r="AP139" i="9" s="1"/>
  <c r="AM139" i="9"/>
  <c r="AN151" i="9"/>
  <c r="AO151" i="9" s="1"/>
  <c r="AP151" i="9" s="1"/>
  <c r="AM151" i="9"/>
  <c r="AK34" i="9"/>
  <c r="AK49" i="9"/>
  <c r="AA128" i="9"/>
  <c r="AK81" i="9"/>
  <c r="AN22" i="9"/>
  <c r="AM22" i="9"/>
  <c r="AL34" i="9"/>
  <c r="V173" i="9"/>
  <c r="AP188" i="9"/>
  <c r="AE69" i="9"/>
  <c r="AP190" i="9" s="1"/>
  <c r="AR69" i="9"/>
  <c r="AS69" i="9" s="1"/>
  <c r="AM91" i="9"/>
  <c r="AN91" i="9"/>
  <c r="AO91" i="9" s="1"/>
  <c r="AP91" i="9" s="1"/>
  <c r="AN85" i="9"/>
  <c r="AM85" i="9"/>
  <c r="AL96" i="9"/>
  <c r="AN153" i="9"/>
  <c r="AO153" i="9" s="1"/>
  <c r="AP153" i="9" s="1"/>
  <c r="AM153" i="9"/>
  <c r="AP84" i="9"/>
  <c r="AN69" i="9"/>
  <c r="AM69" i="9"/>
  <c r="AL81" i="9"/>
  <c r="AN106" i="9"/>
  <c r="AO106" i="9" s="1"/>
  <c r="AP106" i="9" s="1"/>
  <c r="AM106" i="9"/>
  <c r="AN79" i="9"/>
  <c r="AO79" i="9" s="1"/>
  <c r="AP79" i="9" s="1"/>
  <c r="AM79" i="9"/>
  <c r="AN47" i="9"/>
  <c r="AO47" i="9" s="1"/>
  <c r="AP47" i="9" s="1"/>
  <c r="AM47" i="9"/>
  <c r="AO101" i="9"/>
  <c r="AP146" i="9"/>
  <c r="V81" i="9"/>
  <c r="AN95" i="9"/>
  <c r="AO95" i="9" s="1"/>
  <c r="AP95" i="9" s="1"/>
  <c r="AM95" i="9"/>
  <c r="V34" i="9"/>
  <c r="AN93" i="9"/>
  <c r="AO93" i="9" s="1"/>
  <c r="AP93" i="9" s="1"/>
  <c r="AM93" i="9"/>
  <c r="AN88" i="9"/>
  <c r="AO88" i="9" s="1"/>
  <c r="AP88" i="9" s="1"/>
  <c r="AM88" i="9"/>
  <c r="AM143" i="9"/>
  <c r="AT191" i="9" s="1"/>
  <c r="AN78" i="9"/>
  <c r="AO78" i="9" s="1"/>
  <c r="AP78" i="9" s="1"/>
  <c r="AM78" i="9"/>
  <c r="AN123" i="9"/>
  <c r="AO123" i="9" s="1"/>
  <c r="AP123" i="9" s="1"/>
  <c r="AM123" i="9"/>
  <c r="AN121" i="9"/>
  <c r="AO121" i="9" s="1"/>
  <c r="AP121" i="9" s="1"/>
  <c r="AM121" i="9"/>
  <c r="Z101" i="9"/>
  <c r="AA110" i="9"/>
  <c r="AA103" i="9"/>
  <c r="AA108" i="9"/>
  <c r="AA105" i="9"/>
  <c r="AA109" i="9"/>
  <c r="AA111" i="9"/>
  <c r="AA101" i="9"/>
  <c r="AA102" i="9"/>
  <c r="AA107" i="9"/>
  <c r="AA112" i="9"/>
  <c r="AA106" i="9"/>
  <c r="AS188" i="9"/>
  <c r="AR116" i="9"/>
  <c r="AS116" i="9" s="1"/>
  <c r="AE116" i="9"/>
  <c r="AS190" i="9" s="1"/>
  <c r="AN143" i="9"/>
  <c r="AO131" i="9"/>
  <c r="AN94" i="9"/>
  <c r="AO94" i="9" s="1"/>
  <c r="AP94" i="9" s="1"/>
  <c r="AM94" i="9"/>
  <c r="AA104" i="9"/>
  <c r="AR183" i="9" s="1"/>
  <c r="AM173" i="9"/>
  <c r="AV191" i="9" s="1"/>
  <c r="AV218" i="9" s="1"/>
  <c r="AN125" i="9"/>
  <c r="AO125" i="9" s="1"/>
  <c r="AP125" i="9" s="1"/>
  <c r="AM125" i="9"/>
  <c r="V128" i="9"/>
  <c r="AL104" i="9"/>
  <c r="AK104" i="9"/>
  <c r="AK113" i="9" s="1"/>
  <c r="AJ104" i="9"/>
  <c r="AG113" i="9"/>
  <c r="AL143" i="9"/>
  <c r="AO161" i="9"/>
  <c r="AN173" i="9"/>
  <c r="AN76" i="9"/>
  <c r="AO76" i="9" s="1"/>
  <c r="AP76" i="9" s="1"/>
  <c r="AM76" i="9"/>
  <c r="AO188" i="9"/>
  <c r="AE54" i="9"/>
  <c r="AO190" i="9" s="1"/>
  <c r="AR54" i="9"/>
  <c r="AS54" i="9" s="1"/>
  <c r="AA81" i="9"/>
  <c r="AM54" i="9"/>
  <c r="AN54" i="9"/>
  <c r="AL66" i="9"/>
  <c r="Z146" i="9"/>
  <c r="AA156" i="9"/>
  <c r="AA148" i="9"/>
  <c r="AA155" i="9"/>
  <c r="AU183" i="9" s="1"/>
  <c r="AA152" i="9"/>
  <c r="AA146" i="9"/>
  <c r="AA149" i="9"/>
  <c r="AA154" i="9"/>
  <c r="AA157" i="9"/>
  <c r="AA150" i="9"/>
  <c r="AA153" i="9"/>
  <c r="AA151" i="9"/>
  <c r="AN27" i="9"/>
  <c r="AO27" i="9" s="1"/>
  <c r="AP27" i="9" s="1"/>
  <c r="AM27" i="9"/>
  <c r="AO7" i="9"/>
  <c r="AN188" i="9"/>
  <c r="AE37" i="9"/>
  <c r="AN190" i="9" s="1"/>
  <c r="AR37" i="9"/>
  <c r="AS37" i="9" s="1"/>
  <c r="AM117" i="9"/>
  <c r="AN117" i="9"/>
  <c r="AO117" i="9" s="1"/>
  <c r="AP117" i="9" s="1"/>
  <c r="AN16" i="9"/>
  <c r="AO16" i="9" s="1"/>
  <c r="AP16" i="9" s="1"/>
  <c r="AM16" i="9"/>
  <c r="AM19" i="9" s="1"/>
  <c r="AL191" i="9" s="1"/>
  <c r="H19" i="7" s="1"/>
  <c r="AN63" i="9"/>
  <c r="AO63" i="9" s="1"/>
  <c r="AP63" i="9" s="1"/>
  <c r="AM63" i="9"/>
  <c r="AM188" i="9"/>
  <c r="AR22" i="9"/>
  <c r="AS22" i="9" s="1"/>
  <c r="AE22" i="9"/>
  <c r="AM190" i="9" s="1"/>
  <c r="N14" i="7" s="1"/>
  <c r="AN38" i="9"/>
  <c r="AO38" i="9" s="1"/>
  <c r="AP38" i="9" s="1"/>
  <c r="AM38" i="9"/>
  <c r="AN46" i="9"/>
  <c r="AO46" i="9" s="1"/>
  <c r="AP46" i="9" s="1"/>
  <c r="AM46" i="9"/>
  <c r="AL19" i="9"/>
  <c r="H20" i="7" s="1"/>
  <c r="AN86" i="9"/>
  <c r="AO86" i="9" s="1"/>
  <c r="AP86" i="9" s="1"/>
  <c r="AM86" i="9"/>
  <c r="AK212" i="9"/>
  <c r="AT210" i="9" s="1"/>
  <c r="AN37" i="9"/>
  <c r="AL49" i="9"/>
  <c r="AM37" i="9"/>
  <c r="AN126" i="9"/>
  <c r="AO126" i="9" s="1"/>
  <c r="AP126" i="9" s="1"/>
  <c r="AM126" i="9"/>
  <c r="AL147" i="9"/>
  <c r="AK147" i="9"/>
  <c r="AK158" i="9" s="1"/>
  <c r="AJ147" i="9"/>
  <c r="AG158" i="9"/>
  <c r="V113" i="9"/>
  <c r="AN17" i="9"/>
  <c r="AO17" i="9" s="1"/>
  <c r="AP17" i="9" s="1"/>
  <c r="AM17" i="9"/>
  <c r="AR210" i="9"/>
  <c r="AK211" i="9"/>
  <c r="AP210" i="9" s="1"/>
  <c r="AK66" i="9"/>
  <c r="AA113" i="8"/>
  <c r="V113" i="8"/>
  <c r="AA96" i="8"/>
  <c r="AE84" i="8"/>
  <c r="AQ190" i="8" s="1"/>
  <c r="AO182" i="8"/>
  <c r="V66" i="8"/>
  <c r="AA49" i="8"/>
  <c r="AA34" i="8"/>
  <c r="AA19" i="8"/>
  <c r="AL158" i="8"/>
  <c r="AM146" i="8"/>
  <c r="AN146" i="8"/>
  <c r="AN151" i="8"/>
  <c r="AO151" i="8" s="1"/>
  <c r="AP151" i="8" s="1"/>
  <c r="AM151" i="8"/>
  <c r="AM155" i="8"/>
  <c r="AN155" i="8"/>
  <c r="AO155" i="8" s="1"/>
  <c r="AP155" i="8" s="1"/>
  <c r="AG66" i="8"/>
  <c r="AL54" i="8"/>
  <c r="AJ54" i="8"/>
  <c r="AK54" i="8"/>
  <c r="AK66" i="8" s="1"/>
  <c r="AN94" i="8"/>
  <c r="AO94" i="8" s="1"/>
  <c r="AP94" i="8" s="1"/>
  <c r="AM94" i="8"/>
  <c r="AM161" i="8"/>
  <c r="AN161" i="8"/>
  <c r="AL173" i="8"/>
  <c r="AN58" i="8"/>
  <c r="AO58" i="8" s="1"/>
  <c r="AP58" i="8" s="1"/>
  <c r="AM58" i="8"/>
  <c r="V34" i="8"/>
  <c r="AO116" i="8"/>
  <c r="AK212" i="8"/>
  <c r="AN120" i="8"/>
  <c r="AO120" i="8" s="1"/>
  <c r="AP120" i="8" s="1"/>
  <c r="AM120" i="8"/>
  <c r="AN93" i="8"/>
  <c r="AO93" i="8" s="1"/>
  <c r="AP93" i="8" s="1"/>
  <c r="AM93" i="8"/>
  <c r="AL128" i="8"/>
  <c r="AN88" i="8"/>
  <c r="AO88" i="8" s="1"/>
  <c r="AP88" i="8" s="1"/>
  <c r="AM88" i="8"/>
  <c r="AL19" i="8"/>
  <c r="G20" i="7" s="1"/>
  <c r="AM7" i="8"/>
  <c r="AN7" i="8"/>
  <c r="AM188" i="8"/>
  <c r="AE22" i="8"/>
  <c r="AM190" i="8" s="1"/>
  <c r="M14" i="7" s="1"/>
  <c r="AR22" i="8"/>
  <c r="AS22" i="8" s="1"/>
  <c r="AO69" i="8"/>
  <c r="AR210" i="8"/>
  <c r="AN32" i="8"/>
  <c r="AO32" i="8" s="1"/>
  <c r="AP32" i="8" s="1"/>
  <c r="AM32" i="8"/>
  <c r="AN38" i="8"/>
  <c r="AO38" i="8" s="1"/>
  <c r="AP38" i="8" s="1"/>
  <c r="AM38" i="8"/>
  <c r="V173" i="8"/>
  <c r="AN64" i="8"/>
  <c r="AO64" i="8" s="1"/>
  <c r="AP64" i="8" s="1"/>
  <c r="AM64" i="8"/>
  <c r="AM166" i="8"/>
  <c r="AN166" i="8"/>
  <c r="AO166" i="8" s="1"/>
  <c r="AP166" i="8" s="1"/>
  <c r="AR188" i="8"/>
  <c r="AE101" i="8"/>
  <c r="AR190" i="8" s="1"/>
  <c r="AR101" i="8"/>
  <c r="AS101" i="8" s="1"/>
  <c r="V49" i="8"/>
  <c r="AL188" i="8"/>
  <c r="G12" i="7" s="1"/>
  <c r="AR7" i="8"/>
  <c r="AS7" i="8" s="1"/>
  <c r="AE7" i="8"/>
  <c r="AL190" i="8" s="1"/>
  <c r="G14" i="7" s="1"/>
  <c r="AN11" i="8"/>
  <c r="AO11" i="8" s="1"/>
  <c r="AP11" i="8" s="1"/>
  <c r="AM11" i="8"/>
  <c r="AV188" i="8"/>
  <c r="AR161" i="8"/>
  <c r="AS161" i="8" s="1"/>
  <c r="AE161" i="8"/>
  <c r="AV190" i="8" s="1"/>
  <c r="AV214" i="8" s="1"/>
  <c r="AT188" i="8"/>
  <c r="AR131" i="8"/>
  <c r="AS131" i="8" s="1"/>
  <c r="AE131" i="8"/>
  <c r="AT190" i="8" s="1"/>
  <c r="AM85" i="8"/>
  <c r="AN85" i="8"/>
  <c r="AL96" i="8"/>
  <c r="AN136" i="8"/>
  <c r="AO136" i="8" s="1"/>
  <c r="AP136" i="8" s="1"/>
  <c r="AM136" i="8"/>
  <c r="AM143" i="8" s="1"/>
  <c r="AT191" i="8" s="1"/>
  <c r="AA128" i="8"/>
  <c r="AN106" i="8"/>
  <c r="AO106" i="8" s="1"/>
  <c r="AP106" i="8" s="1"/>
  <c r="AM106" i="8"/>
  <c r="AL49" i="8"/>
  <c r="AN37" i="8"/>
  <c r="AM37" i="8"/>
  <c r="AM49" i="8" s="1"/>
  <c r="AN191" i="8" s="1"/>
  <c r="AA143" i="8"/>
  <c r="AK96" i="8"/>
  <c r="AN123" i="8"/>
  <c r="AO123" i="8" s="1"/>
  <c r="AP123" i="8" s="1"/>
  <c r="AM123" i="8"/>
  <c r="AN188" i="8"/>
  <c r="AE37" i="8"/>
  <c r="AN190" i="8" s="1"/>
  <c r="AR37" i="8"/>
  <c r="AS37" i="8" s="1"/>
  <c r="AK211" i="8"/>
  <c r="AP210" i="8" s="1"/>
  <c r="AN143" i="8"/>
  <c r="AL143" i="8"/>
  <c r="AU188" i="8"/>
  <c r="AE146" i="8"/>
  <c r="AU190" i="8" s="1"/>
  <c r="AU214" i="8" s="1"/>
  <c r="AR146" i="8"/>
  <c r="AS146" i="8" s="1"/>
  <c r="AP22" i="8"/>
  <c r="AM156" i="8"/>
  <c r="AN156" i="8"/>
  <c r="AO156" i="8" s="1"/>
  <c r="AP156" i="8" s="1"/>
  <c r="AM110" i="8"/>
  <c r="AN110" i="8"/>
  <c r="AO110" i="8" s="1"/>
  <c r="AP110" i="8" s="1"/>
  <c r="AK113" i="8"/>
  <c r="AN63" i="8"/>
  <c r="AO63" i="8" s="1"/>
  <c r="AP63" i="8" s="1"/>
  <c r="AM63" i="8"/>
  <c r="AO143" i="8"/>
  <c r="AT192" i="8" s="1"/>
  <c r="AP131" i="8"/>
  <c r="AP143" i="8" s="1"/>
  <c r="AM86" i="8"/>
  <c r="AN86" i="8"/>
  <c r="AO86" i="8" s="1"/>
  <c r="AP86" i="8" s="1"/>
  <c r="AN74" i="8"/>
  <c r="AO74" i="8" s="1"/>
  <c r="AP74" i="8" s="1"/>
  <c r="AM74" i="8"/>
  <c r="AM81" i="8" s="1"/>
  <c r="AP191" i="8" s="1"/>
  <c r="AS188" i="8"/>
  <c r="AE116" i="8"/>
  <c r="AS190" i="8" s="1"/>
  <c r="AR116" i="8"/>
  <c r="AS116" i="8" s="1"/>
  <c r="V128" i="8"/>
  <c r="V96" i="8"/>
  <c r="AA59" i="8"/>
  <c r="Z54" i="8"/>
  <c r="AA61" i="8"/>
  <c r="AA57" i="8"/>
  <c r="AA62" i="8"/>
  <c r="AA56" i="8"/>
  <c r="AO183" i="8" s="1"/>
  <c r="AA60" i="8"/>
  <c r="AA65" i="8"/>
  <c r="AA55" i="8"/>
  <c r="AA64" i="8"/>
  <c r="AA58" i="8"/>
  <c r="AA63" i="8"/>
  <c r="AM29" i="8"/>
  <c r="AN29" i="8"/>
  <c r="AO29" i="8" s="1"/>
  <c r="AP29" i="8" s="1"/>
  <c r="AL34" i="8"/>
  <c r="AK158" i="8"/>
  <c r="AM101" i="8"/>
  <c r="AN101" i="8"/>
  <c r="AL113" i="8"/>
  <c r="AN31" i="8"/>
  <c r="AO31" i="8" s="1"/>
  <c r="AP31" i="8" s="1"/>
  <c r="AM31" i="8"/>
  <c r="AO210" i="8"/>
  <c r="L7" i="7"/>
  <c r="P7" i="7" s="1"/>
  <c r="F6" i="7"/>
  <c r="L11" i="7"/>
  <c r="L12" i="7"/>
  <c r="P12" i="7" s="1"/>
  <c r="L14" i="7"/>
  <c r="L6" i="7"/>
  <c r="L42" i="7" s="1"/>
  <c r="F20" i="7"/>
  <c r="P6" i="7" l="1"/>
  <c r="M43" i="7" s="1"/>
  <c r="F39" i="7"/>
  <c r="P11" i="7"/>
  <c r="L45" i="7" s="1"/>
  <c r="N44" i="7"/>
  <c r="M44" i="7"/>
  <c r="L44" i="7"/>
  <c r="P14" i="7"/>
  <c r="L46" i="7" s="1"/>
  <c r="G44" i="7"/>
  <c r="F42" i="7"/>
  <c r="F44" i="7"/>
  <c r="AM128" i="9"/>
  <c r="AS191" i="9" s="1"/>
  <c r="AO210" i="9"/>
  <c r="AM66" i="9"/>
  <c r="AO191" i="9" s="1"/>
  <c r="J20" i="7"/>
  <c r="I52" i="7" s="1"/>
  <c r="AH13" i="8"/>
  <c r="G22" i="7" s="1"/>
  <c r="G18" i="7"/>
  <c r="AM128" i="8"/>
  <c r="AS191" i="8" s="1"/>
  <c r="AI13" i="8"/>
  <c r="G21" i="7" s="1"/>
  <c r="F12" i="7"/>
  <c r="J12" i="7" s="1"/>
  <c r="AN210" i="9"/>
  <c r="J6" i="7"/>
  <c r="F43" i="7" s="1"/>
  <c r="J11" i="7"/>
  <c r="AN19" i="9"/>
  <c r="AN49" i="9"/>
  <c r="AO37" i="9"/>
  <c r="AM210" i="9"/>
  <c r="AA158" i="9"/>
  <c r="AO173" i="9"/>
  <c r="AV192" i="9" s="1"/>
  <c r="AP161" i="9"/>
  <c r="AP173" i="9" s="1"/>
  <c r="AO143" i="9"/>
  <c r="AT192" i="9" s="1"/>
  <c r="AP131" i="9"/>
  <c r="AP143" i="9" s="1"/>
  <c r="AR188" i="9"/>
  <c r="AR101" i="9"/>
  <c r="AS101" i="9" s="1"/>
  <c r="AE101" i="9"/>
  <c r="AR190" i="9" s="1"/>
  <c r="AN66" i="9"/>
  <c r="AO54" i="9"/>
  <c r="AN34" i="9"/>
  <c r="AO22" i="9"/>
  <c r="AN147" i="9"/>
  <c r="AM147" i="9"/>
  <c r="AM158" i="9" s="1"/>
  <c r="AU191" i="9" s="1"/>
  <c r="AU218" i="9" s="1"/>
  <c r="AL158" i="9"/>
  <c r="AA113" i="9"/>
  <c r="AK215" i="9"/>
  <c r="AP214" i="9" s="1"/>
  <c r="AQ210" i="9"/>
  <c r="AN128" i="9"/>
  <c r="AO128" i="9"/>
  <c r="AS192" i="9" s="1"/>
  <c r="AP116" i="9"/>
  <c r="AP128" i="9" s="1"/>
  <c r="AS210" i="9"/>
  <c r="AK216" i="9"/>
  <c r="AN214" i="9" s="1"/>
  <c r="AM96" i="9"/>
  <c r="AQ191" i="9" s="1"/>
  <c r="AM49" i="9"/>
  <c r="AN191" i="9" s="1"/>
  <c r="AU188" i="9"/>
  <c r="AR146" i="9"/>
  <c r="AS146" i="9" s="1"/>
  <c r="AE146" i="9"/>
  <c r="AU190" i="9" s="1"/>
  <c r="AU214" i="9" s="1"/>
  <c r="AP101" i="9"/>
  <c r="AM81" i="9"/>
  <c r="AP191" i="9" s="1"/>
  <c r="AO85" i="9"/>
  <c r="AN96" i="9"/>
  <c r="AO19" i="9"/>
  <c r="AL192" i="9" s="1"/>
  <c r="H23" i="7" s="1"/>
  <c r="AP7" i="9"/>
  <c r="AP19" i="9" s="1"/>
  <c r="AN104" i="9"/>
  <c r="AM104" i="9"/>
  <c r="AM113" i="9" s="1"/>
  <c r="AR191" i="9" s="1"/>
  <c r="AL113" i="9"/>
  <c r="AN81" i="9"/>
  <c r="AO69" i="9"/>
  <c r="AM34" i="9"/>
  <c r="AM191" i="9" s="1"/>
  <c r="AA66" i="8"/>
  <c r="AM34" i="8"/>
  <c r="AM191" i="8" s="1"/>
  <c r="AK219" i="8" s="1"/>
  <c r="AS218" i="8" s="1"/>
  <c r="AP34" i="8"/>
  <c r="AM210" i="8"/>
  <c r="AM19" i="8"/>
  <c r="AL191" i="8" s="1"/>
  <c r="G19" i="7" s="1"/>
  <c r="AM113" i="8"/>
  <c r="AR191" i="8" s="1"/>
  <c r="AO146" i="8"/>
  <c r="AN158" i="8"/>
  <c r="AT210" i="8"/>
  <c r="AQ210" i="8"/>
  <c r="AN173" i="8"/>
  <c r="AO161" i="8"/>
  <c r="AL66" i="8"/>
  <c r="AN54" i="8"/>
  <c r="AM54" i="8"/>
  <c r="AM66" i="8" s="1"/>
  <c r="AO191" i="8" s="1"/>
  <c r="AM158" i="8"/>
  <c r="AU191" i="8" s="1"/>
  <c r="AU218" i="8" s="1"/>
  <c r="AN81" i="8"/>
  <c r="AN210" i="8"/>
  <c r="AM173" i="8"/>
  <c r="AV191" i="8" s="1"/>
  <c r="AV218" i="8" s="1"/>
  <c r="AP69" i="8"/>
  <c r="AP81" i="8" s="1"/>
  <c r="AO81" i="8"/>
  <c r="AP192" i="8" s="1"/>
  <c r="AO128" i="8"/>
  <c r="AS192" i="8" s="1"/>
  <c r="AP116" i="8"/>
  <c r="AP128" i="8" s="1"/>
  <c r="AN113" i="8"/>
  <c r="AO101" i="8"/>
  <c r="AN19" i="8"/>
  <c r="AO7" i="8"/>
  <c r="AN128" i="8"/>
  <c r="AE54" i="8"/>
  <c r="AO190" i="8" s="1"/>
  <c r="AK214" i="8" s="1"/>
  <c r="AO188" i="8"/>
  <c r="AR54" i="8"/>
  <c r="AS54" i="8" s="1"/>
  <c r="AO34" i="8"/>
  <c r="AM192" i="8" s="1"/>
  <c r="AO37" i="8"/>
  <c r="AN49" i="8"/>
  <c r="AO85" i="8"/>
  <c r="AN96" i="8"/>
  <c r="AK215" i="8"/>
  <c r="AP214" i="8" s="1"/>
  <c r="AK216" i="8"/>
  <c r="AQ214" i="8" s="1"/>
  <c r="AM96" i="8"/>
  <c r="AQ191" i="8" s="1"/>
  <c r="AN34" i="8"/>
  <c r="AS210" i="8"/>
  <c r="F14" i="7"/>
  <c r="F19" i="7"/>
  <c r="L43" i="7" l="1"/>
  <c r="N43" i="7"/>
  <c r="L71" i="7"/>
  <c r="H45" i="7"/>
  <c r="G45" i="7"/>
  <c r="L20" i="7"/>
  <c r="L39" i="7"/>
  <c r="F45" i="7"/>
  <c r="L22" i="7"/>
  <c r="L18" i="7"/>
  <c r="L21" i="7"/>
  <c r="F22" i="7"/>
  <c r="J22" i="7" s="1"/>
  <c r="F18" i="7"/>
  <c r="J18" i="7" s="1"/>
  <c r="M45" i="7"/>
  <c r="N45" i="7"/>
  <c r="O45" i="7"/>
  <c r="F21" i="7"/>
  <c r="J21" i="7" s="1"/>
  <c r="J39" i="7"/>
  <c r="F70" i="7" s="1"/>
  <c r="N46" i="7"/>
  <c r="O46" i="7"/>
  <c r="M46" i="7"/>
  <c r="M71" i="7" s="1"/>
  <c r="F52" i="7"/>
  <c r="H52" i="7"/>
  <c r="G52" i="7"/>
  <c r="G43" i="7"/>
  <c r="H43" i="7"/>
  <c r="J19" i="7"/>
  <c r="G51" i="7" s="1"/>
  <c r="J14" i="7"/>
  <c r="F46" i="7" s="1"/>
  <c r="AS214" i="9"/>
  <c r="AQ214" i="9"/>
  <c r="AT214" i="9"/>
  <c r="AM214" i="9"/>
  <c r="AO147" i="9"/>
  <c r="AN158" i="9"/>
  <c r="AO81" i="9"/>
  <c r="AP192" i="9" s="1"/>
  <c r="AP69" i="9"/>
  <c r="AP81" i="9" s="1"/>
  <c r="AP85" i="9"/>
  <c r="AP96" i="9" s="1"/>
  <c r="AO96" i="9"/>
  <c r="AQ192" i="9" s="1"/>
  <c r="AK214" i="9"/>
  <c r="AO34" i="9"/>
  <c r="AM192" i="9" s="1"/>
  <c r="AP22" i="9"/>
  <c r="AP34" i="9" s="1"/>
  <c r="AO104" i="9"/>
  <c r="AN113" i="9"/>
  <c r="AO49" i="9"/>
  <c r="AN192" i="9" s="1"/>
  <c r="AP37" i="9"/>
  <c r="AP49" i="9" s="1"/>
  <c r="AO66" i="9"/>
  <c r="AO192" i="9" s="1"/>
  <c r="AP54" i="9"/>
  <c r="AP66" i="9" s="1"/>
  <c r="AK219" i="9"/>
  <c r="AS218" i="9" s="1"/>
  <c r="AK220" i="9"/>
  <c r="AT218" i="9" s="1"/>
  <c r="AK218" i="9"/>
  <c r="AN214" i="8"/>
  <c r="AT214" i="8"/>
  <c r="AK218" i="8"/>
  <c r="AL218" i="8" s="1"/>
  <c r="AL214" i="8"/>
  <c r="AR214" i="8"/>
  <c r="AP85" i="8"/>
  <c r="AP96" i="8" s="1"/>
  <c r="AO96" i="8"/>
  <c r="AQ192" i="8" s="1"/>
  <c r="AO113" i="8"/>
  <c r="AR192" i="8" s="1"/>
  <c r="AP101" i="8"/>
  <c r="AP113" i="8" s="1"/>
  <c r="AO158" i="8"/>
  <c r="AU192" i="8" s="1"/>
  <c r="AP146" i="8"/>
  <c r="AP158" i="8" s="1"/>
  <c r="AP161" i="8"/>
  <c r="AP173" i="8" s="1"/>
  <c r="AO173" i="8"/>
  <c r="AV192" i="8" s="1"/>
  <c r="AP37" i="8"/>
  <c r="AP49" i="8" s="1"/>
  <c r="AO49" i="8"/>
  <c r="AN192" i="8" s="1"/>
  <c r="AP218" i="8"/>
  <c r="AO214" i="8"/>
  <c r="AL227" i="8" s="1"/>
  <c r="AK220" i="8"/>
  <c r="AQ218" i="8" s="1"/>
  <c r="AM218" i="8"/>
  <c r="AS214" i="8"/>
  <c r="AP7" i="8"/>
  <c r="AP19" i="8" s="1"/>
  <c r="AO19" i="8"/>
  <c r="AL192" i="8" s="1"/>
  <c r="G23" i="7" s="1"/>
  <c r="AM214" i="8"/>
  <c r="AO54" i="8"/>
  <c r="AN66" i="8"/>
  <c r="L19" i="7"/>
  <c r="P19" i="7" s="1"/>
  <c r="F23" i="7"/>
  <c r="N71" i="7" l="1"/>
  <c r="P18" i="7"/>
  <c r="L50" i="7" s="1"/>
  <c r="P22" i="7"/>
  <c r="L54" i="7" s="1"/>
  <c r="P39" i="7"/>
  <c r="L70" i="7" s="1"/>
  <c r="P21" i="7"/>
  <c r="L53" i="7" s="1"/>
  <c r="L23" i="7"/>
  <c r="P23" i="7" s="1"/>
  <c r="P20" i="7"/>
  <c r="L52" i="7" s="1"/>
  <c r="L51" i="7"/>
  <c r="O51" i="7"/>
  <c r="M51" i="7"/>
  <c r="N51" i="7"/>
  <c r="H70" i="7"/>
  <c r="G70" i="7"/>
  <c r="F51" i="7"/>
  <c r="I53" i="7"/>
  <c r="H53" i="7"/>
  <c r="I54" i="7"/>
  <c r="F54" i="7"/>
  <c r="H54" i="7"/>
  <c r="I50" i="7"/>
  <c r="F50" i="7"/>
  <c r="H50" i="7"/>
  <c r="G54" i="7"/>
  <c r="G53" i="7"/>
  <c r="H46" i="7"/>
  <c r="G46" i="7"/>
  <c r="F53" i="7"/>
  <c r="G50" i="7"/>
  <c r="I51" i="7"/>
  <c r="H51" i="7"/>
  <c r="J23" i="7"/>
  <c r="AL214" i="9"/>
  <c r="AO214" i="9"/>
  <c r="AN218" i="9"/>
  <c r="AL218" i="9"/>
  <c r="AO218" i="9"/>
  <c r="AP104" i="9"/>
  <c r="AP113" i="9" s="1"/>
  <c r="AO113" i="9"/>
  <c r="AR192" i="9" s="1"/>
  <c r="AR214" i="9"/>
  <c r="AM218" i="9"/>
  <c r="AP218" i="9"/>
  <c r="AQ218" i="9"/>
  <c r="AR218" i="9"/>
  <c r="AP147" i="9"/>
  <c r="AP158" i="9" s="1"/>
  <c r="AO158" i="9"/>
  <c r="AU192" i="9" s="1"/>
  <c r="AL228" i="8"/>
  <c r="AR218" i="8"/>
  <c r="AO218" i="8"/>
  <c r="AL232" i="8" s="1"/>
  <c r="AL238" i="8" s="1"/>
  <c r="AO66" i="8"/>
  <c r="AO192" i="8" s="1"/>
  <c r="AP54" i="8"/>
  <c r="AP66" i="8" s="1"/>
  <c r="AT218" i="8"/>
  <c r="AN218" i="8"/>
  <c r="AL231" i="8" s="1"/>
  <c r="AL226" i="8"/>
  <c r="AL237" i="8" s="1"/>
  <c r="N54" i="7" l="1"/>
  <c r="O54" i="7"/>
  <c r="M54" i="7"/>
  <c r="O53" i="7"/>
  <c r="M53" i="7"/>
  <c r="N53" i="7"/>
  <c r="M52" i="7"/>
  <c r="N52" i="7"/>
  <c r="O52" i="7"/>
  <c r="M70" i="7"/>
  <c r="N70" i="7"/>
  <c r="N50" i="7"/>
  <c r="O50" i="7"/>
  <c r="M50" i="7"/>
  <c r="F71" i="7"/>
  <c r="G71" i="7"/>
  <c r="H71" i="7"/>
  <c r="AL233" i="8"/>
  <c r="AL239" i="8" s="1"/>
</calcChain>
</file>

<file path=xl/comments1.xml><?xml version="1.0" encoding="utf-8"?>
<comments xmlns="http://schemas.openxmlformats.org/spreadsheetml/2006/main">
  <authors>
    <author>Autor</author>
  </authors>
  <commentList>
    <comment ref="AA29" authorId="0" shapeId="0">
      <text>
        <r>
          <rPr>
            <b/>
            <sz val="10"/>
            <color indexed="81"/>
            <rFont val="Tahoma"/>
            <family val="2"/>
            <charset val="238"/>
          </rPr>
          <t>Miłosz Krzymiński:</t>
        </r>
        <r>
          <rPr>
            <sz val="10"/>
            <color indexed="81"/>
            <rFont val="Tahoma"/>
            <family val="2"/>
            <charset val="238"/>
          </rPr>
          <t xml:space="preserve">
Wywar zbożowy jest dominującym substratem pod względem świeżej masy, ale jego udział procentowy w suchej masie organicznej wcale nie jestdominujący - ze względu na to, że wywar jest surowcem rozwodnionym. Z tego względu nie rozpatrywałbym uniwersalności odnosząc się tylko do świeżej masy  surowców.</t>
        </r>
      </text>
    </comment>
    <comment ref="E15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Wariant nierealny ze względu na brak ilości/dostępności surowca dominującego.</t>
        </r>
      </text>
    </comment>
    <comment ref="AM18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Wywar zbożowy jest dominującym substratem pod względem świeżej masy, ale jego udział procentowy w suchej masie organicznej wcale nie jestdominujący - ze względu na to, że wywar jest surowcem rozwodnionym. Z tego względu nie rozpatrywałbym uniwersalności odnosząc się tylko do świeżej masy  surowców.</t>
        </r>
      </text>
    </comment>
    <comment ref="AL226" authorId="0" shapeId="0">
      <text>
        <r>
          <rPr>
            <b/>
            <sz val="10"/>
            <color indexed="81"/>
            <rFont val="Tahoma"/>
            <family val="2"/>
            <charset val="238"/>
          </rPr>
          <t>Autor: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Ważny jest efekt końcowy, jak instalacja sobie radzi z dawką surowca dominującego. Firma zadeklaruje, że dużo wykorzysta jakiegoś surowca, więcej niż inne firmy, ale nie koniecznie instalacja sobie poradzi z tą dawką efektywnie. W związku z tym uważam, że nie powinno oceniać się uniwersalności dotyczącej dominującego surowca, którego ilość podawana jest  w ś.m. Powinniśmy odnieść się do redukcji wskaźników, tak naprawdę tego co dzieje się w „black box”.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A29" authorId="0" shapeId="0">
      <text>
        <r>
          <rPr>
            <b/>
            <sz val="10"/>
            <color indexed="81"/>
            <rFont val="Tahoma"/>
            <family val="2"/>
            <charset val="238"/>
          </rPr>
          <t>Miłosz Krzymiński:</t>
        </r>
        <r>
          <rPr>
            <sz val="10"/>
            <color indexed="81"/>
            <rFont val="Tahoma"/>
            <family val="2"/>
            <charset val="238"/>
          </rPr>
          <t xml:space="preserve">
Wywar zbożowy jest dominującym substratem pod względem świeżej masy, ale jego udział procentowy w suchej masie organicznej wcale nie jestdominujący - ze względu na to, że wywar jest surowcem rozwodnionym. Z tego względu nie rozpatrywałbym uniwersalności odnosząc się tylko do świeżej masy  surowców.</t>
        </r>
      </text>
    </comment>
    <comment ref="E15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Wariant nierealny ze względu na brak ilości/dostępności surowca dominującego.</t>
        </r>
      </text>
    </comment>
    <comment ref="AM18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Wywar zbożowy jest dominującym substratem pod względem świeżej masy, ale jego udział procentowy w suchej masie organicznej wcale nie jestdominujący - ze względu na to, że wywar jest surowcem rozwodnionym. Z tego względu nie rozpatrywałbym uniwersalności odnosząc się tylko do świeżej masy  surowców.</t>
        </r>
      </text>
    </comment>
    <comment ref="AL19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Ważny jest efekt końcowy, jak instalacja sobie radzi z dawką surowca dominującego. Firma zadeklaruje, że dużo wykorzysta jakiegoś surowca, więcej niż inne firmy, ale nie koniecznie instalacja sobie poradzi z tą dawką efektywnie. W związku z tym uważam, że nie powinno oceniać się uniwersalności dotyczącej dominującego surowca, którego ilość podawana jest  w ś.m. Powinniśmy odnieść się do redukcji wskaźników, tak naprawdę tego co dzieje się w „black box”.</t>
        </r>
      </text>
    </comment>
  </commentList>
</comments>
</file>

<file path=xl/sharedStrings.xml><?xml version="1.0" encoding="utf-8"?>
<sst xmlns="http://schemas.openxmlformats.org/spreadsheetml/2006/main" count="2480" uniqueCount="307">
  <si>
    <t>Substrat</t>
  </si>
  <si>
    <t>s.m.</t>
  </si>
  <si>
    <t>s.m.o.</t>
  </si>
  <si>
    <t>N</t>
  </si>
  <si>
    <t>% s.m.</t>
  </si>
  <si>
    <t>mg/kg s.m.</t>
  </si>
  <si>
    <t>Trzoda chlewna obornik</t>
  </si>
  <si>
    <t>Browary odpady (młóto)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</si>
  <si>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</si>
  <si>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</si>
  <si>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</si>
  <si>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</si>
  <si>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</si>
  <si>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</si>
  <si>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</si>
  <si>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</si>
  <si>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</si>
  <si>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Obornik bydlęcy</t>
  </si>
  <si>
    <t>Gnojowica bydlęca</t>
  </si>
  <si>
    <t>s.m. [%]</t>
  </si>
  <si>
    <t>2-8</t>
  </si>
  <si>
    <t>6-8</t>
  </si>
  <si>
    <t>7-8</t>
  </si>
  <si>
    <t>50-80</t>
  </si>
  <si>
    <t>1-8</t>
  </si>
  <si>
    <t>C</t>
  </si>
  <si>
    <t>C:N</t>
  </si>
  <si>
    <t>Odpady z produkcji spożywczej - odpady owocowo warzywne</t>
  </si>
  <si>
    <t>12-40</t>
  </si>
  <si>
    <t>6-7</t>
  </si>
  <si>
    <t>90-96</t>
  </si>
  <si>
    <t>s.m.o. [%s.m.]</t>
  </si>
  <si>
    <t>66-95</t>
  </si>
  <si>
    <t>2017 IBPRS Przemysł rolno-spożywczy źródłem substratów do produkcji biogazu.pdf; Lewicki i in. 2013 PRODUKCJA I WYKORZYSTANIE WYS£ODZIN BROWARNIANYCH; Dobór substratu a proces fermentacji A.kowalczyk-Juśko</t>
  </si>
  <si>
    <t>80-95</t>
  </si>
  <si>
    <t>1,8-14</t>
  </si>
  <si>
    <t>3-30</t>
  </si>
  <si>
    <t>6,5-7</t>
  </si>
  <si>
    <t>13-39</t>
  </si>
  <si>
    <t>80-97</t>
  </si>
  <si>
    <t>Biogaz Zenersi Interpretacja wyników badań laboratoryjnych i ich przełożenie na parametry biotechnologiczne fermentacji metanowej 2010</t>
  </si>
  <si>
    <t>2019 PAN Potential of biogas production from animal manure.pdf; Myczko i in. Budowa i eksploatacja biogazowni rolniczych 2011</t>
  </si>
  <si>
    <t>16-26</t>
  </si>
  <si>
    <t>68-78</t>
  </si>
  <si>
    <t>50-55</t>
  </si>
  <si>
    <t>Obornik drobiowy/pomiot drobiowy</t>
  </si>
  <si>
    <t>30-80</t>
  </si>
  <si>
    <t>63-85</t>
  </si>
  <si>
    <t>16-25</t>
  </si>
  <si>
    <t>Biogaz Zeneris FDPA - Biogazownie rolnicze mity i fakty 2011</t>
  </si>
  <si>
    <t>50-74</t>
  </si>
  <si>
    <t>20-25</t>
  </si>
  <si>
    <t>58-60</t>
  </si>
  <si>
    <t xml:space="preserve">Odpady biodegradowalne w tym gospodarstwa domowe - odpady kuchenne, przeterminowana żywność, usł. komunalne, </t>
  </si>
  <si>
    <t>50-56</t>
  </si>
  <si>
    <t>Trwałe Użytki Zielone (TUZ) - zieleń miejska</t>
  </si>
  <si>
    <t>25-30</t>
  </si>
  <si>
    <t>48-55</t>
  </si>
  <si>
    <t>Słoma zbóż po zakiszeniu, trawy</t>
  </si>
  <si>
    <t>11-87</t>
  </si>
  <si>
    <t>80-96</t>
  </si>
  <si>
    <t>1-3</t>
  </si>
  <si>
    <t>80-87</t>
  </si>
  <si>
    <t>65-68</t>
  </si>
  <si>
    <t>Odpady z produkcji spożywczej - wywar zbożowy</t>
  </si>
  <si>
    <t>82-95</t>
  </si>
  <si>
    <t>52-65</t>
  </si>
  <si>
    <t>4-5</t>
  </si>
  <si>
    <t>Biogaz Zeneris FDPA - Biogazownie rolnicze mity i fakty 2011; Określenie wymagań dla kompostowania i innych metod biologicznego przetwarzania odpadów EKOSYSTEM 2005;</t>
  </si>
  <si>
    <t>Myczko i in. Budowa i eksploatacja biogazowni rolniczych 2011; Określenie wymagań dla kompostowania i innych metod biologicznego przetwarzania odpadów EKOSYSTEM 2005</t>
  </si>
  <si>
    <t>15-32</t>
  </si>
  <si>
    <t>Biogaz rolniczy - produkcja i wykorzystanie  Mazowiecka Agencja Energetyczna Sp. Z o.o. 2009; Określenie wymagań dla kompostowania i innych metod biologicznego przetwarzania odpadów EKOSYSTEM 2005;</t>
  </si>
  <si>
    <t>12-25</t>
  </si>
  <si>
    <t>6-10</t>
  </si>
  <si>
    <t>Myczko i in. Budowa i eksploatacja biogazowni rolniczych 2011; Biogaz Zeneris FDPA - Biogazownie rolnicze mity i fakty 2011</t>
  </si>
  <si>
    <t>4,5-6</t>
  </si>
  <si>
    <t>0,6-5</t>
  </si>
  <si>
    <t>Myczko i in. Budowa i eksploatacja biogazowni rolniczych 2011;Biogaz Zeneris FDPA - Biogazownie rolnicze mity i fakty 2011</t>
  </si>
  <si>
    <t>Odpady poubojowe (K2 +K3) ogólnie</t>
  </si>
  <si>
    <t>3,9-4,5</t>
  </si>
  <si>
    <t>6-6,5</t>
  </si>
  <si>
    <r>
      <t>CH</t>
    </r>
    <r>
      <rPr>
        <b/>
        <vertAlign val="sub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[%]</t>
    </r>
  </si>
  <si>
    <t>*s.m. [%]</t>
  </si>
  <si>
    <t>Żródło:</t>
  </si>
  <si>
    <t>Mg/rok</t>
  </si>
  <si>
    <t>Mg/miesiąc</t>
  </si>
  <si>
    <t>Planowana ilośc surowca do wykorzystania do utrzymania pełnej mocy instalacji (8000 h pracy)</t>
  </si>
  <si>
    <t>Ilość s.m.o./rok</t>
  </si>
  <si>
    <t>*do uzupełnienia przez firmy</t>
  </si>
  <si>
    <t>CH4</t>
  </si>
  <si>
    <t>Wartość energetyczna otrzymanego biometanu [MJ/d]</t>
  </si>
  <si>
    <t>zależność mocy od ilości surowców odpadowych</t>
  </si>
  <si>
    <t>zależność ilości biometanu od ilości surowców</t>
  </si>
  <si>
    <r>
      <t>Całkowita zakładana produkcja biometanu Nm</t>
    </r>
    <r>
      <rPr>
        <b/>
        <vertAlign val="superscript"/>
        <sz val="14"/>
        <color theme="1"/>
        <rFont val="Calibri"/>
        <family val="2"/>
        <charset val="238"/>
        <scheme val="minor"/>
      </rPr>
      <t>3</t>
    </r>
    <r>
      <rPr>
        <b/>
        <sz val="14"/>
        <color theme="1"/>
        <rFont val="Calibri"/>
        <family val="2"/>
        <charset val="238"/>
        <scheme val="minor"/>
      </rPr>
      <t>/d</t>
    </r>
  </si>
  <si>
    <r>
      <t>Całkowita zakładana produkcja biogazu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/d</t>
    </r>
  </si>
  <si>
    <r>
      <t>Całkowita zakładana produkcja biogazu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/t świeżej masy surowca</t>
    </r>
  </si>
  <si>
    <r>
      <t>Całkowita</t>
    </r>
    <r>
      <rPr>
        <b/>
        <u/>
        <sz val="11"/>
        <color theme="1"/>
        <rFont val="Calibri"/>
        <family val="2"/>
        <charset val="238"/>
        <scheme val="minor"/>
      </rPr>
      <t xml:space="preserve"> zakładana</t>
    </r>
    <r>
      <rPr>
        <b/>
        <sz val="11"/>
        <color theme="1"/>
        <rFont val="Calibri"/>
        <family val="2"/>
        <charset val="238"/>
        <scheme val="minor"/>
      </rPr>
      <t xml:space="preserve"> produkcja biogazu Nm3/rok</t>
    </r>
  </si>
  <si>
    <r>
      <t>Zakładana/teoretyczna produkcja biogazu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/t s.m.o. surowca</t>
    </r>
  </si>
  <si>
    <t>Ekwiwalentna moc agregatu kogeneracyjnego (sprawność 39%) [MWh]</t>
  </si>
  <si>
    <t>Ekwiwalentna ilość produkowanej energii elektrycznej [kWh/dobę]</t>
  </si>
  <si>
    <t>Całkowity koszt inwestycji [PLN]</t>
  </si>
  <si>
    <t>pH</t>
  </si>
  <si>
    <t>Udział procentowy s.m.o. danego surowca w recepturze substratów [%]</t>
  </si>
  <si>
    <r>
      <t>Całkowita zakładana produkcja biometanu Nm</t>
    </r>
    <r>
      <rPr>
        <b/>
        <vertAlign val="superscript"/>
        <sz val="14"/>
        <color theme="1"/>
        <rFont val="Calibri"/>
        <family val="2"/>
        <charset val="238"/>
        <scheme val="minor"/>
      </rPr>
      <t>3</t>
    </r>
    <r>
      <rPr>
        <b/>
        <sz val="14"/>
        <color theme="1"/>
        <rFont val="Calibri"/>
        <family val="2"/>
        <charset val="238"/>
        <scheme val="minor"/>
      </rPr>
      <t>/rok</t>
    </r>
  </si>
  <si>
    <t>Ilość s.m. Mg/rok</t>
  </si>
  <si>
    <t>Ilość s.m. Mg/d</t>
  </si>
  <si>
    <t>Ilość s.m.o Mg/d</t>
  </si>
  <si>
    <t>Redukcja s.m. - ilość na wyjściu z instalacji [Mg/d]</t>
  </si>
  <si>
    <t>Redukcja s.m. - [%]</t>
  </si>
  <si>
    <t>Redukcja s.m.o. - ilość na wyjściu z instalacji [Mg/d]</t>
  </si>
  <si>
    <t>Redukcja s.m.o. - [%]</t>
  </si>
  <si>
    <t>Udział surowca</t>
  </si>
  <si>
    <t>DOMINUJĄCY</t>
  </si>
  <si>
    <t>Wariant B</t>
  </si>
  <si>
    <t>Wariant A</t>
  </si>
  <si>
    <t>Wariant C</t>
  </si>
  <si>
    <t>Q</t>
  </si>
  <si>
    <t>X</t>
  </si>
  <si>
    <t>*DANE WPROWADZONE NA SZTYWNO PRZEZ NCBR?</t>
  </si>
  <si>
    <t>Y</t>
  </si>
  <si>
    <t>PARAMETR</t>
  </si>
  <si>
    <t>Substrat dominujący</t>
  </si>
  <si>
    <t>Udział procentowy substratu dominującego w postaci ś.m. w dobowej recepturze substratów</t>
  </si>
  <si>
    <t>Udział procentowy substratu dominującego w postaci s.m.o. w dobowej recepturze substratów</t>
  </si>
  <si>
    <t>Ilość wprowadzanej Mg s.m./d</t>
  </si>
  <si>
    <t>Ilość odprowadzanej Mg s.m./d</t>
  </si>
  <si>
    <t>Redukcja s.m. [%]</t>
  </si>
  <si>
    <t>Ilość wprowadzanej Mg s.m.o./d</t>
  </si>
  <si>
    <t>Ilość odprowadzanej Mg s.m.o./d</t>
  </si>
  <si>
    <t>Redukcja s.m.o [%]</t>
  </si>
  <si>
    <t>Ekwiwalentna moc instalacji [MWh]</t>
  </si>
  <si>
    <r>
      <t>Ilość produkowanego biometanu N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/rok</t>
    </r>
  </si>
  <si>
    <t>Punktacja</t>
  </si>
  <si>
    <t>Max spośród firm - wariant A</t>
  </si>
  <si>
    <t>Max spośród firm - wariant B</t>
  </si>
  <si>
    <t>Max spośród firm - wariant C</t>
  </si>
  <si>
    <t>Firma</t>
  </si>
  <si>
    <t>Liczba pkt. za surowce</t>
  </si>
  <si>
    <t>Liczba pkt. Ilość biometanu</t>
  </si>
  <si>
    <t>Liczba pkt.końcowa</t>
  </si>
  <si>
    <t>Mg/d firma X wariant A</t>
  </si>
  <si>
    <t>Mg/d firma Y wariant A</t>
  </si>
  <si>
    <t>Podstawowe parametry fizykochemiczne wybranych substratów dostępnych w Polsce</t>
  </si>
  <si>
    <t>Wariant D</t>
  </si>
  <si>
    <t>Wariant E</t>
  </si>
  <si>
    <t>Wariant F</t>
  </si>
  <si>
    <t>Wariant G</t>
  </si>
  <si>
    <t>Wariant H</t>
  </si>
  <si>
    <t>Wariant I</t>
  </si>
  <si>
    <t>Wariant J</t>
  </si>
  <si>
    <t>Wariant K</t>
  </si>
  <si>
    <t>Udział procentowy danego surowca w recepturze substratów [%] - DOMINUJĄCY CO NAJMNIEJ 50%</t>
  </si>
  <si>
    <t>HRT</t>
  </si>
  <si>
    <t>Zakładana pojemność komór fermentacyjnych m3 (przy obciążeniu BR 3,7 kg s.m.o./m3/d)</t>
  </si>
  <si>
    <t>68-80</t>
  </si>
  <si>
    <t>9-37</t>
  </si>
  <si>
    <t>Odpady poubojowe (KII +KIII) bydło</t>
  </si>
  <si>
    <t>Dobór substratu a proces fermentacji A.kowalczyk-Juśko; Biogaz Zenersi Interpretacja wyników badań laboratoryjnych i ich przełożenie na parametry biotechnologiczne fermentacji metanowej 2010; Myczko i in. Budowa i eksploatacja biogazowni rolniczych 2011; Magazyn Biomasa - wrzesień 2017 "Odpady poubojowe na biogaz - czy to się opłaca" J.Dach</t>
  </si>
  <si>
    <t>Odpady z produkcji spożywczej - wytłoki, wycierki, łupiny</t>
  </si>
  <si>
    <t>WYNIKI</t>
  </si>
  <si>
    <t>Ilość wprowadzonego surowca Mg/d</t>
  </si>
  <si>
    <t>Firma X</t>
  </si>
  <si>
    <t>Nazwa firmy</t>
  </si>
  <si>
    <t>Firma …………………</t>
  </si>
  <si>
    <t>Firma Y</t>
  </si>
  <si>
    <t>-</t>
  </si>
  <si>
    <t>9.</t>
  </si>
  <si>
    <t>10.</t>
  </si>
  <si>
    <t>11.</t>
  </si>
  <si>
    <t>Punkty za osiągnięcie minimalnej-wymaganej ilości surowca dominującego w recepturze substratów [np.&gt;=50%]</t>
  </si>
  <si>
    <t>Uniwersalność substratowa</t>
  </si>
  <si>
    <t>Ilość produkowanego biogazu ze zredukowanej s.m.o. [m3/Mg zredukowanej s.m.o.]</t>
  </si>
  <si>
    <t>Efektywność wytwarzania biogazu/biometanu</t>
  </si>
  <si>
    <t>Ilość produkowanego biogazu z m3 komory fermentacyjnej [m3/m3 KF]</t>
  </si>
  <si>
    <t>Czas [dni/godziny] niezbędne do ustabilizowana się współczynnika LKT/OWN po zaplanowanej zmianie receptury substratów z A na ... (na podstawie opracowanych i możliwych receptur, przedstawionych przez Wnioskodawców z Załącznika nr ...10?); zakres wahań ustalony przez NCBR +/-10%/d</t>
  </si>
  <si>
    <t>Uniwersalność technologii</t>
  </si>
  <si>
    <t>Czas [dni/godziny] niezbędne na ustabilizowanie się zawartości metanu w biogazie po zaplanowanej zmianie receptury substratów (na podstawie opracowanych i możliwych receptur, przedstawionych przez Wnioskodawców z Załącznika nr 10), zakres wahań ustalony przez NCBR +/-10%/d</t>
  </si>
  <si>
    <t>Czas [dni/godziny] niezbędnego na ustabilizowanie się produkcji biometanu [N m3/d] po zaplanowanej zmianie receptury substratów (na podstawie opracowanych i możliwych receptur, przedstawionych przez Wnioskodawców z Załącznika nr 10); zakres wahań ustalony przez NCBR +/-10%/d</t>
  </si>
  <si>
    <t>12.</t>
  </si>
  <si>
    <t>13.</t>
  </si>
  <si>
    <t>14.</t>
  </si>
  <si>
    <t>15.</t>
  </si>
  <si>
    <t>16.</t>
  </si>
  <si>
    <t>17.</t>
  </si>
  <si>
    <t>18.</t>
  </si>
  <si>
    <t xml:space="preserve">Koszty instalacji </t>
  </si>
  <si>
    <t>Cena budowy demonstratora technologii (CAPEX)</t>
  </si>
  <si>
    <t>Koszt eksploatacji demonstratora technologii (OPEX)</t>
  </si>
  <si>
    <t>Szacowana suma kosztów budowy i eksploatacji demontratora technologii w perspektywie 20 lat</t>
  </si>
  <si>
    <t>Masa pofermentacyjna</t>
  </si>
  <si>
    <t>Jakość masy pofermentacyjnej (gotowego produktu końcowego?) – zadeklarowanie na etapie koncepcji jakości masy pofermentacyjnej w Etapie I i Etapie III. Próbki pozostałości pofermentacyjnej zostaną przekazane przez Wnioskodawców na poszczególnych Etapach do niezależnego instytutu badawczego w celu weryfikacji m.in właściwości nawozowych (NPK mg/dm3)</t>
  </si>
  <si>
    <t>19.</t>
  </si>
  <si>
    <t>20.</t>
  </si>
  <si>
    <t>21.</t>
  </si>
  <si>
    <t>22.</t>
  </si>
  <si>
    <t>Poziom zautomatyzowania instalcji</t>
  </si>
  <si>
    <t>Poziom zautomatyzowania instalcji (osobogodziny / roboczogodziny instalacji)</t>
  </si>
  <si>
    <t>23.</t>
  </si>
  <si>
    <t>Podsumowanie wszystkich firm odnoszące się do danego wariantu surowcowego (z jednym z dominujących substratów)</t>
  </si>
  <si>
    <t>Max/min wartość parametru spośród Wnioskodawców</t>
  </si>
  <si>
    <t>Liczba punktów za określony parametr - lub wskazanie do umiejscowienia w hierarchii i dopiero na tej podstawie punkty np. od 0 do 10</t>
  </si>
  <si>
    <t>SUMA PUNKTÓW ZA WARIANT "A"</t>
  </si>
  <si>
    <t>SUMA PUNKTÓW ZA WARIANT "B"</t>
  </si>
  <si>
    <t>Waga punktów</t>
  </si>
  <si>
    <t>Parametr</t>
  </si>
  <si>
    <t>Koszty - wytwarzanie</t>
  </si>
  <si>
    <t>Średnia cena pozyskania surowca PLN / t * rok</t>
  </si>
  <si>
    <t>Średnia cena pozyskania 1 t s.m.o. PLN / t * rok</t>
  </si>
  <si>
    <t>Średnia cena wytwarzania biogazu PLN / m3 * rok</t>
  </si>
  <si>
    <t>Średnia cena wytwarzania biometanu PLN / m3 * rok</t>
  </si>
  <si>
    <t>Efektywność energetyczna</t>
  </si>
  <si>
    <t>Średni nakład energii elektrycznej na wytworzenie biogazu [kWh / m3 * rok]</t>
  </si>
  <si>
    <t>Średni nakład ciepła na wytworzenie biogazu [kWh / m3 * rok]</t>
  </si>
  <si>
    <t>Średni nakład energii elektrycznej na wytworzenie biometanu [kWh / m3 * rok]</t>
  </si>
  <si>
    <t>Średni nakład ciepła na wytworzenie biometanu [kWh / m3 * rok]</t>
  </si>
  <si>
    <t>Energia elektryczna zakupiona / energia elektryczna wykorzystana (w ciągu roku) [MWh / MWh]</t>
  </si>
  <si>
    <t>Ciepło zakupione / ciepło wykorzystane [MWh / MWh]
(w ciągu roku)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</si>
  <si>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</si>
  <si>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</si>
  <si>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</si>
  <si>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</si>
  <si>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</si>
  <si>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</si>
  <si>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</si>
  <si>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</si>
  <si>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</si>
  <si>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</si>
  <si>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</si>
  <si>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Średni nakład ciepła na wytworzenie biogazu [MJ / m3 * rok]</t>
  </si>
  <si>
    <t>Średni nakład ciepła na wytworzenie biometanu [MJ / m3 * rok]</t>
  </si>
  <si>
    <t>Ciepło zakupione / ciepło wykorzystane [MJ / MJ]
(w ciągu roku)</t>
  </si>
  <si>
    <t>Ilość substratów wprowadzanych do uzyskania maksymalnej produkcji biometanu Mg/N m3/d 
(w ciągu roku)</t>
  </si>
  <si>
    <t xml:space="preserve">Ilość substratów wprowadzanych do uzyskania maksymalnej produkcji biometanu Mg/N m3/d </t>
  </si>
  <si>
    <t>Udział procentowy danego surowca w recepturze substratów</t>
  </si>
  <si>
    <t>Obornik kurzy</t>
  </si>
  <si>
    <t>Kiszonka z trawy</t>
  </si>
  <si>
    <t>Wytłoki z jabłek</t>
  </si>
  <si>
    <t>Odpady kategorii 3</t>
  </si>
  <si>
    <t>Wywar z gorzelni</t>
  </si>
  <si>
    <t>Przeterminowane produkty spożywcze</t>
  </si>
  <si>
    <t>Sucha masa organiczna substratu (s.m.o.) wyrażona w [% s.m.]</t>
  </si>
  <si>
    <t>Dawka roczna substratu t/rok (uzupełnia Wnioskodawca)</t>
  </si>
  <si>
    <t>Wprowadzona sucha masa substratów [t/dobę]</t>
  </si>
  <si>
    <t>Wprowadzona sucha masa substratów [t/rok]</t>
  </si>
  <si>
    <t>Wprowadzona sucha masa organiczna substratów [t/dobę]</t>
  </si>
  <si>
    <t>Wprowadzona sucha masa organiczna  substratów [t/rok]</t>
  </si>
  <si>
    <t>Dawka dobowa świeżej masy substratu [t/dobę]</t>
  </si>
  <si>
    <t>Sprawność urządzenia do uzdatniania biogazu do biometanu [%] - wartość z DTR urządzenia</t>
  </si>
  <si>
    <t>Parametr konkursowy</t>
  </si>
  <si>
    <t>Poziom zużycia biogazu na potrzeby własne - biogaz tara [% biogazu brutto]</t>
  </si>
  <si>
    <t>Sucha masa dozowanej receptury [%]</t>
  </si>
  <si>
    <t>Sucha masa organiczna w dozowanej recepturze [%]</t>
  </si>
  <si>
    <t>Wariant 1</t>
  </si>
  <si>
    <t>Wariant 2</t>
  </si>
  <si>
    <t xml:space="preserve">Substrat poddany testom </t>
  </si>
  <si>
    <t>Instrukcja wypełniania arkusza kalkulacyjnego</t>
  </si>
  <si>
    <r>
      <t>Wydajność produkcji metanu Nm</t>
    </r>
    <r>
      <rPr>
        <b/>
        <vertAlign val="superscript"/>
        <sz val="16"/>
        <rFont val="Calibri"/>
        <family val="2"/>
        <charset val="238"/>
        <scheme val="minor"/>
      </rPr>
      <t>3</t>
    </r>
    <r>
      <rPr>
        <b/>
        <sz val="16"/>
        <rFont val="Calibri"/>
        <family val="2"/>
        <charset val="238"/>
        <scheme val="minor"/>
      </rPr>
      <t>/t s.m.o. [liczona dla biogazu brutto]</t>
    </r>
  </si>
  <si>
    <r>
      <t>Wydajność produkcji biometanu Nm</t>
    </r>
    <r>
      <rPr>
        <b/>
        <vertAlign val="superscript"/>
        <sz val="16"/>
        <rFont val="Calibri"/>
        <family val="2"/>
        <charset val="238"/>
        <scheme val="minor"/>
      </rPr>
      <t>3</t>
    </r>
    <r>
      <rPr>
        <b/>
        <sz val="16"/>
        <rFont val="Calibri"/>
        <family val="2"/>
        <charset val="238"/>
        <scheme val="minor"/>
      </rPr>
      <t>/t s.m.o. [liczona dla biogazu netto]</t>
    </r>
  </si>
  <si>
    <r>
      <t>Stężenie metanu CH</t>
    </r>
    <r>
      <rPr>
        <b/>
        <vertAlign val="subscript"/>
        <sz val="16"/>
        <color theme="1"/>
        <rFont val="Calibri"/>
        <family val="2"/>
        <charset val="238"/>
        <scheme val="minor"/>
      </rPr>
      <t>4</t>
    </r>
    <r>
      <rPr>
        <b/>
        <sz val="16"/>
        <color theme="1"/>
        <rFont val="Calibri"/>
        <family val="2"/>
        <charset val="238"/>
        <scheme val="minor"/>
      </rPr>
      <t xml:space="preserve"> [% v/v]</t>
    </r>
  </si>
  <si>
    <r>
      <t>Wydajność biogazowa substratu 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/t s.m.o. surowca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 xml:space="preserve"> - normalny metr sześcienny (p=1013,25hPa; t=25</t>
    </r>
    <r>
      <rPr>
        <b/>
        <vertAlign val="superscript"/>
        <sz val="16"/>
        <color theme="1"/>
        <rFont val="Calibri"/>
        <family val="2"/>
        <charset val="238"/>
        <scheme val="minor"/>
      </rPr>
      <t>o</t>
    </r>
    <r>
      <rPr>
        <b/>
        <sz val="16"/>
        <color theme="1"/>
        <rFont val="Calibri"/>
        <family val="2"/>
        <charset val="238"/>
        <scheme val="minor"/>
      </rPr>
      <t>C)]</t>
    </r>
  </si>
  <si>
    <t>Sucha masa substratu (s.m.)</t>
  </si>
  <si>
    <t>Wymagany przez Zamawiającego udział procentowy danego surowca w recepturze substratów</t>
  </si>
  <si>
    <t>Wnioskodawca uzupełnia tylko pola w kolorze "Złotym" - Akcent 4</t>
  </si>
  <si>
    <t>W komórce C5 Wnioskodawca wpisuje nazwę firmy</t>
  </si>
  <si>
    <t>W komórkach "N" Wnioskodawca wpisuje ilość planowanych do wykorzystania substratów w ciągu roku, dla danego wariantu substratowego w celu uzyskania produkcji biogazu brutto stanowiącej ekwiwalent energii elektrycznej 499kW z tolerancją technologiczną (-5)%</t>
  </si>
  <si>
    <t xml:space="preserve">W komórce Y5 Wnioskodawca wpisuje sprawność urządzenia do uzdatniania biogazu do biometanu, które planuje wykorzystać w ramach realizacji Przedsięwzięcia </t>
  </si>
  <si>
    <t>W komórce AB5 Wnioskodawca wpisuje poziom zużycia biogazu (z puli brutto) na potrzeby własne - biogaz tara [% biogazu brutto]</t>
  </si>
  <si>
    <t>Podsumowanie Wnioskodawcy</t>
  </si>
  <si>
    <t>Teoretyczna wydajność biogazowa wariantu substratowego oferowanego przez Zamawiającego na poczet uzupełnienia Wniosku i aktualizowania Oferty przez Wykonawcę</t>
  </si>
  <si>
    <t>%</t>
  </si>
  <si>
    <t>Produkcja biogazu</t>
  </si>
  <si>
    <r>
      <t>Ilość biogazu / dobę z wprowadzonej s.m.o. substratu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/d]</t>
    </r>
  </si>
  <si>
    <r>
      <t>Ilość biogazu brutto / rok z wprowadzonej s.m.o. substratu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/rok]</t>
    </r>
  </si>
  <si>
    <r>
      <t>Ilość metanu / dobę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/d]</t>
    </r>
  </si>
  <si>
    <r>
      <t>Ilość metanu / rok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/rok]</t>
    </r>
  </si>
  <si>
    <r>
      <t>Ilość biometanu /dobę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/d]</t>
    </r>
  </si>
  <si>
    <r>
      <t>Ilość biometanu brutto /rok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/rok]</t>
    </r>
  </si>
  <si>
    <r>
      <t>Ilość biogazu netto (odjęcie od biogaz brutto biogazu zużytego na potrzeby własne Demonstratora Technologii)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/rok]</t>
    </r>
  </si>
  <si>
    <t>Ekwiwalent mocy elektrycznej Demonstratora Technologii</t>
  </si>
  <si>
    <t>kW</t>
  </si>
  <si>
    <r>
      <t>Nm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 xml:space="preserve">/t s.m.o. </t>
    </r>
    <r>
      <rPr>
        <vertAlign val="subscript"/>
        <sz val="16"/>
        <color theme="1"/>
        <rFont val="Calibri"/>
        <family val="2"/>
        <scheme val="minor"/>
      </rPr>
      <t>(wprowadzonej)</t>
    </r>
  </si>
  <si>
    <r>
      <t>Nm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>/d</t>
    </r>
  </si>
  <si>
    <r>
      <t>Nm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>/rok</t>
    </r>
  </si>
  <si>
    <r>
      <t>Nm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>/h</t>
    </r>
  </si>
  <si>
    <r>
      <t>Nm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>/t s.m.o. [liczona dla biogazu brutto]</t>
    </r>
  </si>
  <si>
    <r>
      <t>Nm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>/t s.m.o. [liczona dla biogazu netto]</t>
    </r>
  </si>
  <si>
    <t>Wydajność produkcji biometanu we Wniosku i zaktualizowanej Ofercie</t>
  </si>
  <si>
    <t>Wydajność produkcji metanu we Wniosku i zaktualizowanej Ofercie</t>
  </si>
  <si>
    <t>Stężenie metanu w biogazie teoretyczne</t>
  </si>
  <si>
    <t>Wariant 3</t>
  </si>
  <si>
    <t>Wariant 4</t>
  </si>
  <si>
    <t>Wariant 5</t>
  </si>
  <si>
    <t>Wariant 6</t>
  </si>
  <si>
    <t>Wariant 7</t>
  </si>
  <si>
    <t>Wariant 8</t>
  </si>
  <si>
    <t>Podsumowanie kryteriów konkursowych</t>
  </si>
  <si>
    <r>
      <t>Wydajność produkcji metanu we Wniosku i zaktualizowanej Ofercie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/t s.m.o. [liczona dla biogazu brutto]</t>
    </r>
  </si>
  <si>
    <r>
      <t>Wydajność produkcji biometanu we Wniosku i zaktualizowanej Ofercie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/t s.m.o. [liczona dla biogazu netto]</t>
    </r>
  </si>
  <si>
    <r>
      <t>Średnia wydajność produkcji metanu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/t s.m.o. dla Technologii z ośmiu wariantów substratowych</t>
    </r>
  </si>
  <si>
    <r>
      <t>Średnia wydajność produkcji biometanu Nm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/t s.m.o. dla Technologii z ośmiu wariantów substratowych</t>
    </r>
  </si>
  <si>
    <t>W komórkach "I" - Stężenie metanu w biogazie - Wnioskodawca może zadeklarować wyższe, jeśli uważa że jego Technologia uzyska wyższą koncentrację.</t>
  </si>
  <si>
    <r>
      <t xml:space="preserve">Wniosek Wykonawcy - </t>
    </r>
    <r>
      <rPr>
        <b/>
        <sz val="48"/>
        <color rgb="FFFF0000"/>
        <rFont val="Calibri"/>
        <family val="2"/>
        <charset val="238"/>
        <scheme val="minor"/>
      </rPr>
      <t>instrukcja od komórki F24</t>
    </r>
  </si>
  <si>
    <r>
      <t>Wniosek Wykonawcy -</t>
    </r>
    <r>
      <rPr>
        <b/>
        <sz val="48"/>
        <color rgb="FFFF0000"/>
        <rFont val="Calibri"/>
        <family val="2"/>
        <charset val="238"/>
        <scheme val="minor"/>
      </rPr>
      <t xml:space="preserve"> instrukcja od komórki F24</t>
    </r>
  </si>
  <si>
    <t>Na etapie Wniosku i aktualizacji Oferty (na koniec prac B+R przez Wykonawcę) parametry zostają stałe/niezmienne. Parametry substratów Testowanych, zostaną wprowadzone przez Zamawiającego w chwili zakończenia Testów Instalacji Ułamkow-Technicznych, będą to wartości średnie z Testów, w celu przeliczenia Oferty Wykonawcy przez Zamawiającego</t>
  </si>
  <si>
    <t xml:space="preserve">Na etapie Wniosku i aktualizacji Oferty (na koniec prac B+R przez Wykonawcę)  parametry zostają stałe/niezmienne. Parametry zostaną zastąpione przez Zamawiającego wartościami średnimi z przeprowadzonych równolegle do Testów, badań wydajności biogazowej konkretnego wariantu substratowego </t>
  </si>
  <si>
    <t>Arkusz kalkulacyjny dla parametrów konkursowych "Wydajność produkcji metanu" i "Wydajność produkcji biometanu" - Załącznik nr 1 do Wzoru Wniosku; Wnioskodawca uzupełnia tylko pola w kolorze "Złotym" - Akcent 4</t>
  </si>
  <si>
    <r>
      <t>Ilość biometanu w postaci paliwa gazowego -biometanu wysyłanego do sieci dystrybucyjnej Polskiej Sieci Gazownictwa  /rok [Nm</t>
    </r>
    <r>
      <rPr>
        <b/>
        <vertAlign val="superscript"/>
        <sz val="16"/>
        <color theme="1"/>
        <rFont val="Calibri"/>
        <family val="2"/>
        <charset val="238"/>
        <scheme val="minor"/>
      </rPr>
      <t>3</t>
    </r>
    <r>
      <rPr>
        <b/>
        <sz val="16"/>
        <color theme="1"/>
        <rFont val="Calibri"/>
        <family val="2"/>
        <charset val="238"/>
        <scheme val="minor"/>
      </rPr>
      <t>/rok]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</si>
</sst>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zł&quot;"/>
    <numFmt numFmtId="165" formatCode="0.000"/>
    <numFmt numFmtId="166" formatCode="0.0000"/>
    <numFmt numFmtId="167" formatCode="0.00000"/>
    <numFmt numFmtId="168" formatCode="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indexed="81"/>
      <name val="Tahoma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36"/>
      <color rgb="FFFF000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0">
    <xf numFmtId="0" fontId="0" fillId="0" borderId="0" xfId="0"/>
    <xf numFmtId="0" fontId="2" fillId="0" borderId="0" xfId="0" applyFont="1"/>
    <xf numFmtId="0" fontId="0" fillId="3" borderId="1" xfId="0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1" fontId="0" fillId="0" borderId="0" xfId="0" applyNumberFormat="1"/>
    <xf numFmtId="0" fontId="5" fillId="5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7" borderId="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7" borderId="2" xfId="0" applyNumberFormat="1" applyFill="1" applyBorder="1" applyAlignment="1">
      <alignment horizontal="center"/>
    </xf>
    <xf numFmtId="4" fontId="0" fillId="7" borderId="6" xfId="0" applyNumberFormat="1" applyFill="1" applyBorder="1" applyAlignment="1">
      <alignment horizontal="center"/>
    </xf>
    <xf numFmtId="4" fontId="0" fillId="7" borderId="12" xfId="0" applyNumberForma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9" borderId="0" xfId="0" applyNumberFormat="1" applyFont="1" applyFill="1" applyAlignment="1">
      <alignment horizontal="center" vertical="center"/>
    </xf>
    <xf numFmtId="0" fontId="3" fillId="8" borderId="0" xfId="0" applyFont="1" applyFill="1"/>
    <xf numFmtId="0" fontId="0" fillId="8" borderId="0" xfId="0" applyFill="1"/>
    <xf numFmtId="4" fontId="2" fillId="0" borderId="8" xfId="0" applyNumberFormat="1" applyFont="1" applyBorder="1" applyAlignment="1">
      <alignment horizontal="center"/>
    </xf>
    <xf numFmtId="0" fontId="11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4" fontId="0" fillId="0" borderId="23" xfId="0" applyNumberFormat="1" applyBorder="1" applyAlignment="1">
      <alignment horizontal="center"/>
    </xf>
    <xf numFmtId="4" fontId="0" fillId="7" borderId="23" xfId="0" applyNumberFormat="1" applyFill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2" fillId="0" borderId="25" xfId="0" applyNumberFormat="1" applyFont="1" applyFill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4" fontId="22" fillId="0" borderId="1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0" fillId="0" borderId="30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4" fontId="2" fillId="16" borderId="10" xfId="0" applyNumberFormat="1" applyFont="1" applyFill="1" applyBorder="1" applyAlignment="1">
      <alignment horizontal="center"/>
    </xf>
    <xf numFmtId="4" fontId="2" fillId="16" borderId="13" xfId="0" applyNumberFormat="1" applyFont="1" applyFill="1" applyBorder="1" applyAlignment="1">
      <alignment horizontal="center"/>
    </xf>
    <xf numFmtId="4" fontId="2" fillId="16" borderId="25" xfId="0" applyNumberFormat="1" applyFont="1" applyFill="1" applyBorder="1" applyAlignment="1">
      <alignment horizontal="center"/>
    </xf>
    <xf numFmtId="0" fontId="0" fillId="16" borderId="23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49" fontId="4" fillId="16" borderId="6" xfId="0" applyNumberFormat="1" applyFont="1" applyFill="1" applyBorder="1" applyAlignment="1">
      <alignment horizontal="center" vertical="center"/>
    </xf>
    <xf numFmtId="49" fontId="4" fillId="16" borderId="2" xfId="0" applyNumberFormat="1" applyFont="1" applyFill="1" applyBorder="1" applyAlignment="1">
      <alignment horizontal="center" vertical="center"/>
    </xf>
    <xf numFmtId="49" fontId="0" fillId="16" borderId="2" xfId="0" applyNumberFormat="1" applyFill="1" applyBorder="1" applyAlignment="1">
      <alignment horizontal="center" vertical="center"/>
    </xf>
    <xf numFmtId="49" fontId="0" fillId="16" borderId="6" xfId="0" applyNumberFormat="1" applyFill="1" applyBorder="1" applyAlignment="1">
      <alignment horizontal="center" vertical="center" wrapText="1"/>
    </xf>
    <xf numFmtId="49" fontId="4" fillId="16" borderId="6" xfId="0" applyNumberFormat="1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 wrapText="1"/>
    </xf>
    <xf numFmtId="0" fontId="3" fillId="16" borderId="0" xfId="0" applyFont="1" applyFill="1"/>
    <xf numFmtId="0" fontId="0" fillId="16" borderId="0" xfId="0" applyFill="1"/>
    <xf numFmtId="0" fontId="5" fillId="8" borderId="1" xfId="0" applyFont="1" applyFill="1" applyBorder="1" applyAlignment="1">
      <alignment horizontal="center" wrapText="1"/>
    </xf>
    <xf numFmtId="0" fontId="3" fillId="0" borderId="0" xfId="0" applyFont="1" applyFill="1"/>
    <xf numFmtId="4" fontId="22" fillId="0" borderId="30" xfId="0" applyNumberFormat="1" applyFont="1" applyBorder="1" applyAlignment="1">
      <alignment horizontal="center"/>
    </xf>
    <xf numFmtId="4" fontId="16" fillId="0" borderId="1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/>
    <xf numFmtId="0" fontId="5" fillId="15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0" borderId="0" xfId="0" applyFont="1"/>
    <xf numFmtId="0" fontId="2" fillId="0" borderId="3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2" fontId="0" fillId="0" borderId="0" xfId="0" applyNumberFormat="1"/>
    <xf numFmtId="1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left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/>
    </xf>
    <xf numFmtId="4" fontId="25" fillId="0" borderId="18" xfId="0" applyNumberFormat="1" applyFont="1" applyBorder="1" applyAlignment="1">
      <alignment horizontal="center"/>
    </xf>
    <xf numFmtId="4" fontId="26" fillId="0" borderId="18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0" fillId="15" borderId="38" xfId="0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0" fillId="13" borderId="38" xfId="0" applyFill="1" applyBorder="1" applyAlignment="1">
      <alignment horizontal="center" vertical="center" wrapText="1"/>
    </xf>
    <xf numFmtId="0" fontId="0" fillId="0" borderId="8" xfId="0" applyBorder="1"/>
    <xf numFmtId="4" fontId="0" fillId="15" borderId="40" xfId="0" applyNumberFormat="1" applyFill="1" applyBorder="1" applyAlignment="1">
      <alignment horizontal="center" vertical="center" wrapText="1"/>
    </xf>
    <xf numFmtId="4" fontId="0" fillId="11" borderId="41" xfId="0" applyNumberFormat="1" applyFill="1" applyBorder="1" applyAlignment="1">
      <alignment horizontal="center" vertical="center" wrapText="1"/>
    </xf>
    <xf numFmtId="4" fontId="0" fillId="13" borderId="41" xfId="0" applyNumberFormat="1" applyFill="1" applyBorder="1" applyAlignment="1">
      <alignment horizontal="center" vertical="center" wrapText="1"/>
    </xf>
    <xf numFmtId="4" fontId="0" fillId="15" borderId="41" xfId="0" applyNumberFormat="1" applyFill="1" applyBorder="1" applyAlignment="1">
      <alignment horizontal="center" vertical="center" wrapText="1"/>
    </xf>
    <xf numFmtId="4" fontId="0" fillId="13" borderId="42" xfId="0" applyNumberFormat="1" applyFill="1" applyBorder="1" applyAlignment="1">
      <alignment horizontal="center" vertical="center" wrapText="1"/>
    </xf>
    <xf numFmtId="10" fontId="0" fillId="15" borderId="40" xfId="0" applyNumberFormat="1" applyFill="1" applyBorder="1" applyAlignment="1">
      <alignment horizontal="center" vertical="center" wrapText="1"/>
    </xf>
    <xf numFmtId="10" fontId="0" fillId="11" borderId="41" xfId="0" applyNumberFormat="1" applyFill="1" applyBorder="1" applyAlignment="1">
      <alignment horizontal="center" vertical="center" wrapText="1"/>
    </xf>
    <xf numFmtId="10" fontId="0" fillId="13" borderId="41" xfId="0" applyNumberFormat="1" applyFill="1" applyBorder="1" applyAlignment="1">
      <alignment horizontal="center" vertical="center" wrapText="1"/>
    </xf>
    <xf numFmtId="10" fontId="0" fillId="15" borderId="41" xfId="0" applyNumberFormat="1" applyFill="1" applyBorder="1" applyAlignment="1">
      <alignment horizontal="center" vertical="center" wrapText="1"/>
    </xf>
    <xf numFmtId="10" fontId="0" fillId="13" borderId="42" xfId="0" applyNumberFormat="1" applyFill="1" applyBorder="1" applyAlignment="1">
      <alignment horizontal="center" vertical="center" wrapText="1"/>
    </xf>
    <xf numFmtId="2" fontId="0" fillId="15" borderId="40" xfId="0" applyNumberFormat="1" applyFill="1" applyBorder="1" applyAlignment="1">
      <alignment horizontal="center" vertical="center" wrapText="1"/>
    </xf>
    <xf numFmtId="2" fontId="0" fillId="11" borderId="41" xfId="0" applyNumberFormat="1" applyFill="1" applyBorder="1" applyAlignment="1">
      <alignment horizontal="center" vertical="center" wrapText="1"/>
    </xf>
    <xf numFmtId="2" fontId="0" fillId="13" borderId="41" xfId="0" applyNumberFormat="1" applyFill="1" applyBorder="1" applyAlignment="1">
      <alignment horizontal="center" vertical="center" wrapText="1"/>
    </xf>
    <xf numFmtId="2" fontId="0" fillId="15" borderId="41" xfId="0" applyNumberFormat="1" applyFill="1" applyBorder="1" applyAlignment="1">
      <alignment horizontal="center" vertical="center" wrapText="1"/>
    </xf>
    <xf numFmtId="2" fontId="0" fillId="13" borderId="42" xfId="0" applyNumberFormat="1" applyFill="1" applyBorder="1" applyAlignment="1">
      <alignment horizontal="center" vertical="center" wrapText="1"/>
    </xf>
    <xf numFmtId="4" fontId="0" fillId="0" borderId="40" xfId="0" applyNumberFormat="1" applyFill="1" applyBorder="1" applyAlignment="1">
      <alignment horizontal="center" vertical="center" wrapText="1"/>
    </xf>
    <xf numFmtId="4" fontId="0" fillId="0" borderId="41" xfId="0" applyNumberFormat="1" applyFill="1" applyBorder="1" applyAlignment="1">
      <alignment horizontal="center" vertical="center" wrapText="1"/>
    </xf>
    <xf numFmtId="4" fontId="0" fillId="0" borderId="42" xfId="0" applyNumberForma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" fontId="0" fillId="15" borderId="35" xfId="0" applyNumberFormat="1" applyFill="1" applyBorder="1" applyAlignment="1">
      <alignment horizontal="center" vertical="center" wrapText="1"/>
    </xf>
    <xf numFmtId="4" fontId="0" fillId="11" borderId="15" xfId="0" applyNumberFormat="1" applyFill="1" applyBorder="1" applyAlignment="1">
      <alignment horizontal="center" vertical="center" wrapText="1"/>
    </xf>
    <xf numFmtId="4" fontId="0" fillId="13" borderId="15" xfId="0" applyNumberFormat="1" applyFill="1" applyBorder="1" applyAlignment="1">
      <alignment horizontal="center" vertical="center" wrapText="1"/>
    </xf>
    <xf numFmtId="4" fontId="0" fillId="15" borderId="15" xfId="0" applyNumberFormat="1" applyFill="1" applyBorder="1" applyAlignment="1">
      <alignment horizontal="center" vertical="center" wrapText="1"/>
    </xf>
    <xf numFmtId="4" fontId="0" fillId="13" borderId="33" xfId="0" applyNumberForma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/>
    </xf>
    <xf numFmtId="4" fontId="0" fillId="15" borderId="43" xfId="0" applyNumberForma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textRotation="90"/>
    </xf>
    <xf numFmtId="0" fontId="11" fillId="16" borderId="1" xfId="0" applyFont="1" applyFill="1" applyBorder="1" applyAlignment="1">
      <alignment horizontal="center" vertical="center" textRotation="90" wrapText="1"/>
    </xf>
    <xf numFmtId="4" fontId="0" fillId="0" borderId="8" xfId="0" applyNumberForma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0" fillId="0" borderId="44" xfId="0" applyBorder="1" applyAlignment="1">
      <alignment wrapText="1"/>
    </xf>
    <xf numFmtId="4" fontId="0" fillId="0" borderId="2" xfId="0" applyNumberForma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2" fillId="18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46" xfId="0" applyFont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/>
    <xf numFmtId="0" fontId="0" fillId="0" borderId="10" xfId="0" applyBorder="1"/>
    <xf numFmtId="0" fontId="2" fillId="0" borderId="11" xfId="0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13" xfId="0" applyBorder="1"/>
    <xf numFmtId="0" fontId="2" fillId="0" borderId="46" xfId="0" applyFon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166" fontId="0" fillId="0" borderId="23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166" fontId="0" fillId="0" borderId="12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0" borderId="12" xfId="0" applyBorder="1"/>
    <xf numFmtId="0" fontId="2" fillId="0" borderId="4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167" fontId="5" fillId="0" borderId="16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0" fillId="0" borderId="2" xfId="0" applyNumberFormat="1" applyBorder="1" applyAlignment="1">
      <alignment horizontal="center" vertical="center" wrapText="1"/>
    </xf>
    <xf numFmtId="0" fontId="11" fillId="0" borderId="0" xfId="0" applyFont="1" applyFill="1" applyAlignment="1">
      <alignment vertical="center" textRotation="90"/>
    </xf>
    <xf numFmtId="0" fontId="0" fillId="9" borderId="40" xfId="0" applyFill="1" applyBorder="1"/>
    <xf numFmtId="0" fontId="28" fillId="9" borderId="5" xfId="0" applyFont="1" applyFill="1" applyBorder="1" applyAlignment="1">
      <alignment horizontal="right"/>
    </xf>
    <xf numFmtId="2" fontId="0" fillId="0" borderId="12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55" xfId="0" applyFont="1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0" fillId="11" borderId="35" xfId="0" applyNumberFormat="1" applyFill="1" applyBorder="1" applyAlignment="1">
      <alignment horizontal="center" vertical="center" wrapText="1"/>
    </xf>
    <xf numFmtId="166" fontId="0" fillId="0" borderId="2" xfId="0" applyNumberFormat="1" applyBorder="1"/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2" fontId="0" fillId="0" borderId="13" xfId="0" applyNumberFormat="1" applyBorder="1" applyAlignment="1">
      <alignment horizontal="center" vertical="center"/>
    </xf>
    <xf numFmtId="167" fontId="5" fillId="0" borderId="50" xfId="0" applyNumberFormat="1" applyFont="1" applyBorder="1" applyAlignment="1">
      <alignment horizontal="center" vertical="center"/>
    </xf>
    <xf numFmtId="167" fontId="5" fillId="0" borderId="5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2" fontId="0" fillId="0" borderId="57" xfId="0" applyNumberFormat="1" applyBorder="1" applyAlignment="1">
      <alignment horizontal="center" vertical="center"/>
    </xf>
    <xf numFmtId="2" fontId="0" fillId="0" borderId="58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0" fontId="17" fillId="0" borderId="0" xfId="0" applyFont="1" applyFill="1" applyAlignment="1">
      <alignment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164" fontId="23" fillId="0" borderId="16" xfId="0" applyNumberFormat="1" applyFont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vertical="center" textRotation="90" wrapText="1"/>
    </xf>
    <xf numFmtId="164" fontId="0" fillId="0" borderId="0" xfId="0" applyNumberFormat="1"/>
    <xf numFmtId="0" fontId="23" fillId="3" borderId="1" xfId="0" applyFont="1" applyFill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0" fontId="5" fillId="0" borderId="48" xfId="0" applyFont="1" applyFill="1" applyBorder="1" applyAlignment="1">
      <alignment vertical="center" textRotation="90" wrapText="1"/>
    </xf>
    <xf numFmtId="2" fontId="0" fillId="0" borderId="5" xfId="0" applyNumberFormat="1" applyBorder="1" applyAlignment="1">
      <alignment horizontal="center" vertical="center"/>
    </xf>
    <xf numFmtId="164" fontId="2" fillId="0" borderId="55" xfId="0" applyNumberFormat="1" applyFont="1" applyBorder="1" applyAlignment="1">
      <alignment vertical="center"/>
    </xf>
    <xf numFmtId="0" fontId="2" fillId="3" borderId="49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/>
    </xf>
    <xf numFmtId="4" fontId="0" fillId="0" borderId="0" xfId="0" applyNumberFormat="1"/>
    <xf numFmtId="0" fontId="35" fillId="0" borderId="0" xfId="0" applyFont="1"/>
    <xf numFmtId="4" fontId="12" fillId="0" borderId="0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 shrinkToFit="1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vertical="center" wrapText="1"/>
    </xf>
    <xf numFmtId="4" fontId="42" fillId="0" borderId="23" xfId="0" applyNumberFormat="1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vertical="center" wrapText="1"/>
    </xf>
    <xf numFmtId="10" fontId="42" fillId="0" borderId="2" xfId="0" applyNumberFormat="1" applyFont="1" applyFill="1" applyBorder="1" applyAlignment="1">
      <alignment horizontal="center" vertical="center"/>
    </xf>
    <xf numFmtId="4" fontId="42" fillId="0" borderId="2" xfId="0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horizontal="center" vertical="center"/>
    </xf>
    <xf numFmtId="0" fontId="42" fillId="0" borderId="0" xfId="0" applyFont="1"/>
    <xf numFmtId="4" fontId="40" fillId="0" borderId="2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10" fontId="42" fillId="0" borderId="52" xfId="0" applyNumberFormat="1" applyFont="1" applyFill="1" applyBorder="1" applyAlignment="1">
      <alignment horizontal="center" vertical="center"/>
    </xf>
    <xf numFmtId="10" fontId="42" fillId="0" borderId="23" xfId="0" applyNumberFormat="1" applyFont="1" applyFill="1" applyBorder="1" applyAlignment="1">
      <alignment horizontal="center" vertical="center"/>
    </xf>
    <xf numFmtId="4" fontId="40" fillId="0" borderId="23" xfId="0" applyNumberFormat="1" applyFont="1" applyFill="1" applyBorder="1" applyAlignment="1">
      <alignment horizontal="center" vertical="center"/>
    </xf>
    <xf numFmtId="10" fontId="42" fillId="0" borderId="44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10" fontId="42" fillId="0" borderId="53" xfId="0" applyNumberFormat="1" applyFont="1" applyFill="1" applyBorder="1" applyAlignment="1">
      <alignment horizontal="center" vertical="center" wrapText="1"/>
    </xf>
    <xf numFmtId="10" fontId="42" fillId="0" borderId="12" xfId="0" applyNumberFormat="1" applyFont="1" applyFill="1" applyBorder="1" applyAlignment="1">
      <alignment horizontal="center" vertical="center"/>
    </xf>
    <xf numFmtId="4" fontId="42" fillId="0" borderId="12" xfId="0" applyNumberFormat="1" applyFont="1" applyFill="1" applyBorder="1" applyAlignment="1">
      <alignment horizontal="center" vertical="center"/>
    </xf>
    <xf numFmtId="4" fontId="40" fillId="0" borderId="12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10" fontId="12" fillId="0" borderId="0" xfId="0" applyNumberFormat="1" applyFont="1" applyFill="1" applyBorder="1" applyAlignment="1">
      <alignment vertical="center"/>
    </xf>
    <xf numFmtId="4" fontId="42" fillId="0" borderId="24" xfId="0" applyNumberFormat="1" applyFont="1" applyFill="1" applyBorder="1" applyAlignment="1">
      <alignment horizontal="center" vertical="center"/>
    </xf>
    <xf numFmtId="4" fontId="42" fillId="0" borderId="14" xfId="0" applyNumberFormat="1" applyFont="1" applyFill="1" applyBorder="1" applyAlignment="1">
      <alignment horizontal="center" vertical="center"/>
    </xf>
    <xf numFmtId="4" fontId="42" fillId="0" borderId="54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right"/>
    </xf>
    <xf numFmtId="168" fontId="12" fillId="3" borderId="1" xfId="0" applyNumberFormat="1" applyFont="1" applyFill="1" applyBorder="1" applyAlignment="1">
      <alignment horizontal="center" vertical="center"/>
    </xf>
    <xf numFmtId="4" fontId="23" fillId="7" borderId="46" xfId="0" applyNumberFormat="1" applyFont="1" applyFill="1" applyBorder="1" applyAlignment="1">
      <alignment horizontal="center" vertical="center"/>
    </xf>
    <xf numFmtId="9" fontId="12" fillId="0" borderId="23" xfId="0" applyNumberFormat="1" applyFont="1" applyFill="1" applyBorder="1" applyAlignment="1">
      <alignment horizontal="center" vertical="center"/>
    </xf>
    <xf numFmtId="2" fontId="12" fillId="0" borderId="23" xfId="0" applyNumberFormat="1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>
      <alignment horizontal="center" vertical="center"/>
    </xf>
    <xf numFmtId="4" fontId="38" fillId="0" borderId="23" xfId="0" applyNumberFormat="1" applyFont="1" applyFill="1" applyBorder="1" applyAlignment="1">
      <alignment horizontal="center" vertical="center"/>
    </xf>
    <xf numFmtId="2" fontId="42" fillId="0" borderId="23" xfId="0" applyNumberFormat="1" applyFont="1" applyBorder="1" applyAlignment="1">
      <alignment horizontal="center" vertical="center"/>
    </xf>
    <xf numFmtId="4" fontId="42" fillId="0" borderId="23" xfId="0" applyNumberFormat="1" applyFont="1" applyBorder="1" applyAlignment="1">
      <alignment horizontal="center" vertical="center"/>
    </xf>
    <xf numFmtId="4" fontId="23" fillId="7" borderId="6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/>
    </xf>
    <xf numFmtId="2" fontId="42" fillId="0" borderId="2" xfId="0" applyNumberFormat="1" applyFont="1" applyBorder="1" applyAlignment="1">
      <alignment horizontal="center" vertical="center"/>
    </xf>
    <xf numFmtId="4" fontId="42" fillId="0" borderId="2" xfId="0" applyNumberFormat="1" applyFont="1" applyBorder="1" applyAlignment="1">
      <alignment horizontal="center" vertical="center"/>
    </xf>
    <xf numFmtId="4" fontId="23" fillId="7" borderId="11" xfId="0" applyNumberFormat="1" applyFont="1" applyFill="1" applyBorder="1" applyAlignment="1">
      <alignment horizontal="center" vertical="center"/>
    </xf>
    <xf numFmtId="9" fontId="12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4" fontId="38" fillId="0" borderId="12" xfId="0" applyNumberFormat="1" applyFont="1" applyFill="1" applyBorder="1" applyAlignment="1">
      <alignment horizontal="center" vertical="center"/>
    </xf>
    <xf numFmtId="2" fontId="42" fillId="0" borderId="12" xfId="0" applyNumberFormat="1" applyFont="1" applyBorder="1" applyAlignment="1">
      <alignment horizontal="center" vertical="center"/>
    </xf>
    <xf numFmtId="4" fontId="42" fillId="0" borderId="12" xfId="0" applyNumberFormat="1" applyFont="1" applyBorder="1" applyAlignment="1">
      <alignment horizontal="center" vertical="center"/>
    </xf>
    <xf numFmtId="0" fontId="45" fillId="3" borderId="1" xfId="0" applyFont="1" applyFill="1" applyBorder="1"/>
    <xf numFmtId="0" fontId="35" fillId="0" borderId="9" xfId="0" applyFont="1" applyBorder="1" applyAlignment="1">
      <alignment horizontal="left" vertical="center" wrapText="1"/>
    </xf>
    <xf numFmtId="4" fontId="35" fillId="0" borderId="29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4" fontId="35" fillId="0" borderId="30" xfId="0" applyNumberFormat="1" applyFont="1" applyBorder="1" applyAlignment="1">
      <alignment vertical="center"/>
    </xf>
    <xf numFmtId="0" fontId="45" fillId="3" borderId="1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left" vertical="center" wrapText="1"/>
    </xf>
    <xf numFmtId="4" fontId="35" fillId="3" borderId="30" xfId="0" applyNumberFormat="1" applyFont="1" applyFill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4" fontId="35" fillId="0" borderId="31" xfId="0" applyNumberFormat="1" applyFont="1" applyBorder="1" applyAlignment="1">
      <alignment vertical="center"/>
    </xf>
    <xf numFmtId="0" fontId="28" fillId="0" borderId="0" xfId="0" applyFont="1"/>
    <xf numFmtId="0" fontId="48" fillId="0" borderId="0" xfId="0" applyFont="1"/>
    <xf numFmtId="0" fontId="23" fillId="3" borderId="3" xfId="0" applyFont="1" applyFill="1" applyBorder="1" applyAlignment="1"/>
    <xf numFmtId="0" fontId="2" fillId="3" borderId="5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 wrapText="1"/>
    </xf>
    <xf numFmtId="10" fontId="12" fillId="8" borderId="23" xfId="0" applyNumberFormat="1" applyFont="1" applyFill="1" applyBorder="1" applyAlignment="1">
      <alignment horizontal="center" vertical="center"/>
    </xf>
    <xf numFmtId="10" fontId="12" fillId="8" borderId="2" xfId="0" applyNumberFormat="1" applyFont="1" applyFill="1" applyBorder="1" applyAlignment="1">
      <alignment horizontal="center" vertical="center"/>
    </xf>
    <xf numFmtId="10" fontId="12" fillId="8" borderId="12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wrapText="1"/>
    </xf>
    <xf numFmtId="0" fontId="42" fillId="3" borderId="1" xfId="0" applyFont="1" applyFill="1" applyBorder="1" applyAlignment="1">
      <alignment horizontal="right"/>
    </xf>
    <xf numFmtId="0" fontId="35" fillId="0" borderId="0" xfId="0" applyFont="1" applyProtection="1">
      <protection locked="0"/>
    </xf>
    <xf numFmtId="0" fontId="45" fillId="3" borderId="1" xfId="0" applyFont="1" applyFill="1" applyBorder="1" applyProtection="1">
      <protection locked="0"/>
    </xf>
    <xf numFmtId="0" fontId="45" fillId="3" borderId="1" xfId="0" applyFont="1" applyFill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left" vertical="center" wrapText="1"/>
      <protection locked="0"/>
    </xf>
    <xf numFmtId="4" fontId="35" fillId="0" borderId="29" xfId="0" applyNumberFormat="1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10" xfId="0" applyFont="1" applyBorder="1" applyAlignment="1" applyProtection="1">
      <alignment horizontal="left" vertical="center" wrapText="1"/>
      <protection locked="0"/>
    </xf>
    <xf numFmtId="4" fontId="35" fillId="0" borderId="30" xfId="0" applyNumberFormat="1" applyFont="1" applyBorder="1" applyAlignment="1" applyProtection="1">
      <alignment vertical="center"/>
      <protection locked="0"/>
    </xf>
    <xf numFmtId="0" fontId="35" fillId="3" borderId="10" xfId="0" applyFont="1" applyFill="1" applyBorder="1" applyAlignment="1" applyProtection="1">
      <alignment horizontal="left" vertical="center" wrapText="1"/>
      <protection locked="0"/>
    </xf>
    <xf numFmtId="4" fontId="35" fillId="3" borderId="30" xfId="0" applyNumberFormat="1" applyFont="1" applyFill="1" applyBorder="1" applyAlignment="1" applyProtection="1">
      <alignment vertical="center"/>
      <protection locked="0"/>
    </xf>
    <xf numFmtId="0" fontId="35" fillId="0" borderId="13" xfId="0" applyFont="1" applyBorder="1" applyAlignment="1" applyProtection="1">
      <alignment horizontal="left" vertical="center" wrapText="1"/>
      <protection locked="0"/>
    </xf>
    <xf numFmtId="4" fontId="35" fillId="0" borderId="31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9" fillId="3" borderId="1" xfId="0" applyFont="1" applyFill="1" applyBorder="1" applyAlignment="1" applyProtection="1">
      <alignment wrapText="1"/>
      <protection locked="0"/>
    </xf>
    <xf numFmtId="0" fontId="42" fillId="3" borderId="1" xfId="0" applyFont="1" applyFill="1" applyBorder="1" applyAlignment="1" applyProtection="1">
      <alignment horizontal="right"/>
      <protection locked="0"/>
    </xf>
    <xf numFmtId="0" fontId="42" fillId="0" borderId="0" xfId="0" applyFont="1" applyProtection="1">
      <protection locked="0"/>
    </xf>
    <xf numFmtId="0" fontId="2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horizontal="center" vertical="center" wrapText="1" shrinkToFit="1"/>
    </xf>
    <xf numFmtId="0" fontId="38" fillId="3" borderId="1" xfId="0" applyFont="1" applyFill="1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vertical="center" wrapText="1"/>
    </xf>
    <xf numFmtId="10" fontId="42" fillId="0" borderId="52" xfId="0" applyNumberFormat="1" applyFont="1" applyFill="1" applyBorder="1" applyAlignment="1" applyProtection="1">
      <alignment horizontal="center" vertical="center"/>
    </xf>
    <xf numFmtId="10" fontId="42" fillId="0" borderId="23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 applyProtection="1">
      <alignment vertical="center" wrapText="1"/>
    </xf>
    <xf numFmtId="10" fontId="42" fillId="0" borderId="44" xfId="0" applyNumberFormat="1" applyFont="1" applyFill="1" applyBorder="1" applyAlignment="1" applyProtection="1">
      <alignment horizontal="center" vertical="center"/>
    </xf>
    <xf numFmtId="10" fontId="42" fillId="0" borderId="2" xfId="0" applyNumberFormat="1" applyFont="1" applyFill="1" applyBorder="1" applyAlignment="1" applyProtection="1">
      <alignment horizontal="center" vertical="center"/>
    </xf>
    <xf numFmtId="0" fontId="42" fillId="3" borderId="1" xfId="0" applyFont="1" applyFill="1" applyBorder="1" applyAlignment="1" applyProtection="1">
      <alignment vertical="center" wrapText="1"/>
    </xf>
    <xf numFmtId="10" fontId="42" fillId="0" borderId="53" xfId="0" applyNumberFormat="1" applyFont="1" applyFill="1" applyBorder="1" applyAlignment="1" applyProtection="1">
      <alignment horizontal="center" vertical="center" wrapText="1"/>
    </xf>
    <xf numFmtId="10" fontId="42" fillId="0" borderId="12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4" fontId="42" fillId="0" borderId="23" xfId="0" applyNumberFormat="1" applyFont="1" applyFill="1" applyBorder="1" applyAlignment="1" applyProtection="1">
      <alignment horizontal="center" vertical="center"/>
    </xf>
    <xf numFmtId="4" fontId="40" fillId="0" borderId="23" xfId="0" applyNumberFormat="1" applyFont="1" applyFill="1" applyBorder="1" applyAlignment="1" applyProtection="1">
      <alignment horizontal="center" vertical="center"/>
    </xf>
    <xf numFmtId="4" fontId="42" fillId="0" borderId="24" xfId="0" applyNumberFormat="1" applyFont="1" applyFill="1" applyBorder="1" applyAlignment="1" applyProtection="1">
      <alignment horizontal="center" vertical="center"/>
    </xf>
    <xf numFmtId="4" fontId="42" fillId="0" borderId="2" xfId="0" applyNumberFormat="1" applyFont="1" applyFill="1" applyBorder="1" applyAlignment="1" applyProtection="1">
      <alignment horizontal="center" vertical="center"/>
    </xf>
    <xf numFmtId="4" fontId="40" fillId="0" borderId="2" xfId="0" applyNumberFormat="1" applyFont="1" applyFill="1" applyBorder="1" applyAlignment="1" applyProtection="1">
      <alignment horizontal="center" vertical="center"/>
    </xf>
    <xf numFmtId="4" fontId="42" fillId="0" borderId="14" xfId="0" applyNumberFormat="1" applyFont="1" applyFill="1" applyBorder="1" applyAlignment="1" applyProtection="1">
      <alignment horizontal="center" vertical="center"/>
    </xf>
    <xf numFmtId="4" fontId="42" fillId="0" borderId="12" xfId="0" applyNumberFormat="1" applyFont="1" applyFill="1" applyBorder="1" applyAlignment="1" applyProtection="1">
      <alignment horizontal="center" vertical="center"/>
    </xf>
    <xf numFmtId="4" fontId="40" fillId="0" borderId="12" xfId="0" applyNumberFormat="1" applyFont="1" applyFill="1" applyBorder="1" applyAlignment="1" applyProtection="1">
      <alignment horizontal="center" vertical="center"/>
    </xf>
    <xf numFmtId="4" fontId="42" fillId="0" borderId="54" xfId="0" applyNumberFormat="1" applyFont="1" applyFill="1" applyBorder="1" applyAlignment="1" applyProtection="1">
      <alignment horizontal="center" vertical="center"/>
    </xf>
    <xf numFmtId="168" fontId="12" fillId="3" borderId="1" xfId="0" applyNumberFormat="1" applyFont="1" applyFill="1" applyBorder="1" applyAlignment="1" applyProtection="1">
      <alignment horizontal="center" vertical="center"/>
    </xf>
    <xf numFmtId="4" fontId="12" fillId="3" borderId="1" xfId="0" applyNumberFormat="1" applyFont="1" applyFill="1" applyBorder="1" applyAlignment="1" applyProtection="1">
      <alignment horizontal="center" vertical="center"/>
    </xf>
    <xf numFmtId="3" fontId="13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9" fontId="12" fillId="0" borderId="23" xfId="0" applyNumberFormat="1" applyFont="1" applyFill="1" applyBorder="1" applyAlignment="1" applyProtection="1">
      <alignment horizontal="center" vertical="center"/>
    </xf>
    <xf numFmtId="2" fontId="12" fillId="0" borderId="23" xfId="0" applyNumberFormat="1" applyFont="1" applyFill="1" applyBorder="1" applyAlignment="1" applyProtection="1">
      <alignment horizontal="center" vertical="center"/>
    </xf>
    <xf numFmtId="4" fontId="12" fillId="0" borderId="23" xfId="0" applyNumberFormat="1" applyFont="1" applyFill="1" applyBorder="1" applyAlignment="1" applyProtection="1">
      <alignment horizontal="center" vertical="center"/>
    </xf>
    <xf numFmtId="9" fontId="12" fillId="0" borderId="2" xfId="0" applyNumberFormat="1" applyFont="1" applyFill="1" applyBorder="1" applyAlignment="1" applyProtection="1">
      <alignment horizontal="center" vertical="center"/>
    </xf>
    <xf numFmtId="2" fontId="12" fillId="0" borderId="2" xfId="0" applyNumberFormat="1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9" fontId="12" fillId="0" borderId="12" xfId="0" applyNumberFormat="1" applyFont="1" applyFill="1" applyBorder="1" applyAlignment="1" applyProtection="1">
      <alignment horizontal="center" vertical="center"/>
    </xf>
    <xf numFmtId="2" fontId="12" fillId="0" borderId="12" xfId="0" applyNumberFormat="1" applyFont="1" applyFill="1" applyBorder="1" applyAlignment="1" applyProtection="1">
      <alignment horizontal="center" vertical="center"/>
    </xf>
    <xf numFmtId="4" fontId="12" fillId="0" borderId="12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Border="1" applyAlignment="1" applyProtection="1">
      <alignment horizontal="center" vertical="center"/>
    </xf>
    <xf numFmtId="2" fontId="12" fillId="0" borderId="1" xfId="0" applyNumberFormat="1" applyFont="1" applyBorder="1" applyAlignment="1" applyProtection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</xf>
    <xf numFmtId="4" fontId="38" fillId="0" borderId="23" xfId="0" applyNumberFormat="1" applyFont="1" applyFill="1" applyBorder="1" applyAlignment="1" applyProtection="1">
      <alignment horizontal="center" vertical="center"/>
    </xf>
    <xf numFmtId="2" fontId="42" fillId="0" borderId="23" xfId="0" applyNumberFormat="1" applyFont="1" applyBorder="1" applyAlignment="1" applyProtection="1">
      <alignment horizontal="center" vertical="center"/>
    </xf>
    <xf numFmtId="4" fontId="42" fillId="0" borderId="23" xfId="0" applyNumberFormat="1" applyFont="1" applyBorder="1" applyAlignment="1" applyProtection="1">
      <alignment horizontal="center" vertical="center"/>
    </xf>
    <xf numFmtId="4" fontId="38" fillId="0" borderId="2" xfId="0" applyNumberFormat="1" applyFont="1" applyFill="1" applyBorder="1" applyAlignment="1" applyProtection="1">
      <alignment horizontal="center" vertical="center"/>
    </xf>
    <xf numFmtId="2" fontId="42" fillId="0" borderId="2" xfId="0" applyNumberFormat="1" applyFont="1" applyBorder="1" applyAlignment="1" applyProtection="1">
      <alignment horizontal="center" vertical="center"/>
    </xf>
    <xf numFmtId="4" fontId="42" fillId="0" borderId="2" xfId="0" applyNumberFormat="1" applyFont="1" applyBorder="1" applyAlignment="1" applyProtection="1">
      <alignment horizontal="center" vertical="center"/>
    </xf>
    <xf numFmtId="4" fontId="38" fillId="0" borderId="12" xfId="0" applyNumberFormat="1" applyFont="1" applyFill="1" applyBorder="1" applyAlignment="1" applyProtection="1">
      <alignment horizontal="center" vertical="center"/>
    </xf>
    <xf numFmtId="2" fontId="42" fillId="0" borderId="12" xfId="0" applyNumberFormat="1" applyFont="1" applyBorder="1" applyAlignment="1" applyProtection="1">
      <alignment horizontal="center" vertical="center"/>
    </xf>
    <xf numFmtId="4" fontId="42" fillId="0" borderId="12" xfId="0" applyNumberFormat="1" applyFont="1" applyBorder="1" applyAlignment="1" applyProtection="1">
      <alignment horizontal="center" vertical="center"/>
    </xf>
    <xf numFmtId="0" fontId="34" fillId="3" borderId="1" xfId="0" applyFont="1" applyFill="1" applyBorder="1" applyAlignment="1" applyProtection="1">
      <alignment horizontal="center" vertical="center"/>
    </xf>
    <xf numFmtId="10" fontId="12" fillId="8" borderId="23" xfId="0" applyNumberFormat="1" applyFont="1" applyFill="1" applyBorder="1" applyAlignment="1" applyProtection="1">
      <alignment horizontal="center" vertical="center"/>
      <protection locked="0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7" fillId="12" borderId="3" xfId="0" applyFont="1" applyFill="1" applyBorder="1" applyAlignment="1">
      <alignment horizontal="center"/>
    </xf>
    <xf numFmtId="0" fontId="27" fillId="12" borderId="16" xfId="0" applyFont="1" applyFill="1" applyBorder="1" applyAlignment="1">
      <alignment horizontal="center"/>
    </xf>
    <xf numFmtId="0" fontId="27" fillId="12" borderId="5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16" xfId="0" applyFont="1" applyFill="1" applyBorder="1" applyAlignment="1">
      <alignment horizontal="center"/>
    </xf>
    <xf numFmtId="0" fontId="13" fillId="12" borderId="5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13" fillId="10" borderId="32" xfId="0" applyNumberFormat="1" applyFont="1" applyFill="1" applyBorder="1" applyAlignment="1">
      <alignment horizontal="center" vertical="center"/>
    </xf>
    <xf numFmtId="4" fontId="13" fillId="10" borderId="33" xfId="0" applyNumberFormat="1" applyFont="1" applyFill="1" applyBorder="1" applyAlignment="1">
      <alignment horizontal="center" vertical="center"/>
    </xf>
    <xf numFmtId="4" fontId="13" fillId="10" borderId="27" xfId="0" applyNumberFormat="1" applyFont="1" applyFill="1" applyBorder="1" applyAlignment="1">
      <alignment horizontal="center" vertical="center"/>
    </xf>
    <xf numFmtId="4" fontId="14" fillId="8" borderId="34" xfId="0" applyNumberFormat="1" applyFont="1" applyFill="1" applyBorder="1" applyAlignment="1">
      <alignment horizontal="center" vertical="center"/>
    </xf>
    <xf numFmtId="4" fontId="14" fillId="8" borderId="35" xfId="0" applyNumberFormat="1" applyFont="1" applyFill="1" applyBorder="1" applyAlignment="1">
      <alignment horizontal="center" vertical="center"/>
    </xf>
    <xf numFmtId="4" fontId="14" fillId="8" borderId="36" xfId="0" applyNumberFormat="1" applyFont="1" applyFill="1" applyBorder="1" applyAlignment="1">
      <alignment horizontal="center" vertical="center"/>
    </xf>
    <xf numFmtId="10" fontId="14" fillId="10" borderId="21" xfId="0" applyNumberFormat="1" applyFont="1" applyFill="1" applyBorder="1" applyAlignment="1">
      <alignment horizontal="center" vertical="center"/>
    </xf>
    <xf numFmtId="10" fontId="14" fillId="10" borderId="15" xfId="0" applyNumberFormat="1" applyFont="1" applyFill="1" applyBorder="1" applyAlignment="1">
      <alignment horizontal="center" vertical="center"/>
    </xf>
    <xf numFmtId="10" fontId="14" fillId="10" borderId="26" xfId="0" applyNumberFormat="1" applyFont="1" applyFill="1" applyBorder="1" applyAlignment="1">
      <alignment horizontal="center" vertical="center"/>
    </xf>
    <xf numFmtId="2" fontId="14" fillId="8" borderId="21" xfId="0" applyNumberFormat="1" applyFont="1" applyFill="1" applyBorder="1" applyAlignment="1">
      <alignment horizontal="center" vertical="center"/>
    </xf>
    <xf numFmtId="2" fontId="14" fillId="8" borderId="15" xfId="0" applyNumberFormat="1" applyFont="1" applyFill="1" applyBorder="1" applyAlignment="1">
      <alignment horizontal="center" vertical="center"/>
    </xf>
    <xf numFmtId="2" fontId="14" fillId="8" borderId="2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textRotation="90"/>
    </xf>
    <xf numFmtId="0" fontId="15" fillId="0" borderId="19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/>
    </xf>
    <xf numFmtId="4" fontId="13" fillId="10" borderId="21" xfId="0" applyNumberFormat="1" applyFont="1" applyFill="1" applyBorder="1" applyAlignment="1">
      <alignment horizontal="center" vertical="center"/>
    </xf>
    <xf numFmtId="4" fontId="13" fillId="10" borderId="15" xfId="0" applyNumberFormat="1" applyFont="1" applyFill="1" applyBorder="1" applyAlignment="1">
      <alignment horizontal="center" vertical="center"/>
    </xf>
    <xf numFmtId="4" fontId="13" fillId="10" borderId="2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15" fillId="0" borderId="22" xfId="0" applyFont="1" applyBorder="1" applyAlignment="1">
      <alignment horizontal="center" vertical="center" textRotation="90"/>
    </xf>
    <xf numFmtId="4" fontId="13" fillId="10" borderId="8" xfId="0" applyNumberFormat="1" applyFont="1" applyFill="1" applyBorder="1" applyAlignment="1">
      <alignment horizontal="center" vertical="center"/>
    </xf>
    <xf numFmtId="4" fontId="14" fillId="8" borderId="21" xfId="0" applyNumberFormat="1" applyFont="1" applyFill="1" applyBorder="1" applyAlignment="1">
      <alignment horizontal="center" vertical="center"/>
    </xf>
    <xf numFmtId="4" fontId="14" fillId="8" borderId="15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4" fontId="14" fillId="8" borderId="26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/>
    </xf>
    <xf numFmtId="4" fontId="2" fillId="0" borderId="19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16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/>
    </xf>
    <xf numFmtId="0" fontId="17" fillId="14" borderId="0" xfId="0" applyFont="1" applyFill="1" applyAlignment="1">
      <alignment horizontal="center" vertical="center" textRotation="90"/>
    </xf>
    <xf numFmtId="0" fontId="5" fillId="5" borderId="1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textRotation="90"/>
    </xf>
    <xf numFmtId="0" fontId="12" fillId="4" borderId="17" xfId="0" applyFont="1" applyFill="1" applyBorder="1" applyAlignment="1">
      <alignment horizontal="center" vertical="center" textRotation="90"/>
    </xf>
    <xf numFmtId="0" fontId="7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16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11" fillId="17" borderId="1" xfId="0" applyFont="1" applyFill="1" applyBorder="1" applyAlignment="1">
      <alignment horizontal="center" vertical="center" textRotation="90"/>
    </xf>
    <xf numFmtId="0" fontId="12" fillId="5" borderId="1" xfId="0" applyFont="1" applyFill="1" applyBorder="1" applyAlignment="1">
      <alignment horizontal="center" vertical="center" textRotation="90"/>
    </xf>
    <xf numFmtId="0" fontId="2" fillId="16" borderId="1" xfId="0" applyFont="1" applyFill="1" applyBorder="1" applyAlignment="1">
      <alignment horizontal="center" vertical="center" textRotation="90" wrapText="1"/>
    </xf>
    <xf numFmtId="0" fontId="28" fillId="2" borderId="39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49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left" wrapText="1"/>
    </xf>
    <xf numFmtId="0" fontId="0" fillId="0" borderId="46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4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28" fillId="9" borderId="56" xfId="0" applyFont="1" applyFill="1" applyBorder="1" applyAlignment="1">
      <alignment horizontal="center"/>
    </xf>
    <xf numFmtId="0" fontId="28" fillId="9" borderId="50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 textRotation="90" wrapText="1"/>
    </xf>
    <xf numFmtId="0" fontId="11" fillId="8" borderId="52" xfId="0" applyFont="1" applyFill="1" applyBorder="1" applyAlignment="1">
      <alignment horizontal="center" vertical="center" textRotation="90" wrapText="1"/>
    </xf>
    <xf numFmtId="0" fontId="11" fillId="8" borderId="44" xfId="0" applyFont="1" applyFill="1" applyBorder="1" applyAlignment="1">
      <alignment horizontal="center" vertical="center" textRotation="90" wrapText="1"/>
    </xf>
    <xf numFmtId="0" fontId="11" fillId="8" borderId="53" xfId="0" applyFont="1" applyFill="1" applyBorder="1" applyAlignment="1">
      <alignment horizontal="center" vertical="center" textRotation="90" wrapText="1"/>
    </xf>
    <xf numFmtId="0" fontId="37" fillId="0" borderId="22" xfId="0" applyFont="1" applyFill="1" applyBorder="1" applyAlignment="1">
      <alignment horizontal="center" vertical="center" textRotation="90"/>
    </xf>
    <xf numFmtId="0" fontId="32" fillId="7" borderId="4" xfId="0" applyFont="1" applyFill="1" applyBorder="1" applyAlignment="1">
      <alignment horizontal="center" vertical="center" textRotation="90"/>
    </xf>
    <xf numFmtId="0" fontId="32" fillId="7" borderId="19" xfId="0" applyFont="1" applyFill="1" applyBorder="1" applyAlignment="1">
      <alignment horizontal="center" vertical="center" textRotation="90"/>
    </xf>
    <xf numFmtId="0" fontId="32" fillId="7" borderId="17" xfId="0" applyFont="1" applyFill="1" applyBorder="1" applyAlignment="1">
      <alignment horizontal="center" vertical="center" textRotation="90"/>
    </xf>
    <xf numFmtId="0" fontId="44" fillId="3" borderId="0" xfId="0" applyFont="1" applyFill="1" applyAlignment="1">
      <alignment horizontal="center" vertical="center" textRotation="90"/>
    </xf>
    <xf numFmtId="0" fontId="35" fillId="0" borderId="10" xfId="0" applyFont="1" applyBorder="1" applyAlignment="1" applyProtection="1">
      <alignment horizontal="left" vertical="center" wrapText="1"/>
      <protection locked="0"/>
    </xf>
    <xf numFmtId="0" fontId="45" fillId="3" borderId="1" xfId="0" applyFont="1" applyFill="1" applyBorder="1" applyAlignment="1" applyProtection="1">
      <alignment horizontal="center" vertical="center"/>
      <protection locked="0"/>
    </xf>
    <xf numFmtId="4" fontId="33" fillId="3" borderId="25" xfId="0" applyNumberFormat="1" applyFont="1" applyFill="1" applyBorder="1" applyAlignment="1" applyProtection="1">
      <alignment horizontal="center" vertical="center"/>
    </xf>
    <xf numFmtId="4" fontId="33" fillId="3" borderId="10" xfId="0" applyNumberFormat="1" applyFont="1" applyFill="1" applyBorder="1" applyAlignment="1" applyProtection="1">
      <alignment horizontal="center" vertical="center"/>
    </xf>
    <xf numFmtId="4" fontId="33" fillId="3" borderId="13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10" fontId="12" fillId="0" borderId="29" xfId="0" applyNumberFormat="1" applyFont="1" applyFill="1" applyBorder="1" applyAlignment="1" applyProtection="1">
      <alignment horizontal="center" vertical="center"/>
    </xf>
    <xf numFmtId="10" fontId="12" fillId="0" borderId="30" xfId="0" applyNumberFormat="1" applyFont="1" applyFill="1" applyBorder="1" applyAlignment="1" applyProtection="1">
      <alignment horizontal="center" vertical="center"/>
    </xf>
    <xf numFmtId="10" fontId="12" fillId="0" borderId="31" xfId="0" applyNumberFormat="1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 wrapText="1"/>
    </xf>
    <xf numFmtId="0" fontId="36" fillId="0" borderId="16" xfId="0" applyFont="1" applyFill="1" applyBorder="1" applyAlignment="1" applyProtection="1">
      <alignment horizontal="center" vertical="center" wrapText="1"/>
    </xf>
    <xf numFmtId="0" fontId="36" fillId="0" borderId="5" xfId="0" applyFont="1" applyFill="1" applyBorder="1" applyAlignment="1" applyProtection="1">
      <alignment horizontal="center" vertical="center" wrapText="1"/>
    </xf>
    <xf numFmtId="9" fontId="13" fillId="7" borderId="23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4" fontId="12" fillId="0" borderId="23" xfId="0" applyNumberFormat="1" applyFont="1" applyBorder="1" applyAlignment="1" applyProtection="1">
      <alignment horizontal="center" vertical="center"/>
    </xf>
    <xf numFmtId="4" fontId="12" fillId="0" borderId="2" xfId="0" applyNumberFormat="1" applyFont="1" applyBorder="1" applyAlignment="1" applyProtection="1">
      <alignment horizontal="center" vertical="center"/>
    </xf>
    <xf numFmtId="4" fontId="12" fillId="0" borderId="12" xfId="0" applyNumberFormat="1" applyFont="1" applyBorder="1" applyAlignment="1" applyProtection="1">
      <alignment horizontal="center" vertical="center"/>
    </xf>
    <xf numFmtId="4" fontId="33" fillId="3" borderId="23" xfId="0" applyNumberFormat="1" applyFont="1" applyFill="1" applyBorder="1" applyAlignment="1" applyProtection="1">
      <alignment horizontal="center" vertical="center"/>
    </xf>
    <xf numFmtId="4" fontId="33" fillId="3" borderId="2" xfId="0" applyNumberFormat="1" applyFont="1" applyFill="1" applyBorder="1" applyAlignment="1" applyProtection="1">
      <alignment horizontal="center" vertical="center"/>
    </xf>
    <xf numFmtId="4" fontId="33" fillId="3" borderId="12" xfId="0" applyNumberFormat="1" applyFont="1" applyFill="1" applyBorder="1" applyAlignment="1" applyProtection="1">
      <alignment horizontal="center" vertical="center"/>
    </xf>
    <xf numFmtId="10" fontId="13" fillId="7" borderId="23" xfId="0" applyNumberFormat="1" applyFont="1" applyFill="1" applyBorder="1" applyAlignment="1">
      <alignment horizontal="center" vertical="center"/>
    </xf>
    <xf numFmtId="10" fontId="13" fillId="7" borderId="2" xfId="0" applyNumberFormat="1" applyFont="1" applyFill="1" applyBorder="1" applyAlignment="1">
      <alignment horizontal="center" vertical="center"/>
    </xf>
    <xf numFmtId="10" fontId="13" fillId="7" borderId="12" xfId="0" applyNumberFormat="1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4" fontId="12" fillId="0" borderId="12" xfId="0" applyNumberFormat="1" applyFont="1" applyFill="1" applyBorder="1" applyAlignment="1" applyProtection="1">
      <alignment horizontal="center" vertical="center"/>
    </xf>
    <xf numFmtId="4" fontId="12" fillId="0" borderId="2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3" fillId="3" borderId="25" xfId="0" applyNumberFormat="1" applyFont="1" applyFill="1" applyBorder="1" applyAlignment="1">
      <alignment horizontal="center" vertical="center"/>
    </xf>
    <xf numFmtId="4" fontId="33" fillId="3" borderId="10" xfId="0" applyNumberFormat="1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left" vertical="center" wrapText="1"/>
    </xf>
    <xf numFmtId="4" fontId="33" fillId="3" borderId="23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10" fontId="12" fillId="0" borderId="29" xfId="0" applyNumberFormat="1" applyFont="1" applyFill="1" applyBorder="1" applyAlignment="1">
      <alignment horizontal="center" vertical="center"/>
    </xf>
    <xf numFmtId="10" fontId="12" fillId="0" borderId="30" xfId="0" applyNumberFormat="1" applyFont="1" applyFill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/>
    </xf>
    <xf numFmtId="4" fontId="33" fillId="3" borderId="13" xfId="0" applyNumberFormat="1" applyFont="1" applyFill="1" applyBorder="1" applyAlignment="1">
      <alignment horizontal="center" vertical="center"/>
    </xf>
    <xf numFmtId="4" fontId="33" fillId="3" borderId="12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10" fontId="12" fillId="0" borderId="31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19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'wariant surowcowy firma X'!$B$7</c:f>
              <c:strCache>
                <c:ptCount val="1"/>
                <c:pt idx="0">
                  <c:v>Firma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X'!$E$7:$E$18</c15:sqref>
                  </c15:fullRef>
                </c:ext>
              </c:extLst>
              <c:f>'wariant surowcowy firma X'!$E$7:$E$18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X'!$B$8:$B$48</c15:sqref>
                  </c15:fullRef>
                </c:ext>
              </c:extLst>
              <c:f>('wariant surowcowy firma X'!$B$8:$B$19,'wariant surowcowy firma X'!$B$36)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EC1E-4DC9-83E5-629F31193DE7}"/>
            </c:ext>
          </c:extLst>
        </c:ser>
        <c:ser>
          <c:idx val="1"/>
          <c:order val="1"/>
          <c:tx>
            <c:strRef>
              <c:f>'wariant surowcowy firma X'!$C$7</c:f>
              <c:strCache>
                <c:ptCount val="1"/>
                <c:pt idx="0">
                  <c:v>Wariant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X'!$E$7:$E$18</c15:sqref>
                  </c15:fullRef>
                </c:ext>
              </c:extLst>
              <c:f>'wariant surowcowy firma X'!$E$7:$E$18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X'!$C$8:$C$18</c15:sqref>
                  </c15:fullRef>
                </c:ext>
              </c:extLst>
              <c:f>'wariant surowcowy firma X'!$C$8:$C$18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EC1E-4DC9-83E5-629F31193DE7}"/>
            </c:ext>
          </c:extLst>
        </c:ser>
        <c:ser>
          <c:idx val="2"/>
          <c:order val="2"/>
          <c:tx>
            <c:strRef>
              <c:f>'wariant surowcowy firma X'!$E$5:$E$6</c:f>
              <c:strCache>
                <c:ptCount val="2"/>
                <c:pt idx="0">
                  <c:v>Substrat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X'!$E$7:$E$18</c15:sqref>
                  </c15:fullRef>
                </c:ext>
              </c:extLst>
              <c:f>'wariant surowcowy firma X'!$E$7:$E$18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X'!$E$7:$E$18</c15:sqref>
                  </c15:fullRef>
                </c:ext>
              </c:extLst>
              <c:f>'wariant surowcowy firma X'!$E$7:$E$18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E-4DC9-83E5-629F31193DE7}"/>
            </c:ext>
          </c:extLst>
        </c:ser>
        <c:ser>
          <c:idx val="3"/>
          <c:order val="3"/>
          <c:tx>
            <c:strRef>
              <c:f>'wariant surowcowy firma X'!$U$6</c:f>
              <c:strCache>
                <c:ptCount val="1"/>
                <c:pt idx="0">
                  <c:v>Mg/d firma X wariant 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X'!$E$7:$E$18</c15:sqref>
                  </c15:fullRef>
                </c:ext>
              </c:extLst>
              <c:f>'wariant surowcowy firma X'!$E$7:$E$18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X'!$U$7:$U$18</c15:sqref>
                  </c15:fullRef>
                </c:ext>
              </c:extLst>
              <c:f>'wariant surowcowy firma X'!$U$7:$U$18</c:f>
              <c:numCache>
                <c:formatCode>#,##0.00</c:formatCode>
                <c:ptCount val="12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19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E-4DC9-83E5-629F31193DE7}"/>
            </c:ext>
          </c:extLst>
        </c:ser>
        <c:ser>
          <c:idx val="4"/>
          <c:order val="4"/>
          <c:tx>
            <c:strRef>
              <c:f>'wariant surowcowy firma X'!$U$53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Obornik bydlęcy</c:v>
              </c:pt>
              <c:pt idx="1">
                <c:v>Obornik drobiowy/pomiot drobiowy</c:v>
              </c:pt>
              <c:pt idx="2">
                <c:v>Trzoda chlewna obornik</c:v>
              </c:pt>
              <c:pt idx="3">
                <c:v>Gnojowica bydlęca</c:v>
              </c:pt>
              <c:pt idx="4">
                <c:v>Słoma zbóż po zakiszeniu, trawy</c:v>
              </c:pt>
              <c:pt idx="5">
                <c:v>Odpady z produkcji spożywczej - odpady owocowo warzywne</c:v>
              </c:pt>
              <c:pt idx="6">
                <c:v>Odpady z produkcji spożywczej - wytłoki, wycierki, łupiny</c:v>
              </c:pt>
              <c:pt idx="7">
                <c:v>Odpady z produkcji spożywczej - wywar zbożowy</c:v>
              </c:pt>
              <c:pt idx="8">
                <c:v>Odpady poubojowe (KII +KIII) bydło</c:v>
              </c:pt>
              <c:pt idx="9">
                <c:v>Trwałe Użytki Zielone (TUZ) - zieleń miejska</c:v>
              </c:pt>
              <c:pt idx="10">
                <c:v>Browary odpady (młóto)</c:v>
              </c:pt>
              <c:pt idx="11">
                <c:v>Odpady biodegradowalne w tym gospodarstwa domowe - odpady kuchenne, przeterminowana żywność, usł. komunalne,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X'!$U$54:$U$65</c15:sqref>
                  </c15:fullRef>
                </c:ext>
              </c:extLst>
              <c:f>'wariant surowcowy firma X'!$U$54:$U$65</c:f>
              <c:numCache>
                <c:formatCode>#,##0.00</c:formatCode>
                <c:ptCount val="12"/>
                <c:pt idx="0">
                  <c:v>29</c:v>
                </c:pt>
                <c:pt idx="1">
                  <c:v>16</c:v>
                </c:pt>
                <c:pt idx="2">
                  <c:v>29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E-4DC9-83E5-629F31193DE7}"/>
            </c:ext>
          </c:extLst>
        </c:ser>
        <c:ser>
          <c:idx val="5"/>
          <c:order val="5"/>
          <c:tx>
            <c:strRef>
              <c:f>'wariant surowcowy firma X'!$U$100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Obornik bydlęcy</c:v>
              </c:pt>
              <c:pt idx="1">
                <c:v>Obornik drobiowy/pomiot drobiowy</c:v>
              </c:pt>
              <c:pt idx="2">
                <c:v>Trzoda chlewna obornik</c:v>
              </c:pt>
              <c:pt idx="3">
                <c:v>Gnojowica bydlęca</c:v>
              </c:pt>
              <c:pt idx="4">
                <c:v>Słoma zbóż po zakiszeniu, trawy</c:v>
              </c:pt>
              <c:pt idx="5">
                <c:v>Odpady z produkcji spożywczej - odpady owocowo warzywne</c:v>
              </c:pt>
              <c:pt idx="6">
                <c:v>Odpady z produkcji spożywczej - wytłoki, wycierki, łupiny</c:v>
              </c:pt>
              <c:pt idx="7">
                <c:v>Odpady z produkcji spożywczej - wywar zbożowy</c:v>
              </c:pt>
              <c:pt idx="8">
                <c:v>Odpady poubojowe (KII +KIII) bydło</c:v>
              </c:pt>
              <c:pt idx="9">
                <c:v>Trwałe Użytki Zielone (TUZ) - zieleń miejska</c:v>
              </c:pt>
              <c:pt idx="10">
                <c:v>Browary odpady (młóto)</c:v>
              </c:pt>
              <c:pt idx="11">
                <c:v>Odpady biodegradowalne w tym gospodarstwa domowe - odpady kuchenne, przeterminowana żywność, usł. komunalne,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X'!$U$101:$U$112</c15:sqref>
                  </c15:fullRef>
                </c:ext>
              </c:extLst>
              <c:f>'wariant surowcowy firma X'!$U$101:$U$112</c:f>
              <c:numCache>
                <c:formatCode>#,##0.00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88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1E-4DC9-83E5-629F31193D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0798255"/>
        <c:axId val="270797007"/>
      </c:barChart>
      <c:catAx>
        <c:axId val="270798255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0797007"/>
        <c:crosses val="autoZero"/>
        <c:auto val="1"/>
        <c:lblAlgn val="ctr"/>
        <c:lblOffset val="100"/>
        <c:noMultiLvlLbl val="0"/>
      </c:catAx>
      <c:valAx>
        <c:axId val="27079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Mg surowca 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079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'wariant surowcowy firma Y'!$B$7</c:f>
              <c:strCache>
                <c:ptCount val="1"/>
                <c:pt idx="0">
                  <c:v>Firma 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Y'!$E$7:$E$18</c15:sqref>
                  </c15:fullRef>
                </c:ext>
              </c:extLst>
              <c:f>'wariant surowcowy firma Y'!$E$7:$E$18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Y'!$B$8:$B$48</c15:sqref>
                  </c15:fullRef>
                </c:ext>
              </c:extLst>
              <c:f>('wariant surowcowy firma Y'!$B$8:$B$19,'wariant surowcowy firma Y'!$B$36)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F4A7-44A0-90CA-DB04C752313C}"/>
            </c:ext>
          </c:extLst>
        </c:ser>
        <c:ser>
          <c:idx val="1"/>
          <c:order val="1"/>
          <c:tx>
            <c:strRef>
              <c:f>'wariant surowcowy firma Y'!$C$7</c:f>
              <c:strCache>
                <c:ptCount val="1"/>
                <c:pt idx="0">
                  <c:v>Wariant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Y'!$E$7:$E$18</c15:sqref>
                  </c15:fullRef>
                </c:ext>
              </c:extLst>
              <c:f>'wariant surowcowy firma Y'!$E$7:$E$18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Y'!$C$8:$C$18</c15:sqref>
                  </c15:fullRef>
                </c:ext>
              </c:extLst>
              <c:f>'wariant surowcowy firma Y'!$C$8:$C$18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F4A7-44A0-90CA-DB04C752313C}"/>
            </c:ext>
          </c:extLst>
        </c:ser>
        <c:ser>
          <c:idx val="2"/>
          <c:order val="2"/>
          <c:tx>
            <c:strRef>
              <c:f>'wariant surowcowy firma Y'!$E$5:$E$6</c:f>
              <c:strCache>
                <c:ptCount val="2"/>
                <c:pt idx="0">
                  <c:v>Substrat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Y'!$E$7:$E$18</c15:sqref>
                  </c15:fullRef>
                </c:ext>
              </c:extLst>
              <c:f>'wariant surowcowy firma Y'!$E$7:$E$18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Y'!$E$7:$E$18</c15:sqref>
                  </c15:fullRef>
                </c:ext>
              </c:extLst>
              <c:f>'wariant surowcowy firma Y'!$E$7:$E$18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7-44A0-90CA-DB04C752313C}"/>
            </c:ext>
          </c:extLst>
        </c:ser>
        <c:ser>
          <c:idx val="3"/>
          <c:order val="3"/>
          <c:tx>
            <c:strRef>
              <c:f>'wariant surowcowy firma Y'!$U$6</c:f>
              <c:strCache>
                <c:ptCount val="1"/>
                <c:pt idx="0">
                  <c:v>Mg/d firma Y wariant 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'wariant surowcowy firma Y'!$E$7:$E$18</c15:sqref>
                  </c15:fullRef>
                </c:ext>
              </c:extLst>
              <c:f>'wariant surowcowy firma Y'!$E$7:$E$18</c:f>
              <c:strCache>
                <c:ptCount val="12"/>
                <c:pt idx="0">
                  <c:v>Obornik bydlęcy</c:v>
                </c:pt>
                <c:pt idx="1">
                  <c:v>Obornik drobiowy/pomiot drobiowy</c:v>
                </c:pt>
                <c:pt idx="2">
                  <c:v>Trzoda chlewna obornik</c:v>
                </c:pt>
                <c:pt idx="3">
                  <c:v>Gnojowica bydlęca</c:v>
                </c:pt>
                <c:pt idx="4">
                  <c:v>Słoma zbóż po zakiszeniu, trawy</c:v>
                </c:pt>
                <c:pt idx="5">
                  <c:v>Odpady z produkcji spożywczej - odpady owocowo warzywne</c:v>
                </c:pt>
                <c:pt idx="6">
                  <c:v>Odpady z produkcji spożywczej - wytłoki, wycierki, łupiny</c:v>
                </c:pt>
                <c:pt idx="7">
                  <c:v>Odpady z produkcji spożywczej - wywar zbożowy</c:v>
                </c:pt>
                <c:pt idx="8">
                  <c:v>Odpady poubojowe (KII +KIII) bydło</c:v>
                </c:pt>
                <c:pt idx="9">
                  <c:v>Trwałe Użytki Zielone (TUZ) - zieleń miejska</c:v>
                </c:pt>
                <c:pt idx="10">
                  <c:v>Browary odpady (młóto)</c:v>
                </c:pt>
                <c:pt idx="11">
                  <c:v>Odpady biodegradowalne w tym gospodarstwa domowe - odpady kuchenne, przeterminowana żywność, usł. komunalne,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Y'!$U$7:$U$18</c15:sqref>
                  </c15:fullRef>
                </c:ext>
              </c:extLst>
              <c:f>'wariant surowcowy firma Y'!$U$7:$U$18</c:f>
              <c:numCache>
                <c:formatCode>#,##0.00</c:formatCode>
                <c:ptCount val="12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35</c:v>
                </c:pt>
                <c:pt idx="10">
                  <c:v>19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7-44A0-90CA-DB04C752313C}"/>
            </c:ext>
          </c:extLst>
        </c:ser>
        <c:ser>
          <c:idx val="4"/>
          <c:order val="4"/>
          <c:tx>
            <c:strRef>
              <c:f>'wariant surowcowy firma Y'!$U$53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Obornik bydlęcy</c:v>
              </c:pt>
              <c:pt idx="1">
                <c:v>Obornik drobiowy/pomiot drobiowy</c:v>
              </c:pt>
              <c:pt idx="2">
                <c:v>Trzoda chlewna obornik</c:v>
              </c:pt>
              <c:pt idx="3">
                <c:v>Gnojowica bydlęca</c:v>
              </c:pt>
              <c:pt idx="4">
                <c:v>Słoma zbóż po zakiszeniu, trawy</c:v>
              </c:pt>
              <c:pt idx="5">
                <c:v>Odpady z produkcji spożywczej - odpady owocowo warzywne</c:v>
              </c:pt>
              <c:pt idx="6">
                <c:v>Odpady z produkcji spożywczej - wytłoki, wycierki, łupiny</c:v>
              </c:pt>
              <c:pt idx="7">
                <c:v>Odpady z produkcji spożywczej - wywar zbożowy</c:v>
              </c:pt>
              <c:pt idx="8">
                <c:v>Odpady poubojowe (KII +KIII) bydło</c:v>
              </c:pt>
              <c:pt idx="9">
                <c:v>Trwałe Użytki Zielone (TUZ) - zieleń miejska</c:v>
              </c:pt>
              <c:pt idx="10">
                <c:v>Browary odpady (młóto)</c:v>
              </c:pt>
              <c:pt idx="11">
                <c:v>Odpady biodegradowalne w tym gospodarstwa domowe - odpady kuchenne, przeterminowana żywność, usł. komunalne,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Y'!$U$54:$U$65</c15:sqref>
                  </c15:fullRef>
                </c:ext>
              </c:extLst>
              <c:f>'wariant surowcowy firma Y'!$U$54:$U$65</c:f>
              <c:numCache>
                <c:formatCode>#,##0.00</c:formatCode>
                <c:ptCount val="12"/>
                <c:pt idx="0">
                  <c:v>29</c:v>
                </c:pt>
                <c:pt idx="1">
                  <c:v>16</c:v>
                </c:pt>
                <c:pt idx="2">
                  <c:v>29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7-44A0-90CA-DB04C752313C}"/>
            </c:ext>
          </c:extLst>
        </c:ser>
        <c:ser>
          <c:idx val="5"/>
          <c:order val="5"/>
          <c:tx>
            <c:strRef>
              <c:f>'wariant surowcowy firma Y'!$U$100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Obornik bydlęcy</c:v>
              </c:pt>
              <c:pt idx="1">
                <c:v>Obornik drobiowy/pomiot drobiowy</c:v>
              </c:pt>
              <c:pt idx="2">
                <c:v>Trzoda chlewna obornik</c:v>
              </c:pt>
              <c:pt idx="3">
                <c:v>Gnojowica bydlęca</c:v>
              </c:pt>
              <c:pt idx="4">
                <c:v>Słoma zbóż po zakiszeniu, trawy</c:v>
              </c:pt>
              <c:pt idx="5">
                <c:v>Odpady z produkcji spożywczej - odpady owocowo warzywne</c:v>
              </c:pt>
              <c:pt idx="6">
                <c:v>Odpady z produkcji spożywczej - wytłoki, wycierki, łupiny</c:v>
              </c:pt>
              <c:pt idx="7">
                <c:v>Odpady z produkcji spożywczej - wywar zbożowy</c:v>
              </c:pt>
              <c:pt idx="8">
                <c:v>Odpady poubojowe (KII +KIII) bydło</c:v>
              </c:pt>
              <c:pt idx="9">
                <c:v>Trwałe Użytki Zielone (TUZ) - zieleń miejska</c:v>
              </c:pt>
              <c:pt idx="10">
                <c:v>Browary odpady (młóto)</c:v>
              </c:pt>
              <c:pt idx="11">
                <c:v>Odpady biodegradowalne w tym gospodarstwa domowe - odpady kuchenne, przeterminowana żywność, usł. komunalne,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'wariant surowcowy firma Y'!$U$101:$U$112</c15:sqref>
                  </c15:fullRef>
                </c:ext>
              </c:extLst>
              <c:f>'wariant surowcowy firma Y'!$U$101:$U$112</c:f>
              <c:numCache>
                <c:formatCode>#,##0.00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88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7-44A0-90CA-DB04C75231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0798255"/>
        <c:axId val="270797007"/>
      </c:barChart>
      <c:catAx>
        <c:axId val="270798255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0797007"/>
        <c:crosses val="autoZero"/>
        <c:auto val="1"/>
        <c:lblAlgn val="ctr"/>
        <c:lblOffset val="100"/>
        <c:noMultiLvlLbl val="0"/>
      </c:catAx>
      <c:valAx>
        <c:axId val="27079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Mg surowca 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079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180</xdr:row>
      <xdr:rowOff>412749</xdr:rowOff>
    </xdr:from>
    <xdr:to>
      <xdr:col>32</xdr:col>
      <xdr:colOff>1529291</xdr:colOff>
      <xdr:row>231</xdr:row>
      <xdr:rowOff>127000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180</xdr:row>
      <xdr:rowOff>412749</xdr:rowOff>
    </xdr:from>
    <xdr:to>
      <xdr:col>32</xdr:col>
      <xdr:colOff>1529291</xdr:colOff>
      <xdr:row>222</xdr:row>
      <xdr:rowOff>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239"/>
  <sheetViews>
    <sheetView zoomScale="55" zoomScaleNormal="55" workbookViewId="0">
      <pane xSplit="6" ySplit="6" topLeftCell="G100" activePane="bottomRight" state="frozen"/>
      <selection pane="topRight" activeCell="G1" sqref="G1"/>
      <selection pane="bottomLeft" activeCell="A8" sqref="A8"/>
      <selection pane="bottomRight" activeCell="E42" sqref="E42"/>
    </sheetView>
  </sheetViews>
  <sheetFormatPr defaultRowHeight="14.4" x14ac:dyDescent="0.3"/>
  <cols>
    <col min="2" max="2" width="17.109375" customWidth="1"/>
    <col min="5" max="5" width="28.6640625" customWidth="1"/>
    <col min="6" max="6" width="13.21875" customWidth="1"/>
    <col min="7" max="7" width="9.21875" customWidth="1"/>
    <col min="15" max="15" width="8.6640625" customWidth="1"/>
    <col min="16" max="18" width="10.5546875" customWidth="1"/>
    <col min="19" max="20" width="18.21875" customWidth="1"/>
    <col min="21" max="21" width="21.6640625" customWidth="1"/>
    <col min="22" max="35" width="22.33203125" customWidth="1"/>
    <col min="36" max="36" width="26.77734375" customWidth="1"/>
    <col min="37" max="37" width="26.6640625" customWidth="1"/>
    <col min="38" max="38" width="41.88671875" customWidth="1"/>
    <col min="39" max="39" width="30.5546875" customWidth="1"/>
    <col min="40" max="42" width="22.33203125" customWidth="1"/>
    <col min="43" max="43" width="26.6640625" customWidth="1"/>
    <col min="44" max="44" width="22.33203125" customWidth="1"/>
    <col min="45" max="45" width="28.33203125" customWidth="1"/>
    <col min="46" max="46" width="28.21875" customWidth="1"/>
    <col min="47" max="47" width="18.6640625" customWidth="1"/>
    <col min="48" max="48" width="19.44140625" customWidth="1"/>
  </cols>
  <sheetData>
    <row r="1" spans="2:46" x14ac:dyDescent="0.3">
      <c r="J1" s="19" t="s">
        <v>88</v>
      </c>
      <c r="K1" s="19"/>
      <c r="L1" s="20"/>
    </row>
    <row r="2" spans="2:46" x14ac:dyDescent="0.3">
      <c r="J2" s="63" t="s">
        <v>118</v>
      </c>
      <c r="K2" s="63"/>
      <c r="L2" s="64"/>
      <c r="M2" s="64"/>
      <c r="N2" s="64"/>
    </row>
    <row r="3" spans="2:46" ht="15" thickBot="1" x14ac:dyDescent="0.35">
      <c r="J3" s="66" t="s">
        <v>162</v>
      </c>
      <c r="K3" s="66"/>
      <c r="L3" s="85" t="s">
        <v>161</v>
      </c>
      <c r="M3" s="85"/>
      <c r="N3" s="85"/>
    </row>
    <row r="4" spans="2:46" ht="18.600000000000001" thickBot="1" x14ac:dyDescent="0.4">
      <c r="H4" s="442" t="s">
        <v>142</v>
      </c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5"/>
      <c r="T4" s="5"/>
      <c r="U4" s="5"/>
    </row>
    <row r="5" spans="2:46" ht="58.95" customHeight="1" thickBot="1" x14ac:dyDescent="0.35">
      <c r="E5" s="436" t="s">
        <v>0</v>
      </c>
      <c r="F5" s="443" t="s">
        <v>111</v>
      </c>
      <c r="G5" s="436" t="s">
        <v>101</v>
      </c>
      <c r="H5" s="436" t="s">
        <v>19</v>
      </c>
      <c r="I5" s="445" t="s">
        <v>82</v>
      </c>
      <c r="J5" s="446" t="s">
        <v>31</v>
      </c>
      <c r="K5" s="446" t="s">
        <v>31</v>
      </c>
      <c r="L5" s="436" t="s">
        <v>81</v>
      </c>
      <c r="M5" s="436" t="s">
        <v>81</v>
      </c>
      <c r="N5" s="87" t="s">
        <v>3</v>
      </c>
      <c r="O5" s="436" t="s">
        <v>25</v>
      </c>
      <c r="P5" s="436"/>
      <c r="Q5" s="436" t="s">
        <v>26</v>
      </c>
      <c r="R5" s="436"/>
      <c r="S5" s="437" t="s">
        <v>86</v>
      </c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9"/>
    </row>
    <row r="6" spans="2:46" ht="80.55" customHeight="1" thickBot="1" x14ac:dyDescent="0.4">
      <c r="D6" s="3" t="s">
        <v>8</v>
      </c>
      <c r="E6" s="436"/>
      <c r="F6" s="444"/>
      <c r="G6" s="436"/>
      <c r="H6" s="436"/>
      <c r="I6" s="445"/>
      <c r="J6" s="446"/>
      <c r="K6" s="446"/>
      <c r="L6" s="436"/>
      <c r="M6" s="436"/>
      <c r="N6" s="87" t="s">
        <v>4</v>
      </c>
      <c r="O6" s="87" t="s">
        <v>4</v>
      </c>
      <c r="P6" s="87" t="s">
        <v>5</v>
      </c>
      <c r="Q6" s="436"/>
      <c r="R6" s="436"/>
      <c r="S6" s="7" t="s">
        <v>84</v>
      </c>
      <c r="T6" s="87" t="s">
        <v>85</v>
      </c>
      <c r="U6" s="87" t="s">
        <v>140</v>
      </c>
      <c r="V6" s="6" t="s">
        <v>151</v>
      </c>
      <c r="W6" s="6" t="s">
        <v>104</v>
      </c>
      <c r="X6" s="22" t="s">
        <v>105</v>
      </c>
      <c r="Y6" s="6" t="s">
        <v>87</v>
      </c>
      <c r="Z6" s="22" t="s">
        <v>106</v>
      </c>
      <c r="AA6" s="6" t="s">
        <v>102</v>
      </c>
      <c r="AB6" s="65" t="s">
        <v>107</v>
      </c>
      <c r="AC6" s="23" t="s">
        <v>108</v>
      </c>
      <c r="AD6" s="65" t="s">
        <v>109</v>
      </c>
      <c r="AE6" s="23" t="s">
        <v>110</v>
      </c>
      <c r="AF6" s="44" t="s">
        <v>97</v>
      </c>
      <c r="AG6" s="86" t="s">
        <v>96</v>
      </c>
      <c r="AH6" s="86" t="s">
        <v>173</v>
      </c>
      <c r="AI6" s="86" t="s">
        <v>171</v>
      </c>
      <c r="AJ6" s="86" t="s">
        <v>95</v>
      </c>
      <c r="AK6" s="86" t="s">
        <v>94</v>
      </c>
      <c r="AL6" s="15" t="s">
        <v>93</v>
      </c>
      <c r="AM6" s="15" t="s">
        <v>103</v>
      </c>
      <c r="AN6" s="86" t="s">
        <v>90</v>
      </c>
      <c r="AO6" s="86" t="s">
        <v>98</v>
      </c>
      <c r="AP6" s="86" t="s">
        <v>99</v>
      </c>
      <c r="AQ6" s="86" t="s">
        <v>100</v>
      </c>
      <c r="AR6" s="86" t="s">
        <v>153</v>
      </c>
      <c r="AS6" s="86" t="s">
        <v>152</v>
      </c>
      <c r="AT6" s="1" t="s">
        <v>83</v>
      </c>
    </row>
    <row r="7" spans="2:46" ht="28.95" customHeight="1" thickBot="1" x14ac:dyDescent="0.35">
      <c r="B7" s="441" t="str">
        <f>L3</f>
        <v>Firma X</v>
      </c>
      <c r="C7" s="416" t="s">
        <v>114</v>
      </c>
      <c r="D7" s="419" t="s">
        <v>9</v>
      </c>
      <c r="E7" s="25" t="s">
        <v>17</v>
      </c>
      <c r="F7" s="2"/>
      <c r="G7" s="62">
        <v>8.1</v>
      </c>
      <c r="H7" s="51" t="s">
        <v>42</v>
      </c>
      <c r="I7" s="51">
        <v>17</v>
      </c>
      <c r="J7" s="51" t="s">
        <v>43</v>
      </c>
      <c r="K7" s="51">
        <v>72</v>
      </c>
      <c r="L7" s="51">
        <v>58</v>
      </c>
      <c r="M7" s="51">
        <v>55</v>
      </c>
      <c r="N7" s="51">
        <v>1.77</v>
      </c>
      <c r="O7" s="51">
        <v>35.69</v>
      </c>
      <c r="P7" s="51"/>
      <c r="Q7" s="432">
        <f>O7/N7</f>
        <v>20.163841807909602</v>
      </c>
      <c r="R7" s="432"/>
      <c r="S7" s="10"/>
      <c r="T7" s="9">
        <f>S7/12</f>
        <v>0</v>
      </c>
      <c r="U7" s="9">
        <f>S7/365</f>
        <v>0</v>
      </c>
      <c r="V7" s="21">
        <f t="shared" ref="V7:V18" si="0">(T7*100)/$T$19</f>
        <v>0</v>
      </c>
      <c r="W7" s="11">
        <f t="shared" ref="W7:W18" si="1">I7%*S7</f>
        <v>0</v>
      </c>
      <c r="X7" s="423">
        <f>W19/365</f>
        <v>22.240000000000002</v>
      </c>
      <c r="Y7" s="11">
        <f t="shared" ref="Y7:Y18" si="2">W7*K7%</f>
        <v>0</v>
      </c>
      <c r="Z7" s="423">
        <f>Y19/365</f>
        <v>16.871399999999998</v>
      </c>
      <c r="AA7" s="11">
        <f>(Y7*100)/$Y$19</f>
        <v>0</v>
      </c>
      <c r="AB7" s="430">
        <v>9</v>
      </c>
      <c r="AC7" s="408">
        <f>(X7-AB7)/X7</f>
        <v>0.59532374100719432</v>
      </c>
      <c r="AD7" s="411">
        <v>11</v>
      </c>
      <c r="AE7" s="408">
        <f>(Z7-AD7)/Z7</f>
        <v>0.34800905674692073</v>
      </c>
      <c r="AF7" s="47">
        <v>280</v>
      </c>
      <c r="AG7" s="8">
        <f t="shared" ref="AG7:AG18" si="3">Y7*AF7</f>
        <v>0</v>
      </c>
      <c r="AH7" s="434"/>
      <c r="AI7" s="396"/>
      <c r="AJ7" s="8">
        <f t="shared" ref="AJ7:AJ18" si="4">IFERROR(AG7/S7,0)</f>
        <v>0</v>
      </c>
      <c r="AK7" s="8">
        <f>AG7/365</f>
        <v>0</v>
      </c>
      <c r="AL7" s="8">
        <f t="shared" ref="AL7:AL18" si="5">IFERROR(AG7*M7%/365,0)</f>
        <v>0</v>
      </c>
      <c r="AM7" s="8">
        <f>AL7*365</f>
        <v>0</v>
      </c>
      <c r="AN7" s="8">
        <f>AL7*37</f>
        <v>0</v>
      </c>
      <c r="AO7" s="8">
        <f>AN7/3600/24*0.39</f>
        <v>0</v>
      </c>
      <c r="AP7" s="8">
        <f>AO7*1000*24</f>
        <v>0</v>
      </c>
      <c r="AQ7" s="127"/>
      <c r="AR7" s="396">
        <f>(Z7*1000)/3.7</f>
        <v>4559.8378378378375</v>
      </c>
      <c r="AS7" s="396">
        <f>AR7/U19</f>
        <v>37.375719982277353</v>
      </c>
      <c r="AT7" t="s">
        <v>41</v>
      </c>
    </row>
    <row r="8" spans="2:46" ht="29.4" thickBot="1" x14ac:dyDescent="0.35">
      <c r="B8" s="441"/>
      <c r="C8" s="417"/>
      <c r="D8" s="420"/>
      <c r="E8" s="25" t="s">
        <v>45</v>
      </c>
      <c r="F8" s="2"/>
      <c r="G8" s="49">
        <v>5.09</v>
      </c>
      <c r="H8" s="50" t="s">
        <v>46</v>
      </c>
      <c r="I8" s="51">
        <v>33</v>
      </c>
      <c r="J8" s="52" t="s">
        <v>47</v>
      </c>
      <c r="K8" s="51">
        <v>57</v>
      </c>
      <c r="L8" s="50">
        <v>55</v>
      </c>
      <c r="M8" s="51">
        <v>55</v>
      </c>
      <c r="N8" s="50">
        <v>4.33</v>
      </c>
      <c r="O8" s="50">
        <v>42.82</v>
      </c>
      <c r="P8" s="50"/>
      <c r="Q8" s="399">
        <f>O8/N8</f>
        <v>9.8891454965357966</v>
      </c>
      <c r="R8" s="399"/>
      <c r="S8" s="12">
        <f>19*365</f>
        <v>6935</v>
      </c>
      <c r="T8" s="9">
        <f>S8/12</f>
        <v>577.91666666666663</v>
      </c>
      <c r="U8" s="9">
        <f>S8/365</f>
        <v>19</v>
      </c>
      <c r="V8" s="21">
        <f t="shared" si="0"/>
        <v>15.573770491803279</v>
      </c>
      <c r="W8" s="11">
        <f t="shared" si="1"/>
        <v>2288.5500000000002</v>
      </c>
      <c r="X8" s="424"/>
      <c r="Y8" s="11">
        <f t="shared" si="2"/>
        <v>1304.4735000000001</v>
      </c>
      <c r="Z8" s="424"/>
      <c r="AA8" s="92">
        <f t="shared" ref="AA8:AA18" si="6">(Y8*100)/$Y$19</f>
        <v>21.183185746292544</v>
      </c>
      <c r="AB8" s="431"/>
      <c r="AC8" s="409"/>
      <c r="AD8" s="412"/>
      <c r="AE8" s="409"/>
      <c r="AF8" s="45">
        <v>300</v>
      </c>
      <c r="AG8" s="8">
        <f t="shared" si="3"/>
        <v>391342.05000000005</v>
      </c>
      <c r="AH8" s="435"/>
      <c r="AI8" s="397"/>
      <c r="AJ8" s="8">
        <f t="shared" si="4"/>
        <v>56.430000000000007</v>
      </c>
      <c r="AK8" s="8">
        <f>AG8/365</f>
        <v>1072.17</v>
      </c>
      <c r="AL8" s="8">
        <f t="shared" si="5"/>
        <v>589.69350000000009</v>
      </c>
      <c r="AM8" s="8">
        <f t="shared" ref="AM8:AM18" si="7">AL8*365</f>
        <v>215238.12750000003</v>
      </c>
      <c r="AN8" s="8">
        <f>AL8*37</f>
        <v>21818.659500000002</v>
      </c>
      <c r="AO8" s="8">
        <f>AN8/3600/24*0.39</f>
        <v>9.8487004687500004E-2</v>
      </c>
      <c r="AP8" s="8">
        <f>AO8*1000*24</f>
        <v>2363.6881125</v>
      </c>
      <c r="AQ8" s="381"/>
      <c r="AR8" s="397"/>
      <c r="AS8" s="397"/>
      <c r="AT8" t="s">
        <v>41</v>
      </c>
    </row>
    <row r="9" spans="2:46" ht="28.95" customHeight="1" thickBot="1" x14ac:dyDescent="0.35">
      <c r="B9" s="441"/>
      <c r="C9" s="417"/>
      <c r="D9" s="421"/>
      <c r="E9" s="25" t="s">
        <v>6</v>
      </c>
      <c r="F9" s="2"/>
      <c r="G9" s="49">
        <v>7.8</v>
      </c>
      <c r="H9" s="50" t="s">
        <v>48</v>
      </c>
      <c r="I9" s="51">
        <v>20</v>
      </c>
      <c r="J9" s="50" t="s">
        <v>154</v>
      </c>
      <c r="K9" s="51">
        <v>68</v>
      </c>
      <c r="L9" s="50">
        <v>58</v>
      </c>
      <c r="M9" s="51">
        <v>60</v>
      </c>
      <c r="N9" s="50">
        <v>2.15</v>
      </c>
      <c r="O9" s="50">
        <v>38.4</v>
      </c>
      <c r="P9" s="50"/>
      <c r="Q9" s="399">
        <f>O9/N9</f>
        <v>17.86046511627907</v>
      </c>
      <c r="R9" s="399"/>
      <c r="S9" s="12"/>
      <c r="T9" s="9">
        <f>S9/12</f>
        <v>0</v>
      </c>
      <c r="U9" s="9">
        <f>S9/365</f>
        <v>0</v>
      </c>
      <c r="V9" s="21">
        <f t="shared" si="0"/>
        <v>0</v>
      </c>
      <c r="W9" s="11">
        <f t="shared" si="1"/>
        <v>0</v>
      </c>
      <c r="X9" s="424"/>
      <c r="Y9" s="11">
        <f t="shared" si="2"/>
        <v>0</v>
      </c>
      <c r="Z9" s="424"/>
      <c r="AA9" s="92">
        <f t="shared" si="6"/>
        <v>0</v>
      </c>
      <c r="AB9" s="431"/>
      <c r="AC9" s="409"/>
      <c r="AD9" s="412"/>
      <c r="AE9" s="409"/>
      <c r="AF9" s="45">
        <v>280</v>
      </c>
      <c r="AG9" s="8">
        <f t="shared" si="3"/>
        <v>0</v>
      </c>
      <c r="AH9" s="435"/>
      <c r="AI9" s="397"/>
      <c r="AJ9" s="8">
        <f t="shared" si="4"/>
        <v>0</v>
      </c>
      <c r="AK9" s="8">
        <f>AG9/365</f>
        <v>0</v>
      </c>
      <c r="AL9" s="8">
        <f t="shared" si="5"/>
        <v>0</v>
      </c>
      <c r="AM9" s="8">
        <f t="shared" si="7"/>
        <v>0</v>
      </c>
      <c r="AN9" s="8">
        <f>AL9*37</f>
        <v>0</v>
      </c>
      <c r="AO9" s="8">
        <f>AN9/3600/24*0.39</f>
        <v>0</v>
      </c>
      <c r="AP9" s="8">
        <f>AO9*1000*24</f>
        <v>0</v>
      </c>
      <c r="AQ9" s="381"/>
      <c r="AR9" s="397"/>
      <c r="AS9" s="397"/>
      <c r="AT9" t="s">
        <v>41</v>
      </c>
    </row>
    <row r="10" spans="2:46" ht="28.95" customHeight="1" thickBot="1" x14ac:dyDescent="0.35">
      <c r="B10" s="441"/>
      <c r="C10" s="417"/>
      <c r="D10" s="88" t="s">
        <v>10</v>
      </c>
      <c r="E10" s="25" t="s">
        <v>18</v>
      </c>
      <c r="F10" s="2"/>
      <c r="G10" s="53" t="s">
        <v>22</v>
      </c>
      <c r="H10" s="54" t="s">
        <v>20</v>
      </c>
      <c r="I10" s="51">
        <v>8</v>
      </c>
      <c r="J10" s="52" t="s">
        <v>23</v>
      </c>
      <c r="K10" s="51">
        <v>80</v>
      </c>
      <c r="L10" s="52" t="s">
        <v>44</v>
      </c>
      <c r="M10" s="51">
        <v>50</v>
      </c>
      <c r="N10" s="55" t="s">
        <v>24</v>
      </c>
      <c r="O10" s="50"/>
      <c r="P10" s="50"/>
      <c r="Q10" s="399">
        <f>O10/N10</f>
        <v>0</v>
      </c>
      <c r="R10" s="399"/>
      <c r="S10" s="12"/>
      <c r="T10" s="9">
        <f t="shared" ref="T10:T18" si="8">S10/12</f>
        <v>0</v>
      </c>
      <c r="U10" s="9">
        <f t="shared" ref="U10:U18" si="9">S10/365</f>
        <v>0</v>
      </c>
      <c r="V10" s="21">
        <f t="shared" si="0"/>
        <v>0</v>
      </c>
      <c r="W10" s="11">
        <f t="shared" si="1"/>
        <v>0</v>
      </c>
      <c r="X10" s="424"/>
      <c r="Y10" s="11">
        <f t="shared" si="2"/>
        <v>0</v>
      </c>
      <c r="Z10" s="424"/>
      <c r="AA10" s="92">
        <f t="shared" si="6"/>
        <v>0</v>
      </c>
      <c r="AB10" s="431"/>
      <c r="AC10" s="409"/>
      <c r="AD10" s="412"/>
      <c r="AE10" s="409"/>
      <c r="AF10" s="45">
        <v>200</v>
      </c>
      <c r="AG10" s="8">
        <f t="shared" si="3"/>
        <v>0</v>
      </c>
      <c r="AH10" s="435"/>
      <c r="AI10" s="397"/>
      <c r="AJ10" s="8">
        <f t="shared" si="4"/>
        <v>0</v>
      </c>
      <c r="AK10" s="8">
        <f t="shared" ref="AK10:AK18" si="10">AG10/365</f>
        <v>0</v>
      </c>
      <c r="AL10" s="8">
        <f t="shared" si="5"/>
        <v>0</v>
      </c>
      <c r="AM10" s="8">
        <f t="shared" si="7"/>
        <v>0</v>
      </c>
      <c r="AN10" s="8">
        <f t="shared" ref="AN10:AN18" si="11">AL10*37</f>
        <v>0</v>
      </c>
      <c r="AO10" s="8">
        <f t="shared" ref="AO10:AO18" si="12">AN10/3600/24*0.39</f>
        <v>0</v>
      </c>
      <c r="AP10" s="8">
        <f t="shared" ref="AP10:AP18" si="13">AO10*1000*24</f>
        <v>0</v>
      </c>
      <c r="AQ10" s="381"/>
      <c r="AR10" s="397"/>
      <c r="AS10" s="397"/>
      <c r="AT10" t="s">
        <v>40</v>
      </c>
    </row>
    <row r="11" spans="2:46" ht="28.95" customHeight="1" thickBot="1" x14ac:dyDescent="0.35">
      <c r="B11" s="441"/>
      <c r="C11" s="417"/>
      <c r="D11" s="88" t="s">
        <v>11</v>
      </c>
      <c r="E11" s="26" t="s">
        <v>58</v>
      </c>
      <c r="F11" s="24" t="s">
        <v>112</v>
      </c>
      <c r="G11" s="56" t="s">
        <v>67</v>
      </c>
      <c r="H11" s="50" t="s">
        <v>59</v>
      </c>
      <c r="I11" s="51">
        <v>12</v>
      </c>
      <c r="J11" s="50">
        <v>89</v>
      </c>
      <c r="K11" s="51">
        <v>89</v>
      </c>
      <c r="L11" s="50" t="s">
        <v>57</v>
      </c>
      <c r="M11" s="51">
        <v>51</v>
      </c>
      <c r="N11" s="50">
        <v>1.4</v>
      </c>
      <c r="O11" s="50"/>
      <c r="P11" s="50"/>
      <c r="Q11" s="399" t="s">
        <v>70</v>
      </c>
      <c r="R11" s="399"/>
      <c r="S11" s="12">
        <f>65*365</f>
        <v>23725</v>
      </c>
      <c r="T11" s="9">
        <f t="shared" si="8"/>
        <v>1977.0833333333333</v>
      </c>
      <c r="U11" s="9">
        <f t="shared" si="9"/>
        <v>65</v>
      </c>
      <c r="V11" s="21">
        <f t="shared" si="0"/>
        <v>53.278688524590166</v>
      </c>
      <c r="W11" s="11">
        <f t="shared" si="1"/>
        <v>2847</v>
      </c>
      <c r="X11" s="424"/>
      <c r="Y11" s="11">
        <f t="shared" si="2"/>
        <v>2533.83</v>
      </c>
      <c r="Z11" s="424"/>
      <c r="AA11" s="93">
        <f t="shared" si="6"/>
        <v>41.146555709662508</v>
      </c>
      <c r="AB11" s="431"/>
      <c r="AC11" s="409"/>
      <c r="AD11" s="412"/>
      <c r="AE11" s="409"/>
      <c r="AF11" s="45">
        <v>300</v>
      </c>
      <c r="AG11" s="8">
        <f t="shared" si="3"/>
        <v>760149</v>
      </c>
      <c r="AH11" s="435"/>
      <c r="AI11" s="397"/>
      <c r="AJ11" s="8">
        <f t="shared" si="4"/>
        <v>32.04</v>
      </c>
      <c r="AK11" s="8">
        <f t="shared" si="10"/>
        <v>2082.6</v>
      </c>
      <c r="AL11" s="8">
        <f t="shared" si="5"/>
        <v>1062.126</v>
      </c>
      <c r="AM11" s="8">
        <f t="shared" si="7"/>
        <v>387675.99</v>
      </c>
      <c r="AN11" s="8">
        <f t="shared" si="11"/>
        <v>39298.661999999997</v>
      </c>
      <c r="AO11" s="8">
        <f t="shared" si="12"/>
        <v>0.17738979375</v>
      </c>
      <c r="AP11" s="8">
        <f t="shared" si="13"/>
        <v>4257.3550500000001</v>
      </c>
      <c r="AQ11" s="381"/>
      <c r="AR11" s="397"/>
      <c r="AS11" s="397"/>
      <c r="AT11" t="s">
        <v>71</v>
      </c>
    </row>
    <row r="12" spans="2:46" ht="29.4" thickBot="1" x14ac:dyDescent="0.35">
      <c r="B12" s="441"/>
      <c r="C12" s="417"/>
      <c r="D12" s="426" t="s">
        <v>12</v>
      </c>
      <c r="E12" s="25" t="s">
        <v>27</v>
      </c>
      <c r="F12" s="2"/>
      <c r="G12" s="57" t="s">
        <v>29</v>
      </c>
      <c r="H12" s="50" t="s">
        <v>28</v>
      </c>
      <c r="I12" s="51">
        <v>25</v>
      </c>
      <c r="J12" s="50" t="s">
        <v>60</v>
      </c>
      <c r="K12" s="51">
        <v>90</v>
      </c>
      <c r="L12" s="50">
        <v>65</v>
      </c>
      <c r="M12" s="51">
        <v>60</v>
      </c>
      <c r="N12" s="55" t="s">
        <v>61</v>
      </c>
      <c r="O12" s="50"/>
      <c r="P12" s="50"/>
      <c r="Q12" s="399">
        <v>35</v>
      </c>
      <c r="R12" s="399"/>
      <c r="S12" s="12"/>
      <c r="T12" s="9">
        <f t="shared" si="8"/>
        <v>0</v>
      </c>
      <c r="U12" s="9">
        <f t="shared" si="9"/>
        <v>0</v>
      </c>
      <c r="V12" s="21">
        <f t="shared" si="0"/>
        <v>0</v>
      </c>
      <c r="W12" s="11">
        <f t="shared" si="1"/>
        <v>0</v>
      </c>
      <c r="X12" s="424"/>
      <c r="Y12" s="11">
        <f t="shared" si="2"/>
        <v>0</v>
      </c>
      <c r="Z12" s="424"/>
      <c r="AA12" s="92">
        <f t="shared" si="6"/>
        <v>0</v>
      </c>
      <c r="AB12" s="431"/>
      <c r="AC12" s="409"/>
      <c r="AD12" s="412"/>
      <c r="AE12" s="409"/>
      <c r="AF12" s="45">
        <v>590</v>
      </c>
      <c r="AG12" s="8">
        <f t="shared" si="3"/>
        <v>0</v>
      </c>
      <c r="AH12" s="435"/>
      <c r="AI12" s="397"/>
      <c r="AJ12" s="8">
        <f t="shared" si="4"/>
        <v>0</v>
      </c>
      <c r="AK12" s="8">
        <f t="shared" si="10"/>
        <v>0</v>
      </c>
      <c r="AL12" s="8">
        <f t="shared" si="5"/>
        <v>0</v>
      </c>
      <c r="AM12" s="8">
        <f t="shared" si="7"/>
        <v>0</v>
      </c>
      <c r="AN12" s="8">
        <f t="shared" si="11"/>
        <v>0</v>
      </c>
      <c r="AO12" s="8">
        <f t="shared" si="12"/>
        <v>0</v>
      </c>
      <c r="AP12" s="8">
        <f t="shared" si="13"/>
        <v>0</v>
      </c>
      <c r="AQ12" s="381"/>
      <c r="AR12" s="397"/>
      <c r="AS12" s="397"/>
      <c r="AT12" t="s">
        <v>68</v>
      </c>
    </row>
    <row r="13" spans="2:46" ht="29.4" thickBot="1" x14ac:dyDescent="0.35">
      <c r="B13" s="441"/>
      <c r="C13" s="417"/>
      <c r="D13" s="426"/>
      <c r="E13" s="27" t="s">
        <v>158</v>
      </c>
      <c r="F13" s="2"/>
      <c r="G13" s="57" t="s">
        <v>75</v>
      </c>
      <c r="H13" s="50" t="s">
        <v>155</v>
      </c>
      <c r="I13" s="51">
        <v>12</v>
      </c>
      <c r="J13" s="50" t="s">
        <v>62</v>
      </c>
      <c r="K13" s="51">
        <v>85</v>
      </c>
      <c r="L13" s="50" t="s">
        <v>63</v>
      </c>
      <c r="M13" s="51">
        <v>55</v>
      </c>
      <c r="N13" s="50"/>
      <c r="O13" s="50"/>
      <c r="P13" s="50"/>
      <c r="Q13" s="400"/>
      <c r="R13" s="401"/>
      <c r="S13" s="13"/>
      <c r="T13" s="9">
        <f t="shared" si="8"/>
        <v>0</v>
      </c>
      <c r="U13" s="9">
        <f t="shared" si="9"/>
        <v>0</v>
      </c>
      <c r="V13" s="21">
        <f t="shared" si="0"/>
        <v>0</v>
      </c>
      <c r="W13" s="11">
        <f t="shared" si="1"/>
        <v>0</v>
      </c>
      <c r="X13" s="424"/>
      <c r="Y13" s="11">
        <f t="shared" si="2"/>
        <v>0</v>
      </c>
      <c r="Z13" s="424"/>
      <c r="AA13" s="92">
        <f t="shared" si="6"/>
        <v>0</v>
      </c>
      <c r="AB13" s="431"/>
      <c r="AC13" s="409"/>
      <c r="AD13" s="412"/>
      <c r="AE13" s="409"/>
      <c r="AF13" s="45">
        <v>500</v>
      </c>
      <c r="AG13" s="8">
        <f t="shared" si="3"/>
        <v>0</v>
      </c>
      <c r="AH13" s="125">
        <f>AK19/AR7</f>
        <v>1.1620018492834028</v>
      </c>
      <c r="AI13" s="124">
        <f>AK19/(Z7-AD7)</f>
        <v>902.43212862349731</v>
      </c>
      <c r="AJ13" s="8">
        <f t="shared" si="4"/>
        <v>0</v>
      </c>
      <c r="AK13" s="8">
        <f t="shared" si="10"/>
        <v>0</v>
      </c>
      <c r="AL13" s="8">
        <f t="shared" si="5"/>
        <v>0</v>
      </c>
      <c r="AM13" s="8">
        <f t="shared" si="7"/>
        <v>0</v>
      </c>
      <c r="AN13" s="8">
        <f t="shared" si="11"/>
        <v>0</v>
      </c>
      <c r="AO13" s="8">
        <f t="shared" si="12"/>
        <v>0</v>
      </c>
      <c r="AP13" s="8">
        <f t="shared" si="13"/>
        <v>0</v>
      </c>
      <c r="AQ13" s="128">
        <v>8000000</v>
      </c>
      <c r="AR13" s="397"/>
      <c r="AS13" s="397"/>
      <c r="AT13" t="s">
        <v>49</v>
      </c>
    </row>
    <row r="14" spans="2:46" ht="29.4" thickBot="1" x14ac:dyDescent="0.35">
      <c r="B14" s="441"/>
      <c r="C14" s="417"/>
      <c r="D14" s="426"/>
      <c r="E14" s="25" t="s">
        <v>64</v>
      </c>
      <c r="F14" s="2"/>
      <c r="G14" s="57" t="s">
        <v>79</v>
      </c>
      <c r="H14" s="55" t="s">
        <v>21</v>
      </c>
      <c r="I14" s="51">
        <v>8</v>
      </c>
      <c r="J14" s="50" t="s">
        <v>65</v>
      </c>
      <c r="K14" s="51">
        <v>83</v>
      </c>
      <c r="L14" s="50" t="s">
        <v>66</v>
      </c>
      <c r="M14" s="51">
        <v>58</v>
      </c>
      <c r="N14" s="55" t="s">
        <v>73</v>
      </c>
      <c r="O14" s="50"/>
      <c r="P14" s="50"/>
      <c r="Q14" s="400"/>
      <c r="R14" s="401"/>
      <c r="S14" s="13"/>
      <c r="T14" s="9">
        <f t="shared" si="8"/>
        <v>0</v>
      </c>
      <c r="U14" s="9">
        <f t="shared" si="9"/>
        <v>0</v>
      </c>
      <c r="V14" s="21">
        <f t="shared" si="0"/>
        <v>0</v>
      </c>
      <c r="W14" s="11">
        <f t="shared" si="1"/>
        <v>0</v>
      </c>
      <c r="X14" s="424"/>
      <c r="Y14" s="11">
        <f t="shared" si="2"/>
        <v>0</v>
      </c>
      <c r="Z14" s="424"/>
      <c r="AA14" s="92">
        <f t="shared" si="6"/>
        <v>0</v>
      </c>
      <c r="AB14" s="431"/>
      <c r="AC14" s="409"/>
      <c r="AD14" s="412"/>
      <c r="AE14" s="409"/>
      <c r="AF14" s="45">
        <v>400</v>
      </c>
      <c r="AG14" s="8">
        <f t="shared" si="3"/>
        <v>0</v>
      </c>
      <c r="AH14" s="435"/>
      <c r="AI14" s="397"/>
      <c r="AJ14" s="8">
        <f t="shared" si="4"/>
        <v>0</v>
      </c>
      <c r="AK14" s="8">
        <f t="shared" si="10"/>
        <v>0</v>
      </c>
      <c r="AL14" s="8">
        <f t="shared" si="5"/>
        <v>0</v>
      </c>
      <c r="AM14" s="8">
        <f t="shared" si="7"/>
        <v>0</v>
      </c>
      <c r="AN14" s="8">
        <f t="shared" si="11"/>
        <v>0</v>
      </c>
      <c r="AO14" s="8">
        <f t="shared" si="12"/>
        <v>0</v>
      </c>
      <c r="AP14" s="8">
        <f t="shared" si="13"/>
        <v>0</v>
      </c>
      <c r="AQ14" s="381"/>
      <c r="AR14" s="397"/>
      <c r="AS14" s="397"/>
      <c r="AT14" t="s">
        <v>74</v>
      </c>
    </row>
    <row r="15" spans="2:46" ht="29.4" thickBot="1" x14ac:dyDescent="0.35">
      <c r="B15" s="441"/>
      <c r="C15" s="417"/>
      <c r="D15" s="88" t="s">
        <v>13</v>
      </c>
      <c r="E15" s="25" t="s">
        <v>156</v>
      </c>
      <c r="F15" s="24"/>
      <c r="G15" s="49" t="s">
        <v>37</v>
      </c>
      <c r="H15" s="50" t="s">
        <v>38</v>
      </c>
      <c r="I15" s="51">
        <v>40</v>
      </c>
      <c r="J15" s="50" t="s">
        <v>39</v>
      </c>
      <c r="K15" s="51">
        <v>97</v>
      </c>
      <c r="L15" s="50" t="s">
        <v>50</v>
      </c>
      <c r="M15" s="51">
        <v>69</v>
      </c>
      <c r="N15" s="50" t="s">
        <v>35</v>
      </c>
      <c r="O15" s="50"/>
      <c r="P15" s="50"/>
      <c r="Q15" s="399" t="s">
        <v>36</v>
      </c>
      <c r="R15" s="399"/>
      <c r="S15" s="12"/>
      <c r="T15" s="9">
        <f t="shared" si="8"/>
        <v>0</v>
      </c>
      <c r="U15" s="9">
        <f t="shared" si="9"/>
        <v>0</v>
      </c>
      <c r="V15" s="21">
        <f t="shared" si="0"/>
        <v>0</v>
      </c>
      <c r="W15" s="11">
        <f t="shared" si="1"/>
        <v>0</v>
      </c>
      <c r="X15" s="424"/>
      <c r="Y15" s="11">
        <f t="shared" si="2"/>
        <v>0</v>
      </c>
      <c r="Z15" s="424"/>
      <c r="AA15" s="92">
        <f t="shared" si="6"/>
        <v>0</v>
      </c>
      <c r="AB15" s="431"/>
      <c r="AC15" s="409"/>
      <c r="AD15" s="412"/>
      <c r="AE15" s="409"/>
      <c r="AF15" s="45">
        <v>500</v>
      </c>
      <c r="AG15" s="8">
        <f t="shared" si="3"/>
        <v>0</v>
      </c>
      <c r="AH15" s="435"/>
      <c r="AI15" s="397"/>
      <c r="AJ15" s="8">
        <f t="shared" si="4"/>
        <v>0</v>
      </c>
      <c r="AK15" s="8">
        <f t="shared" si="10"/>
        <v>0</v>
      </c>
      <c r="AL15" s="8">
        <f t="shared" si="5"/>
        <v>0</v>
      </c>
      <c r="AM15" s="8">
        <f t="shared" si="7"/>
        <v>0</v>
      </c>
      <c r="AN15" s="8">
        <f t="shared" si="11"/>
        <v>0</v>
      </c>
      <c r="AO15" s="8">
        <f t="shared" si="12"/>
        <v>0</v>
      </c>
      <c r="AP15" s="8">
        <f t="shared" si="13"/>
        <v>0</v>
      </c>
      <c r="AQ15" s="381"/>
      <c r="AR15" s="397"/>
      <c r="AS15" s="397"/>
      <c r="AT15" t="s">
        <v>157</v>
      </c>
    </row>
    <row r="16" spans="2:46" ht="29.4" thickBot="1" x14ac:dyDescent="0.35">
      <c r="B16" s="441"/>
      <c r="C16" s="417"/>
      <c r="D16" s="88" t="s">
        <v>14</v>
      </c>
      <c r="E16" s="25" t="s">
        <v>55</v>
      </c>
      <c r="F16" s="2"/>
      <c r="G16" s="49" t="s">
        <v>80</v>
      </c>
      <c r="H16" s="50" t="s">
        <v>56</v>
      </c>
      <c r="I16" s="51">
        <v>22</v>
      </c>
      <c r="J16" s="50" t="s">
        <v>30</v>
      </c>
      <c r="K16" s="51">
        <v>90</v>
      </c>
      <c r="L16" s="50" t="s">
        <v>57</v>
      </c>
      <c r="M16" s="51">
        <v>54</v>
      </c>
      <c r="N16" s="50">
        <v>1.5</v>
      </c>
      <c r="O16" s="50"/>
      <c r="P16" s="50"/>
      <c r="Q16" s="399" t="s">
        <v>72</v>
      </c>
      <c r="R16" s="399"/>
      <c r="S16" s="12">
        <f>19*365</f>
        <v>6935</v>
      </c>
      <c r="T16" s="9">
        <f t="shared" si="8"/>
        <v>577.91666666666663</v>
      </c>
      <c r="U16" s="9">
        <f t="shared" si="9"/>
        <v>19</v>
      </c>
      <c r="V16" s="21">
        <f t="shared" si="0"/>
        <v>15.573770491803279</v>
      </c>
      <c r="W16" s="11">
        <f t="shared" si="1"/>
        <v>1525.7</v>
      </c>
      <c r="X16" s="424"/>
      <c r="Y16" s="11">
        <f t="shared" si="2"/>
        <v>1373.13</v>
      </c>
      <c r="Z16" s="424"/>
      <c r="AA16" s="93">
        <f t="shared" si="6"/>
        <v>22.298090259255307</v>
      </c>
      <c r="AB16" s="431"/>
      <c r="AC16" s="409"/>
      <c r="AD16" s="412"/>
      <c r="AE16" s="409"/>
      <c r="AF16" s="45">
        <v>170</v>
      </c>
      <c r="AG16" s="8">
        <f t="shared" si="3"/>
        <v>233432.1</v>
      </c>
      <c r="AH16" s="435"/>
      <c r="AI16" s="397"/>
      <c r="AJ16" s="8">
        <f t="shared" si="4"/>
        <v>33.660000000000004</v>
      </c>
      <c r="AK16" s="8">
        <f t="shared" si="10"/>
        <v>639.54</v>
      </c>
      <c r="AL16" s="8">
        <f t="shared" si="5"/>
        <v>345.35160000000002</v>
      </c>
      <c r="AM16" s="8">
        <f t="shared" si="7"/>
        <v>126053.334</v>
      </c>
      <c r="AN16" s="8">
        <f t="shared" si="11"/>
        <v>12778.0092</v>
      </c>
      <c r="AO16" s="8">
        <f t="shared" si="12"/>
        <v>5.767851375E-2</v>
      </c>
      <c r="AP16" s="8">
        <f t="shared" si="13"/>
        <v>1384.28433</v>
      </c>
      <c r="AQ16" s="381"/>
      <c r="AR16" s="397"/>
      <c r="AS16" s="397"/>
      <c r="AT16" t="s">
        <v>69</v>
      </c>
    </row>
    <row r="17" spans="2:46" ht="28.95" customHeight="1" thickBot="1" x14ac:dyDescent="0.35">
      <c r="B17" s="441"/>
      <c r="C17" s="417"/>
      <c r="D17" s="88" t="s">
        <v>15</v>
      </c>
      <c r="E17" s="25" t="s">
        <v>7</v>
      </c>
      <c r="F17" s="2"/>
      <c r="G17" s="49">
        <v>5.7</v>
      </c>
      <c r="H17" s="58" t="s">
        <v>51</v>
      </c>
      <c r="I17" s="51">
        <v>21</v>
      </c>
      <c r="J17" s="50" t="s">
        <v>32</v>
      </c>
      <c r="K17" s="51">
        <v>65</v>
      </c>
      <c r="L17" s="50" t="s">
        <v>52</v>
      </c>
      <c r="M17" s="51">
        <v>58</v>
      </c>
      <c r="N17" s="50"/>
      <c r="O17" s="50"/>
      <c r="P17" s="50"/>
      <c r="Q17" s="399" t="e">
        <f>O17/N17</f>
        <v>#DIV/0!</v>
      </c>
      <c r="R17" s="399"/>
      <c r="S17" s="12">
        <f>19*365</f>
        <v>6935</v>
      </c>
      <c r="T17" s="9">
        <f t="shared" si="8"/>
        <v>577.91666666666663</v>
      </c>
      <c r="U17" s="9">
        <f t="shared" si="9"/>
        <v>19</v>
      </c>
      <c r="V17" s="21">
        <f t="shared" si="0"/>
        <v>15.573770491803279</v>
      </c>
      <c r="W17" s="11">
        <f t="shared" si="1"/>
        <v>1456.35</v>
      </c>
      <c r="X17" s="424"/>
      <c r="Y17" s="11">
        <f t="shared" si="2"/>
        <v>946.62749999999994</v>
      </c>
      <c r="Z17" s="424"/>
      <c r="AA17" s="92">
        <f t="shared" si="6"/>
        <v>15.372168284789645</v>
      </c>
      <c r="AB17" s="431"/>
      <c r="AC17" s="409"/>
      <c r="AD17" s="412"/>
      <c r="AE17" s="409"/>
      <c r="AF17" s="45">
        <v>580</v>
      </c>
      <c r="AG17" s="8">
        <f t="shared" si="3"/>
        <v>549043.94999999995</v>
      </c>
      <c r="AH17" s="435"/>
      <c r="AI17" s="397"/>
      <c r="AJ17" s="8">
        <f t="shared" si="4"/>
        <v>79.169999999999987</v>
      </c>
      <c r="AK17" s="8">
        <f t="shared" si="10"/>
        <v>1504.2299999999998</v>
      </c>
      <c r="AL17" s="8">
        <f t="shared" si="5"/>
        <v>872.45339999999999</v>
      </c>
      <c r="AM17" s="8">
        <f t="shared" si="7"/>
        <v>318445.49099999998</v>
      </c>
      <c r="AN17" s="8">
        <f t="shared" si="11"/>
        <v>32280.775799999999</v>
      </c>
      <c r="AO17" s="8">
        <f t="shared" si="12"/>
        <v>0.14571183520833333</v>
      </c>
      <c r="AP17" s="8">
        <f t="shared" si="13"/>
        <v>3497.0840449999996</v>
      </c>
      <c r="AQ17" s="381"/>
      <c r="AR17" s="397"/>
      <c r="AS17" s="397"/>
      <c r="AT17" t="s">
        <v>33</v>
      </c>
    </row>
    <row r="18" spans="2:46" ht="58.2" thickBot="1" x14ac:dyDescent="0.35">
      <c r="B18" s="441"/>
      <c r="C18" s="418"/>
      <c r="D18" s="88" t="s">
        <v>16</v>
      </c>
      <c r="E18" s="25" t="s">
        <v>53</v>
      </c>
      <c r="F18" s="2"/>
      <c r="G18" s="59"/>
      <c r="H18" s="60" t="s">
        <v>28</v>
      </c>
      <c r="I18" s="61">
        <v>16</v>
      </c>
      <c r="J18" s="60" t="s">
        <v>34</v>
      </c>
      <c r="K18" s="61">
        <v>85</v>
      </c>
      <c r="L18" s="60" t="s">
        <v>54</v>
      </c>
      <c r="M18" s="61">
        <v>52</v>
      </c>
      <c r="N18" s="60" t="s">
        <v>76</v>
      </c>
      <c r="O18" s="60"/>
      <c r="P18" s="60"/>
      <c r="Q18" s="427" t="e">
        <f>O18/N18</f>
        <v>#VALUE!</v>
      </c>
      <c r="R18" s="427"/>
      <c r="S18" s="14"/>
      <c r="T18" s="9">
        <f t="shared" si="8"/>
        <v>0</v>
      </c>
      <c r="U18" s="9">
        <f t="shared" si="9"/>
        <v>0</v>
      </c>
      <c r="V18" s="21">
        <f t="shared" si="0"/>
        <v>0</v>
      </c>
      <c r="W18" s="11">
        <f t="shared" si="1"/>
        <v>0</v>
      </c>
      <c r="X18" s="429"/>
      <c r="Y18" s="11">
        <f t="shared" si="2"/>
        <v>0</v>
      </c>
      <c r="Z18" s="429"/>
      <c r="AA18" s="11">
        <f t="shared" si="6"/>
        <v>0</v>
      </c>
      <c r="AB18" s="431"/>
      <c r="AC18" s="409"/>
      <c r="AD18" s="412"/>
      <c r="AE18" s="409"/>
      <c r="AF18" s="46">
        <v>700</v>
      </c>
      <c r="AG18" s="8">
        <f t="shared" si="3"/>
        <v>0</v>
      </c>
      <c r="AH18" s="440"/>
      <c r="AI18" s="398"/>
      <c r="AJ18" s="8">
        <f t="shared" si="4"/>
        <v>0</v>
      </c>
      <c r="AK18" s="8">
        <f t="shared" si="10"/>
        <v>0</v>
      </c>
      <c r="AL18" s="8">
        <f t="shared" si="5"/>
        <v>0</v>
      </c>
      <c r="AM18" s="8">
        <f t="shared" si="7"/>
        <v>0</v>
      </c>
      <c r="AN18" s="8">
        <f t="shared" si="11"/>
        <v>0</v>
      </c>
      <c r="AO18" s="8">
        <f t="shared" si="12"/>
        <v>0</v>
      </c>
      <c r="AP18" s="8">
        <f t="shared" si="13"/>
        <v>0</v>
      </c>
      <c r="AQ18" s="382"/>
      <c r="AR18" s="398"/>
      <c r="AS18" s="398"/>
      <c r="AT18" t="s">
        <v>77</v>
      </c>
    </row>
    <row r="19" spans="2:46" ht="18" x14ac:dyDescent="0.3">
      <c r="B19" s="441"/>
      <c r="S19" s="17">
        <f t="shared" ref="S19:Y19" si="14">SUM(S7:S18)</f>
        <v>44530</v>
      </c>
      <c r="T19" s="17">
        <f t="shared" si="14"/>
        <v>3710.833333333333</v>
      </c>
      <c r="U19" s="17">
        <f t="shared" si="14"/>
        <v>122</v>
      </c>
      <c r="V19" s="17">
        <f t="shared" si="14"/>
        <v>99.999999999999986</v>
      </c>
      <c r="W19" s="16">
        <f t="shared" si="14"/>
        <v>8117.6</v>
      </c>
      <c r="X19" s="16"/>
      <c r="Y19" s="16">
        <f t="shared" si="14"/>
        <v>6158.0609999999997</v>
      </c>
      <c r="Z19" s="16"/>
      <c r="AA19" s="16">
        <f>SUM(AA7:AA18)</f>
        <v>100</v>
      </c>
      <c r="AB19" s="16"/>
      <c r="AC19" s="16"/>
      <c r="AD19" s="16"/>
      <c r="AE19" s="16"/>
      <c r="AF19" s="16"/>
      <c r="AG19" s="16">
        <f>SUM(AG7:AG18)</f>
        <v>1933967.1</v>
      </c>
      <c r="AH19" s="16"/>
      <c r="AI19" s="16"/>
      <c r="AJ19" s="16"/>
      <c r="AK19" s="16">
        <f t="shared" ref="AK19:AP19" si="15">SUM(AK7:AK18)</f>
        <v>5298.54</v>
      </c>
      <c r="AL19" s="18">
        <f t="shared" si="15"/>
        <v>2869.6244999999999</v>
      </c>
      <c r="AM19" s="18">
        <f t="shared" si="15"/>
        <v>1047412.9425000001</v>
      </c>
      <c r="AN19" s="16">
        <f t="shared" si="15"/>
        <v>106176.10649999999</v>
      </c>
      <c r="AO19" s="16">
        <f t="shared" si="15"/>
        <v>0.47926714739583332</v>
      </c>
      <c r="AP19" s="16">
        <f t="shared" si="15"/>
        <v>11502.4115375</v>
      </c>
      <c r="AQ19" s="16"/>
      <c r="AR19" s="16"/>
    </row>
    <row r="20" spans="2:46" x14ac:dyDescent="0.3">
      <c r="B20" s="441"/>
      <c r="AL20" t="s">
        <v>92</v>
      </c>
      <c r="AO20" t="s">
        <v>91</v>
      </c>
    </row>
    <row r="21" spans="2:46" ht="15" thickBot="1" x14ac:dyDescent="0.35">
      <c r="B21" s="441"/>
    </row>
    <row r="22" spans="2:46" ht="15" thickBot="1" x14ac:dyDescent="0.35">
      <c r="B22" s="441"/>
      <c r="C22" s="416" t="s">
        <v>113</v>
      </c>
      <c r="D22" s="419" t="s">
        <v>9</v>
      </c>
      <c r="E22" s="25" t="s">
        <v>17</v>
      </c>
      <c r="F22" s="2"/>
      <c r="G22" s="62">
        <v>8.1</v>
      </c>
      <c r="H22" s="51" t="s">
        <v>42</v>
      </c>
      <c r="I22" s="51">
        <v>17</v>
      </c>
      <c r="J22" s="51" t="s">
        <v>43</v>
      </c>
      <c r="K22" s="51">
        <v>72</v>
      </c>
      <c r="L22" s="51">
        <v>58</v>
      </c>
      <c r="M22" s="51">
        <v>55</v>
      </c>
      <c r="N22" s="51">
        <v>1.77</v>
      </c>
      <c r="O22" s="51">
        <v>35.69</v>
      </c>
      <c r="P22" s="48"/>
      <c r="Q22" s="422">
        <f>O22/N22</f>
        <v>20.163841807909602</v>
      </c>
      <c r="R22" s="422"/>
      <c r="S22" s="29"/>
      <c r="T22" s="28">
        <f>S22/12</f>
        <v>0</v>
      </c>
      <c r="U22" s="28">
        <f>S22/365</f>
        <v>0</v>
      </c>
      <c r="V22" s="30">
        <f t="shared" ref="V22:V33" si="16">(T22*100)/$T$34</f>
        <v>0</v>
      </c>
      <c r="W22" s="31">
        <f t="shared" ref="W22:W33" si="17">I22%*S22</f>
        <v>0</v>
      </c>
      <c r="X22" s="423">
        <f>W34/365</f>
        <v>17.420000000000002</v>
      </c>
      <c r="Y22" s="31">
        <f t="shared" ref="Y22:Y33" si="18">W22*K22%</f>
        <v>0</v>
      </c>
      <c r="Z22" s="423">
        <f>Y34/365</f>
        <v>14.205300000000001</v>
      </c>
      <c r="AA22" s="31">
        <f>(Y22*100)/$Y$34</f>
        <v>0</v>
      </c>
      <c r="AB22" s="430">
        <v>10</v>
      </c>
      <c r="AC22" s="408">
        <f>(X22-AB22)/X22</f>
        <v>0.42594718714121704</v>
      </c>
      <c r="AD22" s="411">
        <v>7</v>
      </c>
      <c r="AE22" s="408">
        <f>(Z22-AD22)/Z22</f>
        <v>0.50722617614552323</v>
      </c>
      <c r="AF22" s="47">
        <v>280</v>
      </c>
      <c r="AG22" s="32">
        <f t="shared" ref="AG22:AG33" si="19">Y22*AF22</f>
        <v>0</v>
      </c>
      <c r="AH22" s="32"/>
      <c r="AI22" s="32"/>
      <c r="AJ22" s="32">
        <f t="shared" ref="AJ22:AJ33" si="20">IFERROR(AG22/S22,0)</f>
        <v>0</v>
      </c>
      <c r="AK22" s="32">
        <f>AG22/365</f>
        <v>0</v>
      </c>
      <c r="AL22" s="32">
        <f t="shared" ref="AL22:AL33" si="21">IFERROR(AG22*M22%/365,0)</f>
        <v>0</v>
      </c>
      <c r="AM22" s="32">
        <f>AL22*365</f>
        <v>0</v>
      </c>
      <c r="AN22" s="32">
        <f>AL22*37</f>
        <v>0</v>
      </c>
      <c r="AO22" s="32">
        <f>AN22/3600/24*0.39</f>
        <v>0</v>
      </c>
      <c r="AP22" s="32">
        <f>AO22*1000*24</f>
        <v>0</v>
      </c>
      <c r="AQ22" s="414"/>
      <c r="AR22" s="396">
        <f>(Z22*1000)/3.7</f>
        <v>3839.2702702702704</v>
      </c>
      <c r="AS22" s="396">
        <f>AR22/U34</f>
        <v>31.469428444838282</v>
      </c>
    </row>
    <row r="23" spans="2:46" ht="29.4" thickBot="1" x14ac:dyDescent="0.35">
      <c r="B23" s="441"/>
      <c r="C23" s="417"/>
      <c r="D23" s="420"/>
      <c r="E23" s="25" t="s">
        <v>45</v>
      </c>
      <c r="F23" s="2"/>
      <c r="G23" s="49">
        <v>5.09</v>
      </c>
      <c r="H23" s="50" t="s">
        <v>46</v>
      </c>
      <c r="I23" s="51">
        <v>33</v>
      </c>
      <c r="J23" s="52" t="s">
        <v>47</v>
      </c>
      <c r="K23" s="51">
        <v>57</v>
      </c>
      <c r="L23" s="50">
        <v>55</v>
      </c>
      <c r="M23" s="51">
        <v>55</v>
      </c>
      <c r="N23" s="50">
        <v>4.33</v>
      </c>
      <c r="O23" s="50">
        <v>42.82</v>
      </c>
      <c r="P23" s="50"/>
      <c r="Q23" s="399">
        <f>O23/N23</f>
        <v>9.8891454965357966</v>
      </c>
      <c r="R23" s="399"/>
      <c r="S23" s="12">
        <f>5*365</f>
        <v>1825</v>
      </c>
      <c r="T23" s="9">
        <f>S23/12</f>
        <v>152.08333333333334</v>
      </c>
      <c r="U23" s="9">
        <f>S23/365</f>
        <v>5</v>
      </c>
      <c r="V23" s="21">
        <f t="shared" si="16"/>
        <v>4.0983606557377055</v>
      </c>
      <c r="W23" s="11">
        <f t="shared" si="17"/>
        <v>602.25</v>
      </c>
      <c r="X23" s="424"/>
      <c r="Y23" s="11">
        <f t="shared" si="18"/>
        <v>343.28249999999997</v>
      </c>
      <c r="Z23" s="424"/>
      <c r="AA23" s="11">
        <f t="shared" ref="AA23:AA33" si="22">(Y23*100)/$Y$34</f>
        <v>6.6207683047876493</v>
      </c>
      <c r="AB23" s="431"/>
      <c r="AC23" s="409"/>
      <c r="AD23" s="412"/>
      <c r="AE23" s="409"/>
      <c r="AF23" s="45">
        <v>300</v>
      </c>
      <c r="AG23" s="8">
        <f t="shared" si="19"/>
        <v>102984.74999999999</v>
      </c>
      <c r="AH23" s="8"/>
      <c r="AI23" s="8"/>
      <c r="AJ23" s="8">
        <f t="shared" si="20"/>
        <v>56.429999999999993</v>
      </c>
      <c r="AK23" s="8">
        <f>AG23/365</f>
        <v>282.14999999999998</v>
      </c>
      <c r="AL23" s="8">
        <f t="shared" si="21"/>
        <v>155.18249999999998</v>
      </c>
      <c r="AM23" s="8">
        <f t="shared" ref="AM23:AM33" si="23">AL23*365</f>
        <v>56641.612499999988</v>
      </c>
      <c r="AN23" s="8">
        <f>AL23*37</f>
        <v>5741.7524999999987</v>
      </c>
      <c r="AO23" s="8">
        <f>AN23/3600/24*0.39</f>
        <v>2.5917632812499994E-2</v>
      </c>
      <c r="AP23" s="8">
        <f>AO23*1000*24</f>
        <v>622.02318749999995</v>
      </c>
      <c r="AQ23" s="381"/>
      <c r="AR23" s="397"/>
      <c r="AS23" s="397"/>
    </row>
    <row r="24" spans="2:46" ht="15" thickBot="1" x14ac:dyDescent="0.35">
      <c r="B24" s="441"/>
      <c r="C24" s="417"/>
      <c r="D24" s="421"/>
      <c r="E24" s="25" t="s">
        <v>6</v>
      </c>
      <c r="F24" s="2"/>
      <c r="G24" s="49">
        <v>7.8</v>
      </c>
      <c r="H24" s="50" t="s">
        <v>48</v>
      </c>
      <c r="I24" s="51">
        <v>20</v>
      </c>
      <c r="J24" s="50" t="s">
        <v>154</v>
      </c>
      <c r="K24" s="51">
        <v>68</v>
      </c>
      <c r="L24" s="50">
        <v>58</v>
      </c>
      <c r="M24" s="51">
        <v>60</v>
      </c>
      <c r="N24" s="50">
        <v>2.15</v>
      </c>
      <c r="O24" s="50">
        <v>38.4</v>
      </c>
      <c r="P24" s="50"/>
      <c r="Q24" s="399">
        <f>O24/N24</f>
        <v>17.86046511627907</v>
      </c>
      <c r="R24" s="399"/>
      <c r="S24" s="12"/>
      <c r="T24" s="9">
        <f>S24/12</f>
        <v>0</v>
      </c>
      <c r="U24" s="9">
        <f>S24/365</f>
        <v>0</v>
      </c>
      <c r="V24" s="21">
        <f t="shared" si="16"/>
        <v>0</v>
      </c>
      <c r="W24" s="11">
        <f t="shared" si="17"/>
        <v>0</v>
      </c>
      <c r="X24" s="424"/>
      <c r="Y24" s="11">
        <f t="shared" si="18"/>
        <v>0</v>
      </c>
      <c r="Z24" s="424"/>
      <c r="AA24" s="11">
        <f t="shared" si="22"/>
        <v>0</v>
      </c>
      <c r="AB24" s="431"/>
      <c r="AC24" s="409"/>
      <c r="AD24" s="412"/>
      <c r="AE24" s="409"/>
      <c r="AF24" s="45">
        <v>280</v>
      </c>
      <c r="AG24" s="8">
        <f t="shared" si="19"/>
        <v>0</v>
      </c>
      <c r="AH24" s="8"/>
      <c r="AI24" s="8"/>
      <c r="AJ24" s="8">
        <f t="shared" si="20"/>
        <v>0</v>
      </c>
      <c r="AK24" s="8">
        <f>AG24/365</f>
        <v>0</v>
      </c>
      <c r="AL24" s="8">
        <f t="shared" si="21"/>
        <v>0</v>
      </c>
      <c r="AM24" s="8">
        <f t="shared" si="23"/>
        <v>0</v>
      </c>
      <c r="AN24" s="8">
        <f>AL24*37</f>
        <v>0</v>
      </c>
      <c r="AO24" s="8">
        <f>AN24/3600/24*0.39</f>
        <v>0</v>
      </c>
      <c r="AP24" s="8">
        <f>AO24*1000*24</f>
        <v>0</v>
      </c>
      <c r="AQ24" s="381"/>
      <c r="AR24" s="397"/>
      <c r="AS24" s="397"/>
    </row>
    <row r="25" spans="2:46" ht="15" thickBot="1" x14ac:dyDescent="0.35">
      <c r="B25" s="441"/>
      <c r="C25" s="417"/>
      <c r="D25" s="88" t="s">
        <v>10</v>
      </c>
      <c r="E25" s="25" t="s">
        <v>18</v>
      </c>
      <c r="F25" s="2"/>
      <c r="G25" s="53" t="s">
        <v>22</v>
      </c>
      <c r="H25" s="54" t="s">
        <v>20</v>
      </c>
      <c r="I25" s="51">
        <v>8</v>
      </c>
      <c r="J25" s="52" t="s">
        <v>23</v>
      </c>
      <c r="K25" s="51">
        <v>80</v>
      </c>
      <c r="L25" s="52" t="s">
        <v>44</v>
      </c>
      <c r="M25" s="51">
        <v>50</v>
      </c>
      <c r="N25" s="55" t="s">
        <v>24</v>
      </c>
      <c r="O25" s="50"/>
      <c r="P25" s="50"/>
      <c r="Q25" s="399">
        <f>O25/N25</f>
        <v>0</v>
      </c>
      <c r="R25" s="399"/>
      <c r="S25" s="12"/>
      <c r="T25" s="9">
        <f t="shared" ref="T25:T33" si="24">S25/12</f>
        <v>0</v>
      </c>
      <c r="U25" s="9">
        <f t="shared" ref="U25:U33" si="25">S25/365</f>
        <v>0</v>
      </c>
      <c r="V25" s="21">
        <f t="shared" si="16"/>
        <v>0</v>
      </c>
      <c r="W25" s="11">
        <f t="shared" si="17"/>
        <v>0</v>
      </c>
      <c r="X25" s="424"/>
      <c r="Y25" s="11">
        <f t="shared" si="18"/>
        <v>0</v>
      </c>
      <c r="Z25" s="424"/>
      <c r="AA25" s="11">
        <f t="shared" si="22"/>
        <v>0</v>
      </c>
      <c r="AB25" s="431"/>
      <c r="AC25" s="409"/>
      <c r="AD25" s="412"/>
      <c r="AE25" s="409"/>
      <c r="AF25" s="45">
        <v>200</v>
      </c>
      <c r="AG25" s="8">
        <f t="shared" si="19"/>
        <v>0</v>
      </c>
      <c r="AH25" s="8"/>
      <c r="AI25" s="8"/>
      <c r="AJ25" s="8">
        <f t="shared" si="20"/>
        <v>0</v>
      </c>
      <c r="AK25" s="8">
        <f t="shared" ref="AK25:AK33" si="26">AG25/365</f>
        <v>0</v>
      </c>
      <c r="AL25" s="8">
        <f t="shared" si="21"/>
        <v>0</v>
      </c>
      <c r="AM25" s="8">
        <f t="shared" si="23"/>
        <v>0</v>
      </c>
      <c r="AN25" s="8">
        <f t="shared" ref="AN25:AN33" si="27">AL25*37</f>
        <v>0</v>
      </c>
      <c r="AO25" s="8">
        <f t="shared" ref="AO25:AO33" si="28">AN25/3600/24*0.39</f>
        <v>0</v>
      </c>
      <c r="AP25" s="8">
        <f t="shared" ref="AP25:AP33" si="29">AO25*1000*24</f>
        <v>0</v>
      </c>
      <c r="AQ25" s="381"/>
      <c r="AR25" s="397"/>
      <c r="AS25" s="397"/>
    </row>
    <row r="26" spans="2:46" ht="15" thickBot="1" x14ac:dyDescent="0.35">
      <c r="B26" s="441"/>
      <c r="C26" s="417"/>
      <c r="D26" s="88" t="s">
        <v>11</v>
      </c>
      <c r="E26" s="27" t="s">
        <v>58</v>
      </c>
      <c r="F26" s="24"/>
      <c r="G26" s="56" t="s">
        <v>67</v>
      </c>
      <c r="H26" s="50" t="s">
        <v>59</v>
      </c>
      <c r="I26" s="51">
        <v>12</v>
      </c>
      <c r="J26" s="50">
        <v>89</v>
      </c>
      <c r="K26" s="51">
        <v>89</v>
      </c>
      <c r="L26" s="50" t="s">
        <v>57</v>
      </c>
      <c r="M26" s="51">
        <v>51</v>
      </c>
      <c r="N26" s="50">
        <v>1.4</v>
      </c>
      <c r="O26" s="50"/>
      <c r="P26" s="50"/>
      <c r="Q26" s="399" t="s">
        <v>70</v>
      </c>
      <c r="R26" s="399"/>
      <c r="S26" s="12"/>
      <c r="T26" s="9">
        <f t="shared" si="24"/>
        <v>0</v>
      </c>
      <c r="U26" s="9">
        <f t="shared" si="25"/>
        <v>0</v>
      </c>
      <c r="V26" s="21">
        <f t="shared" si="16"/>
        <v>0</v>
      </c>
      <c r="W26" s="11">
        <f t="shared" si="17"/>
        <v>0</v>
      </c>
      <c r="X26" s="424"/>
      <c r="Y26" s="11">
        <f t="shared" si="18"/>
        <v>0</v>
      </c>
      <c r="Z26" s="424"/>
      <c r="AA26" s="11">
        <f t="shared" si="22"/>
        <v>0</v>
      </c>
      <c r="AB26" s="431"/>
      <c r="AC26" s="409"/>
      <c r="AD26" s="412"/>
      <c r="AE26" s="409"/>
      <c r="AF26" s="45">
        <v>300</v>
      </c>
      <c r="AG26" s="8">
        <f t="shared" si="19"/>
        <v>0</v>
      </c>
      <c r="AH26" s="8"/>
      <c r="AI26" s="8"/>
      <c r="AJ26" s="8">
        <f t="shared" si="20"/>
        <v>0</v>
      </c>
      <c r="AK26" s="8">
        <f t="shared" si="26"/>
        <v>0</v>
      </c>
      <c r="AL26" s="8">
        <f t="shared" si="21"/>
        <v>0</v>
      </c>
      <c r="AM26" s="8">
        <f t="shared" si="23"/>
        <v>0</v>
      </c>
      <c r="AN26" s="8">
        <f t="shared" si="27"/>
        <v>0</v>
      </c>
      <c r="AO26" s="8">
        <f t="shared" si="28"/>
        <v>0</v>
      </c>
      <c r="AP26" s="8">
        <f t="shared" si="29"/>
        <v>0</v>
      </c>
      <c r="AQ26" s="381"/>
      <c r="AR26" s="397"/>
      <c r="AS26" s="397"/>
    </row>
    <row r="27" spans="2:46" ht="29.4" thickBot="1" x14ac:dyDescent="0.35">
      <c r="B27" s="441"/>
      <c r="C27" s="417"/>
      <c r="D27" s="426" t="s">
        <v>12</v>
      </c>
      <c r="E27" s="25" t="s">
        <v>27</v>
      </c>
      <c r="F27" s="2"/>
      <c r="G27" s="57" t="s">
        <v>29</v>
      </c>
      <c r="H27" s="50" t="s">
        <v>28</v>
      </c>
      <c r="I27" s="51">
        <v>25</v>
      </c>
      <c r="J27" s="50" t="s">
        <v>60</v>
      </c>
      <c r="K27" s="51">
        <v>90</v>
      </c>
      <c r="L27" s="50">
        <v>65</v>
      </c>
      <c r="M27" s="51">
        <v>60</v>
      </c>
      <c r="N27" s="55" t="s">
        <v>61</v>
      </c>
      <c r="O27" s="50"/>
      <c r="P27" s="50"/>
      <c r="Q27" s="399">
        <v>35</v>
      </c>
      <c r="R27" s="399"/>
      <c r="S27" s="12">
        <f>7*365</f>
        <v>2555</v>
      </c>
      <c r="T27" s="9">
        <f t="shared" si="24"/>
        <v>212.91666666666666</v>
      </c>
      <c r="U27" s="9">
        <f t="shared" si="25"/>
        <v>7</v>
      </c>
      <c r="V27" s="21">
        <f t="shared" si="16"/>
        <v>5.7377049180327866</v>
      </c>
      <c r="W27" s="11">
        <f t="shared" si="17"/>
        <v>638.75</v>
      </c>
      <c r="X27" s="424"/>
      <c r="Y27" s="11">
        <f t="shared" si="18"/>
        <v>574.875</v>
      </c>
      <c r="Z27" s="424"/>
      <c r="AA27" s="11">
        <f t="shared" si="22"/>
        <v>11.087411036725728</v>
      </c>
      <c r="AB27" s="431"/>
      <c r="AC27" s="409"/>
      <c r="AD27" s="412"/>
      <c r="AE27" s="409"/>
      <c r="AF27" s="45">
        <v>590</v>
      </c>
      <c r="AG27" s="8">
        <f t="shared" si="19"/>
        <v>339176.25</v>
      </c>
      <c r="AH27" s="8"/>
      <c r="AI27" s="8"/>
      <c r="AJ27" s="8">
        <f t="shared" si="20"/>
        <v>132.75</v>
      </c>
      <c r="AK27" s="8">
        <f t="shared" si="26"/>
        <v>929.25</v>
      </c>
      <c r="AL27" s="8">
        <f t="shared" si="21"/>
        <v>557.54999999999995</v>
      </c>
      <c r="AM27" s="8">
        <f t="shared" si="23"/>
        <v>203505.74999999997</v>
      </c>
      <c r="AN27" s="8">
        <f t="shared" si="27"/>
        <v>20629.349999999999</v>
      </c>
      <c r="AO27" s="8">
        <f t="shared" si="28"/>
        <v>9.3118593749999992E-2</v>
      </c>
      <c r="AP27" s="8">
        <f t="shared" si="29"/>
        <v>2234.8462499999996</v>
      </c>
      <c r="AQ27" s="381"/>
      <c r="AR27" s="397"/>
      <c r="AS27" s="397"/>
    </row>
    <row r="28" spans="2:46" ht="29.4" thickBot="1" x14ac:dyDescent="0.35">
      <c r="B28" s="441"/>
      <c r="C28" s="417"/>
      <c r="D28" s="426"/>
      <c r="E28" s="27" t="s">
        <v>158</v>
      </c>
      <c r="F28" s="2"/>
      <c r="G28" s="57" t="s">
        <v>75</v>
      </c>
      <c r="H28" s="50" t="s">
        <v>155</v>
      </c>
      <c r="I28" s="51">
        <v>12</v>
      </c>
      <c r="J28" s="50" t="s">
        <v>62</v>
      </c>
      <c r="K28" s="51">
        <v>85</v>
      </c>
      <c r="L28" s="50" t="s">
        <v>63</v>
      </c>
      <c r="M28" s="51">
        <v>55</v>
      </c>
      <c r="N28" s="50"/>
      <c r="O28" s="50"/>
      <c r="P28" s="50"/>
      <c r="Q28" s="400"/>
      <c r="R28" s="401"/>
      <c r="S28" s="13"/>
      <c r="T28" s="9">
        <f t="shared" si="24"/>
        <v>0</v>
      </c>
      <c r="U28" s="9">
        <f t="shared" si="25"/>
        <v>0</v>
      </c>
      <c r="V28" s="21">
        <f t="shared" si="16"/>
        <v>0</v>
      </c>
      <c r="W28" s="11">
        <f t="shared" si="17"/>
        <v>0</v>
      </c>
      <c r="X28" s="424"/>
      <c r="Y28" s="11">
        <f t="shared" si="18"/>
        <v>0</v>
      </c>
      <c r="Z28" s="424"/>
      <c r="AA28" s="11">
        <f t="shared" si="22"/>
        <v>0</v>
      </c>
      <c r="AB28" s="431"/>
      <c r="AC28" s="409"/>
      <c r="AD28" s="412"/>
      <c r="AE28" s="409"/>
      <c r="AF28" s="45">
        <v>500</v>
      </c>
      <c r="AG28" s="8">
        <f t="shared" si="19"/>
        <v>0</v>
      </c>
      <c r="AH28" s="8"/>
      <c r="AI28" s="8"/>
      <c r="AJ28" s="8">
        <f t="shared" si="20"/>
        <v>0</v>
      </c>
      <c r="AK28" s="8">
        <f t="shared" si="26"/>
        <v>0</v>
      </c>
      <c r="AL28" s="8">
        <f t="shared" si="21"/>
        <v>0</v>
      </c>
      <c r="AM28" s="8">
        <f t="shared" si="23"/>
        <v>0</v>
      </c>
      <c r="AN28" s="8">
        <f t="shared" si="27"/>
        <v>0</v>
      </c>
      <c r="AO28" s="8">
        <f t="shared" si="28"/>
        <v>0</v>
      </c>
      <c r="AP28" s="8">
        <f t="shared" si="29"/>
        <v>0</v>
      </c>
      <c r="AQ28" s="381"/>
      <c r="AR28" s="397"/>
      <c r="AS28" s="397"/>
    </row>
    <row r="29" spans="2:46" ht="29.4" thickBot="1" x14ac:dyDescent="0.35">
      <c r="B29" s="441"/>
      <c r="C29" s="417"/>
      <c r="D29" s="426"/>
      <c r="E29" s="26" t="s">
        <v>64</v>
      </c>
      <c r="F29" s="24" t="s">
        <v>112</v>
      </c>
      <c r="G29" s="57" t="s">
        <v>79</v>
      </c>
      <c r="H29" s="55" t="s">
        <v>21</v>
      </c>
      <c r="I29" s="51">
        <v>8</v>
      </c>
      <c r="J29" s="50" t="s">
        <v>65</v>
      </c>
      <c r="K29" s="51">
        <v>83</v>
      </c>
      <c r="L29" s="50" t="s">
        <v>66</v>
      </c>
      <c r="M29" s="51">
        <v>58</v>
      </c>
      <c r="N29" s="55" t="s">
        <v>73</v>
      </c>
      <c r="O29" s="50"/>
      <c r="P29" s="50"/>
      <c r="Q29" s="400"/>
      <c r="R29" s="401"/>
      <c r="S29" s="13">
        <f>72*365</f>
        <v>26280</v>
      </c>
      <c r="T29" s="9">
        <f t="shared" si="24"/>
        <v>2190</v>
      </c>
      <c r="U29" s="9">
        <f t="shared" si="25"/>
        <v>72</v>
      </c>
      <c r="V29" s="21">
        <f t="shared" si="16"/>
        <v>59.016393442622956</v>
      </c>
      <c r="W29" s="11">
        <f t="shared" si="17"/>
        <v>2102.4</v>
      </c>
      <c r="X29" s="424"/>
      <c r="Y29" s="11">
        <f t="shared" si="18"/>
        <v>1744.992</v>
      </c>
      <c r="Z29" s="424"/>
      <c r="AA29" s="37">
        <f t="shared" si="22"/>
        <v>33.655044244049748</v>
      </c>
      <c r="AB29" s="431"/>
      <c r="AC29" s="409"/>
      <c r="AD29" s="412"/>
      <c r="AE29" s="409"/>
      <c r="AF29" s="45">
        <v>400</v>
      </c>
      <c r="AG29" s="8">
        <f t="shared" si="19"/>
        <v>697996.79999999993</v>
      </c>
      <c r="AH29" s="8">
        <f>AK34/AR22</f>
        <v>1.2653185782771217</v>
      </c>
      <c r="AI29" s="8">
        <f>AK34/(Z22-AD22)</f>
        <v>674.21203836065104</v>
      </c>
      <c r="AJ29" s="8">
        <f t="shared" si="20"/>
        <v>26.56</v>
      </c>
      <c r="AK29" s="8">
        <f t="shared" si="26"/>
        <v>1912.3199999999997</v>
      </c>
      <c r="AL29" s="8">
        <f t="shared" si="21"/>
        <v>1109.1455999999998</v>
      </c>
      <c r="AM29" s="8">
        <f t="shared" si="23"/>
        <v>404838.14399999991</v>
      </c>
      <c r="AN29" s="8">
        <f t="shared" si="27"/>
        <v>41038.387199999997</v>
      </c>
      <c r="AO29" s="8">
        <f t="shared" si="28"/>
        <v>0.18524272</v>
      </c>
      <c r="AP29" s="8">
        <f t="shared" si="29"/>
        <v>4445.82528</v>
      </c>
      <c r="AQ29" s="128">
        <v>9000000</v>
      </c>
      <c r="AR29" s="397"/>
      <c r="AS29" s="397"/>
    </row>
    <row r="30" spans="2:46" ht="29.4" thickBot="1" x14ac:dyDescent="0.35">
      <c r="B30" s="441"/>
      <c r="C30" s="417"/>
      <c r="D30" s="88" t="s">
        <v>13</v>
      </c>
      <c r="E30" s="25" t="s">
        <v>156</v>
      </c>
      <c r="F30" s="24"/>
      <c r="G30" s="49" t="s">
        <v>37</v>
      </c>
      <c r="H30" s="50" t="s">
        <v>38</v>
      </c>
      <c r="I30" s="51">
        <v>40</v>
      </c>
      <c r="J30" s="50" t="s">
        <v>39</v>
      </c>
      <c r="K30" s="51">
        <v>97</v>
      </c>
      <c r="L30" s="50" t="s">
        <v>50</v>
      </c>
      <c r="M30" s="51">
        <v>69</v>
      </c>
      <c r="N30" s="50" t="s">
        <v>35</v>
      </c>
      <c r="O30" s="50"/>
      <c r="P30" s="50"/>
      <c r="Q30" s="399" t="s">
        <v>36</v>
      </c>
      <c r="R30" s="399"/>
      <c r="S30" s="12"/>
      <c r="T30" s="9">
        <f t="shared" si="24"/>
        <v>0</v>
      </c>
      <c r="U30" s="9">
        <f t="shared" si="25"/>
        <v>0</v>
      </c>
      <c r="V30" s="21">
        <f t="shared" si="16"/>
        <v>0</v>
      </c>
      <c r="W30" s="11">
        <f t="shared" si="17"/>
        <v>0</v>
      </c>
      <c r="X30" s="424"/>
      <c r="Y30" s="11">
        <f t="shared" si="18"/>
        <v>0</v>
      </c>
      <c r="Z30" s="424"/>
      <c r="AA30" s="11">
        <f t="shared" si="22"/>
        <v>0</v>
      </c>
      <c r="AB30" s="431"/>
      <c r="AC30" s="409"/>
      <c r="AD30" s="412"/>
      <c r="AE30" s="409"/>
      <c r="AF30" s="45">
        <v>500</v>
      </c>
      <c r="AG30" s="8">
        <f t="shared" si="19"/>
        <v>0</v>
      </c>
      <c r="AH30" s="8"/>
      <c r="AI30" s="8"/>
      <c r="AJ30" s="8">
        <f t="shared" si="20"/>
        <v>0</v>
      </c>
      <c r="AK30" s="8">
        <f t="shared" si="26"/>
        <v>0</v>
      </c>
      <c r="AL30" s="8">
        <f t="shared" si="21"/>
        <v>0</v>
      </c>
      <c r="AM30" s="8">
        <f t="shared" si="23"/>
        <v>0</v>
      </c>
      <c r="AN30" s="8">
        <f t="shared" si="27"/>
        <v>0</v>
      </c>
      <c r="AO30" s="8">
        <f t="shared" si="28"/>
        <v>0</v>
      </c>
      <c r="AP30" s="8">
        <f t="shared" si="29"/>
        <v>0</v>
      </c>
      <c r="AQ30" s="381"/>
      <c r="AR30" s="397"/>
      <c r="AS30" s="397"/>
    </row>
    <row r="31" spans="2:46" ht="29.4" thickBot="1" x14ac:dyDescent="0.35">
      <c r="B31" s="441"/>
      <c r="C31" s="417"/>
      <c r="D31" s="88" t="s">
        <v>14</v>
      </c>
      <c r="E31" s="25" t="s">
        <v>55</v>
      </c>
      <c r="F31" s="2"/>
      <c r="G31" s="49" t="s">
        <v>80</v>
      </c>
      <c r="H31" s="50" t="s">
        <v>56</v>
      </c>
      <c r="I31" s="51">
        <v>22</v>
      </c>
      <c r="J31" s="50" t="s">
        <v>30</v>
      </c>
      <c r="K31" s="51">
        <v>90</v>
      </c>
      <c r="L31" s="50" t="s">
        <v>57</v>
      </c>
      <c r="M31" s="51">
        <v>54</v>
      </c>
      <c r="N31" s="50">
        <v>1.5</v>
      </c>
      <c r="O31" s="50"/>
      <c r="P31" s="50"/>
      <c r="Q31" s="399" t="s">
        <v>72</v>
      </c>
      <c r="R31" s="399"/>
      <c r="S31" s="12">
        <f>28*365</f>
        <v>10220</v>
      </c>
      <c r="T31" s="9">
        <f t="shared" si="24"/>
        <v>851.66666666666663</v>
      </c>
      <c r="U31" s="9">
        <f t="shared" si="25"/>
        <v>28</v>
      </c>
      <c r="V31" s="21">
        <f t="shared" si="16"/>
        <v>22.950819672131146</v>
      </c>
      <c r="W31" s="11">
        <f t="shared" si="17"/>
        <v>2248.4</v>
      </c>
      <c r="X31" s="424"/>
      <c r="Y31" s="11">
        <f t="shared" si="18"/>
        <v>2023.5600000000002</v>
      </c>
      <c r="Z31" s="424"/>
      <c r="AA31" s="37">
        <f t="shared" si="22"/>
        <v>39.027686849274573</v>
      </c>
      <c r="AB31" s="431"/>
      <c r="AC31" s="409"/>
      <c r="AD31" s="412"/>
      <c r="AE31" s="409"/>
      <c r="AF31" s="45">
        <v>170</v>
      </c>
      <c r="AG31" s="8">
        <f t="shared" si="19"/>
        <v>344005.2</v>
      </c>
      <c r="AH31" s="8"/>
      <c r="AI31" s="8"/>
      <c r="AJ31" s="8">
        <f t="shared" si="20"/>
        <v>33.660000000000004</v>
      </c>
      <c r="AK31" s="8">
        <f t="shared" si="26"/>
        <v>942.48</v>
      </c>
      <c r="AL31" s="8">
        <f t="shared" si="21"/>
        <v>508.93920000000003</v>
      </c>
      <c r="AM31" s="8">
        <f t="shared" si="23"/>
        <v>185762.80800000002</v>
      </c>
      <c r="AN31" s="8">
        <f t="shared" si="27"/>
        <v>18830.750400000001</v>
      </c>
      <c r="AO31" s="8">
        <f t="shared" si="28"/>
        <v>8.4999915000000009E-2</v>
      </c>
      <c r="AP31" s="8">
        <f t="shared" si="29"/>
        <v>2039.9979600000004</v>
      </c>
      <c r="AQ31" s="381"/>
      <c r="AR31" s="397"/>
      <c r="AS31" s="397"/>
    </row>
    <row r="32" spans="2:46" ht="15" thickBot="1" x14ac:dyDescent="0.35">
      <c r="B32" s="441"/>
      <c r="C32" s="417"/>
      <c r="D32" s="88" t="s">
        <v>15</v>
      </c>
      <c r="E32" s="25" t="s">
        <v>7</v>
      </c>
      <c r="F32" s="2"/>
      <c r="G32" s="49">
        <v>5.7</v>
      </c>
      <c r="H32" s="58" t="s">
        <v>51</v>
      </c>
      <c r="I32" s="51">
        <v>21</v>
      </c>
      <c r="J32" s="50" t="s">
        <v>32</v>
      </c>
      <c r="K32" s="51">
        <v>65</v>
      </c>
      <c r="L32" s="50" t="s">
        <v>52</v>
      </c>
      <c r="M32" s="51">
        <v>58</v>
      </c>
      <c r="N32" s="50"/>
      <c r="O32" s="50"/>
      <c r="P32" s="50"/>
      <c r="Q32" s="399" t="e">
        <f>O32/N32</f>
        <v>#DIV/0!</v>
      </c>
      <c r="R32" s="399"/>
      <c r="S32" s="12">
        <f>10*365</f>
        <v>3650</v>
      </c>
      <c r="T32" s="9">
        <f t="shared" si="24"/>
        <v>304.16666666666669</v>
      </c>
      <c r="U32" s="9">
        <f t="shared" si="25"/>
        <v>10</v>
      </c>
      <c r="V32" s="21">
        <f t="shared" si="16"/>
        <v>8.1967213114754109</v>
      </c>
      <c r="W32" s="11">
        <f t="shared" si="17"/>
        <v>766.5</v>
      </c>
      <c r="X32" s="424"/>
      <c r="Y32" s="11">
        <f t="shared" si="18"/>
        <v>498.22500000000002</v>
      </c>
      <c r="Z32" s="424"/>
      <c r="AA32" s="11">
        <f t="shared" si="22"/>
        <v>9.6090895651622983</v>
      </c>
      <c r="AB32" s="431"/>
      <c r="AC32" s="409"/>
      <c r="AD32" s="412"/>
      <c r="AE32" s="409"/>
      <c r="AF32" s="45">
        <v>580</v>
      </c>
      <c r="AG32" s="8">
        <f t="shared" si="19"/>
        <v>288970.5</v>
      </c>
      <c r="AH32" s="8"/>
      <c r="AI32" s="8"/>
      <c r="AJ32" s="8">
        <f t="shared" si="20"/>
        <v>79.17</v>
      </c>
      <c r="AK32" s="8">
        <f t="shared" si="26"/>
        <v>791.7</v>
      </c>
      <c r="AL32" s="8">
        <f t="shared" si="21"/>
        <v>459.18599999999998</v>
      </c>
      <c r="AM32" s="8">
        <f t="shared" si="23"/>
        <v>167602.88999999998</v>
      </c>
      <c r="AN32" s="8">
        <f t="shared" si="27"/>
        <v>16989.881999999998</v>
      </c>
      <c r="AO32" s="8">
        <f t="shared" si="28"/>
        <v>7.6690439583333325E-2</v>
      </c>
      <c r="AP32" s="8">
        <f t="shared" si="29"/>
        <v>1840.5705499999999</v>
      </c>
      <c r="AQ32" s="381"/>
      <c r="AR32" s="397"/>
      <c r="AS32" s="397"/>
    </row>
    <row r="33" spans="2:45" ht="58.2" thickBot="1" x14ac:dyDescent="0.35">
      <c r="B33" s="441"/>
      <c r="C33" s="418"/>
      <c r="D33" s="88" t="s">
        <v>16</v>
      </c>
      <c r="E33" s="25" t="s">
        <v>53</v>
      </c>
      <c r="F33" s="2"/>
      <c r="G33" s="59"/>
      <c r="H33" s="60" t="s">
        <v>28</v>
      </c>
      <c r="I33" s="61">
        <v>16</v>
      </c>
      <c r="J33" s="60" t="s">
        <v>34</v>
      </c>
      <c r="K33" s="61">
        <v>85</v>
      </c>
      <c r="L33" s="60" t="s">
        <v>54</v>
      </c>
      <c r="M33" s="61">
        <v>52</v>
      </c>
      <c r="N33" s="60" t="s">
        <v>76</v>
      </c>
      <c r="O33" s="60"/>
      <c r="P33" s="60"/>
      <c r="Q33" s="427" t="e">
        <f>O33/N33</f>
        <v>#VALUE!</v>
      </c>
      <c r="R33" s="427"/>
      <c r="S33" s="14"/>
      <c r="T33" s="33">
        <f t="shared" si="24"/>
        <v>0</v>
      </c>
      <c r="U33" s="33">
        <f t="shared" si="25"/>
        <v>0</v>
      </c>
      <c r="V33" s="34">
        <f t="shared" si="16"/>
        <v>0</v>
      </c>
      <c r="W33" s="35">
        <f t="shared" si="17"/>
        <v>0</v>
      </c>
      <c r="X33" s="425"/>
      <c r="Y33" s="35">
        <f t="shared" si="18"/>
        <v>0</v>
      </c>
      <c r="Z33" s="425"/>
      <c r="AA33" s="35">
        <f t="shared" si="22"/>
        <v>0</v>
      </c>
      <c r="AB33" s="433"/>
      <c r="AC33" s="410"/>
      <c r="AD33" s="413"/>
      <c r="AE33" s="410"/>
      <c r="AF33" s="46">
        <v>700</v>
      </c>
      <c r="AG33" s="36">
        <f t="shared" si="19"/>
        <v>0</v>
      </c>
      <c r="AH33" s="36"/>
      <c r="AI33" s="36"/>
      <c r="AJ33" s="36">
        <f t="shared" si="20"/>
        <v>0</v>
      </c>
      <c r="AK33" s="36">
        <f t="shared" si="26"/>
        <v>0</v>
      </c>
      <c r="AL33" s="36">
        <f t="shared" si="21"/>
        <v>0</v>
      </c>
      <c r="AM33" s="36">
        <f t="shared" si="23"/>
        <v>0</v>
      </c>
      <c r="AN33" s="36">
        <f t="shared" si="27"/>
        <v>0</v>
      </c>
      <c r="AO33" s="36">
        <f t="shared" si="28"/>
        <v>0</v>
      </c>
      <c r="AP33" s="36">
        <f t="shared" si="29"/>
        <v>0</v>
      </c>
      <c r="AQ33" s="415"/>
      <c r="AR33" s="398"/>
      <c r="AS33" s="398"/>
    </row>
    <row r="34" spans="2:45" ht="18" x14ac:dyDescent="0.3">
      <c r="B34" s="441"/>
      <c r="S34" s="17">
        <f t="shared" ref="S34:W34" si="30">SUM(S22:S33)</f>
        <v>44530</v>
      </c>
      <c r="T34" s="17">
        <f t="shared" si="30"/>
        <v>3710.833333333333</v>
      </c>
      <c r="U34" s="17">
        <f t="shared" si="30"/>
        <v>122</v>
      </c>
      <c r="V34" s="17">
        <f t="shared" si="30"/>
        <v>100.00000000000001</v>
      </c>
      <c r="W34" s="16">
        <f t="shared" si="30"/>
        <v>6358.3</v>
      </c>
      <c r="X34" s="16"/>
      <c r="Y34" s="16">
        <f>SUM(Y22:Y33)</f>
        <v>5184.9345000000003</v>
      </c>
      <c r="Z34" s="16"/>
      <c r="AA34" s="16">
        <f>SUM(AA22:AA33)</f>
        <v>100</v>
      </c>
      <c r="AB34" s="16"/>
      <c r="AC34" s="16"/>
      <c r="AD34" s="16"/>
      <c r="AE34" s="16"/>
      <c r="AF34" s="16"/>
      <c r="AG34" s="16">
        <f>SUM(AG22:AG33)</f>
        <v>1773133.4999999998</v>
      </c>
      <c r="AH34" s="16"/>
      <c r="AI34" s="16"/>
      <c r="AJ34" s="16"/>
      <c r="AK34" s="16">
        <f t="shared" ref="AK34:AP34" si="31">SUM(AK22:AK33)</f>
        <v>4857.8999999999996</v>
      </c>
      <c r="AL34" s="18">
        <f t="shared" si="31"/>
        <v>2790.0032999999999</v>
      </c>
      <c r="AM34" s="18">
        <f t="shared" si="31"/>
        <v>1018351.2044999999</v>
      </c>
      <c r="AN34" s="16">
        <f t="shared" si="31"/>
        <v>103230.12209999999</v>
      </c>
      <c r="AO34" s="16">
        <f t="shared" si="31"/>
        <v>0.46596930114583335</v>
      </c>
      <c r="AP34" s="16">
        <f t="shared" si="31"/>
        <v>11183.2632275</v>
      </c>
      <c r="AQ34" s="16"/>
      <c r="AR34" s="16"/>
    </row>
    <row r="35" spans="2:45" x14ac:dyDescent="0.3">
      <c r="B35" s="441"/>
    </row>
    <row r="36" spans="2:45" ht="15" thickBot="1" x14ac:dyDescent="0.35">
      <c r="B36" s="441"/>
    </row>
    <row r="37" spans="2:45" ht="15" thickBot="1" x14ac:dyDescent="0.35">
      <c r="B37" s="441"/>
      <c r="C37" s="416" t="s">
        <v>115</v>
      </c>
      <c r="D37" s="419" t="s">
        <v>9</v>
      </c>
      <c r="E37" s="25" t="s">
        <v>17</v>
      </c>
      <c r="F37" s="2"/>
      <c r="G37" s="62">
        <v>8.1</v>
      </c>
      <c r="H37" s="51" t="s">
        <v>42</v>
      </c>
      <c r="I37" s="51">
        <v>17</v>
      </c>
      <c r="J37" s="51" t="s">
        <v>43</v>
      </c>
      <c r="K37" s="51">
        <v>72</v>
      </c>
      <c r="L37" s="51">
        <v>58</v>
      </c>
      <c r="M37" s="51">
        <v>55</v>
      </c>
      <c r="N37" s="51">
        <v>1.77</v>
      </c>
      <c r="O37" s="51">
        <v>35.69</v>
      </c>
      <c r="P37" s="48"/>
      <c r="Q37" s="422">
        <f>O37/N37</f>
        <v>20.163841807909602</v>
      </c>
      <c r="R37" s="422"/>
      <c r="S37" s="29"/>
      <c r="T37" s="28">
        <f>S37/12</f>
        <v>0</v>
      </c>
      <c r="U37" s="28">
        <f>S37/365</f>
        <v>0</v>
      </c>
      <c r="V37" s="30">
        <f>(T37*100)/$T$49</f>
        <v>0</v>
      </c>
      <c r="W37" s="31">
        <f t="shared" ref="W37:W48" si="32">I37%*S37</f>
        <v>0</v>
      </c>
      <c r="X37" s="423">
        <f>W49/365</f>
        <v>13.209999999999999</v>
      </c>
      <c r="Y37" s="31">
        <f t="shared" ref="Y37:Y48" si="33">W37*K37%</f>
        <v>0</v>
      </c>
      <c r="Z37" s="423">
        <f>Y49/365</f>
        <v>11.036800000000001</v>
      </c>
      <c r="AA37" s="31">
        <f>(Y37*100)/$Y$49</f>
        <v>0</v>
      </c>
      <c r="AB37" s="430">
        <v>7</v>
      </c>
      <c r="AC37" s="408">
        <f>(X37-AB37)/X37</f>
        <v>0.47009841029523086</v>
      </c>
      <c r="AD37" s="411">
        <v>8</v>
      </c>
      <c r="AE37" s="408">
        <f>(Z37-AD37)/Z37</f>
        <v>0.27515221803421291</v>
      </c>
      <c r="AF37" s="47">
        <v>280</v>
      </c>
      <c r="AG37" s="32">
        <f t="shared" ref="AG37:AG48" si="34">Y37*AF37</f>
        <v>0</v>
      </c>
      <c r="AH37" s="32"/>
      <c r="AI37" s="32"/>
      <c r="AJ37" s="32">
        <f t="shared" ref="AJ37:AJ48" si="35">IFERROR(AG37/S37,0)</f>
        <v>0</v>
      </c>
      <c r="AK37" s="32">
        <f>AG37/365</f>
        <v>0</v>
      </c>
      <c r="AL37" s="32">
        <f t="shared" ref="AL37:AL48" si="36">IFERROR(AG37*M37%/365,0)</f>
        <v>0</v>
      </c>
      <c r="AM37" s="32">
        <f>AL37*365</f>
        <v>0</v>
      </c>
      <c r="AN37" s="32">
        <f>AL37*37</f>
        <v>0</v>
      </c>
      <c r="AO37" s="32">
        <f>AN37/3600/24*0.39</f>
        <v>0</v>
      </c>
      <c r="AP37" s="32">
        <f>AO37*1000*24</f>
        <v>0</v>
      </c>
      <c r="AQ37" s="414">
        <v>9000000</v>
      </c>
      <c r="AR37" s="396">
        <f>(Z37*1000)/3.7</f>
        <v>2982.9189189189192</v>
      </c>
      <c r="AS37" s="396">
        <f>AR37/U49</f>
        <v>49.715315315315323</v>
      </c>
    </row>
    <row r="38" spans="2:45" ht="29.4" thickBot="1" x14ac:dyDescent="0.35">
      <c r="B38" s="441"/>
      <c r="C38" s="417"/>
      <c r="D38" s="420"/>
      <c r="E38" s="25" t="s">
        <v>45</v>
      </c>
      <c r="F38" s="2"/>
      <c r="G38" s="49">
        <v>5.09</v>
      </c>
      <c r="H38" s="50" t="s">
        <v>46</v>
      </c>
      <c r="I38" s="51">
        <v>33</v>
      </c>
      <c r="J38" s="52" t="s">
        <v>47</v>
      </c>
      <c r="K38" s="51">
        <v>57</v>
      </c>
      <c r="L38" s="50">
        <v>55</v>
      </c>
      <c r="M38" s="51">
        <v>55</v>
      </c>
      <c r="N38" s="50">
        <v>4.33</v>
      </c>
      <c r="O38" s="50">
        <v>42.82</v>
      </c>
      <c r="P38" s="50"/>
      <c r="Q38" s="399">
        <f>O38/N38</f>
        <v>9.8891454965357966</v>
      </c>
      <c r="R38" s="399"/>
      <c r="S38" s="12">
        <f>5*365</f>
        <v>1825</v>
      </c>
      <c r="T38" s="9">
        <f>S38/12</f>
        <v>152.08333333333334</v>
      </c>
      <c r="U38" s="9">
        <f>S38/365</f>
        <v>5</v>
      </c>
      <c r="V38" s="21">
        <f t="shared" ref="V38:V48" si="37">(T38*100)/$T$49</f>
        <v>8.3333333333333339</v>
      </c>
      <c r="W38" s="11">
        <f t="shared" si="32"/>
        <v>602.25</v>
      </c>
      <c r="X38" s="424"/>
      <c r="Y38" s="11">
        <f t="shared" si="33"/>
        <v>343.28249999999997</v>
      </c>
      <c r="Z38" s="424"/>
      <c r="AA38" s="11">
        <f t="shared" ref="AA38:AA48" si="38">(Y38*100)/$Y$49</f>
        <v>8.5214917367352854</v>
      </c>
      <c r="AB38" s="431"/>
      <c r="AC38" s="409"/>
      <c r="AD38" s="412"/>
      <c r="AE38" s="409"/>
      <c r="AF38" s="45">
        <v>300</v>
      </c>
      <c r="AG38" s="8">
        <f t="shared" si="34"/>
        <v>102984.74999999999</v>
      </c>
      <c r="AH38" s="8"/>
      <c r="AI38" s="8"/>
      <c r="AJ38" s="8">
        <f t="shared" si="35"/>
        <v>56.429999999999993</v>
      </c>
      <c r="AK38" s="8">
        <f>AG38/365</f>
        <v>282.14999999999998</v>
      </c>
      <c r="AL38" s="8">
        <f t="shared" si="36"/>
        <v>155.18249999999998</v>
      </c>
      <c r="AM38" s="8">
        <f t="shared" ref="AM38:AM48" si="39">AL38*365</f>
        <v>56641.612499999988</v>
      </c>
      <c r="AN38" s="8">
        <f>AL38*37</f>
        <v>5741.7524999999987</v>
      </c>
      <c r="AO38" s="8">
        <f>AN38/3600/24*0.39</f>
        <v>2.5917632812499994E-2</v>
      </c>
      <c r="AP38" s="8">
        <f>AO38*1000*24</f>
        <v>622.02318749999995</v>
      </c>
      <c r="AQ38" s="381"/>
      <c r="AR38" s="397"/>
      <c r="AS38" s="397"/>
    </row>
    <row r="39" spans="2:45" ht="15" thickBot="1" x14ac:dyDescent="0.35">
      <c r="B39" s="441"/>
      <c r="C39" s="417"/>
      <c r="D39" s="421"/>
      <c r="E39" s="25" t="s">
        <v>6</v>
      </c>
      <c r="F39" s="2"/>
      <c r="G39" s="49">
        <v>7.8</v>
      </c>
      <c r="H39" s="50" t="s">
        <v>48</v>
      </c>
      <c r="I39" s="51">
        <v>20</v>
      </c>
      <c r="J39" s="50" t="s">
        <v>154</v>
      </c>
      <c r="K39" s="51">
        <v>68</v>
      </c>
      <c r="L39" s="50">
        <v>58</v>
      </c>
      <c r="M39" s="51">
        <v>60</v>
      </c>
      <c r="N39" s="50">
        <v>2.15</v>
      </c>
      <c r="O39" s="50">
        <v>38.4</v>
      </c>
      <c r="P39" s="50"/>
      <c r="Q39" s="399">
        <f>O39/N39</f>
        <v>17.86046511627907</v>
      </c>
      <c r="R39" s="399"/>
      <c r="S39" s="12"/>
      <c r="T39" s="9">
        <f>S39/12</f>
        <v>0</v>
      </c>
      <c r="U39" s="9">
        <f>S39/365</f>
        <v>0</v>
      </c>
      <c r="V39" s="21">
        <f t="shared" si="37"/>
        <v>0</v>
      </c>
      <c r="W39" s="11">
        <f t="shared" si="32"/>
        <v>0</v>
      </c>
      <c r="X39" s="424"/>
      <c r="Y39" s="11">
        <f t="shared" si="33"/>
        <v>0</v>
      </c>
      <c r="Z39" s="424"/>
      <c r="AA39" s="11">
        <f t="shared" si="38"/>
        <v>0</v>
      </c>
      <c r="AB39" s="431"/>
      <c r="AC39" s="409"/>
      <c r="AD39" s="412"/>
      <c r="AE39" s="409"/>
      <c r="AF39" s="45">
        <v>280</v>
      </c>
      <c r="AG39" s="8">
        <f t="shared" si="34"/>
        <v>0</v>
      </c>
      <c r="AH39" s="8"/>
      <c r="AI39" s="8"/>
      <c r="AJ39" s="8">
        <f t="shared" si="35"/>
        <v>0</v>
      </c>
      <c r="AK39" s="8">
        <f>AG39/365</f>
        <v>0</v>
      </c>
      <c r="AL39" s="8">
        <f t="shared" si="36"/>
        <v>0</v>
      </c>
      <c r="AM39" s="8">
        <f t="shared" si="39"/>
        <v>0</v>
      </c>
      <c r="AN39" s="8">
        <f>AL39*37</f>
        <v>0</v>
      </c>
      <c r="AO39" s="8">
        <f>AN39/3600/24*0.39</f>
        <v>0</v>
      </c>
      <c r="AP39" s="8">
        <f>AO39*1000*24</f>
        <v>0</v>
      </c>
      <c r="AQ39" s="381"/>
      <c r="AR39" s="397"/>
      <c r="AS39" s="397"/>
    </row>
    <row r="40" spans="2:45" ht="15" thickBot="1" x14ac:dyDescent="0.35">
      <c r="B40" s="441"/>
      <c r="C40" s="417"/>
      <c r="D40" s="88" t="s">
        <v>10</v>
      </c>
      <c r="E40" s="25" t="s">
        <v>18</v>
      </c>
      <c r="F40" s="2"/>
      <c r="G40" s="53" t="s">
        <v>22</v>
      </c>
      <c r="H40" s="54" t="s">
        <v>20</v>
      </c>
      <c r="I40" s="51">
        <v>8</v>
      </c>
      <c r="J40" s="52" t="s">
        <v>23</v>
      </c>
      <c r="K40" s="51">
        <v>80</v>
      </c>
      <c r="L40" s="52" t="s">
        <v>44</v>
      </c>
      <c r="M40" s="51">
        <v>50</v>
      </c>
      <c r="N40" s="55" t="s">
        <v>24</v>
      </c>
      <c r="O40" s="50"/>
      <c r="P40" s="50"/>
      <c r="Q40" s="399">
        <f>O40/N40</f>
        <v>0</v>
      </c>
      <c r="R40" s="399"/>
      <c r="S40" s="12"/>
      <c r="T40" s="9">
        <f t="shared" ref="T40:T48" si="40">S40/12</f>
        <v>0</v>
      </c>
      <c r="U40" s="9">
        <f t="shared" ref="U40:U48" si="41">S40/365</f>
        <v>0</v>
      </c>
      <c r="V40" s="21">
        <f t="shared" si="37"/>
        <v>0</v>
      </c>
      <c r="W40" s="11">
        <f t="shared" si="32"/>
        <v>0</v>
      </c>
      <c r="X40" s="424"/>
      <c r="Y40" s="11">
        <f t="shared" si="33"/>
        <v>0</v>
      </c>
      <c r="Z40" s="424"/>
      <c r="AA40" s="11">
        <f t="shared" si="38"/>
        <v>0</v>
      </c>
      <c r="AB40" s="431"/>
      <c r="AC40" s="409"/>
      <c r="AD40" s="412"/>
      <c r="AE40" s="409"/>
      <c r="AF40" s="45">
        <v>200</v>
      </c>
      <c r="AG40" s="8">
        <f t="shared" si="34"/>
        <v>0</v>
      </c>
      <c r="AH40" s="8"/>
      <c r="AI40" s="8"/>
      <c r="AJ40" s="8">
        <f t="shared" si="35"/>
        <v>0</v>
      </c>
      <c r="AK40" s="8">
        <f t="shared" ref="AK40:AK48" si="42">AG40/365</f>
        <v>0</v>
      </c>
      <c r="AL40" s="8">
        <f t="shared" si="36"/>
        <v>0</v>
      </c>
      <c r="AM40" s="8">
        <f t="shared" si="39"/>
        <v>0</v>
      </c>
      <c r="AN40" s="8">
        <f t="shared" ref="AN40:AN48" si="43">AL40*37</f>
        <v>0</v>
      </c>
      <c r="AO40" s="8">
        <f t="shared" ref="AO40:AO48" si="44">AN40/3600/24*0.39</f>
        <v>0</v>
      </c>
      <c r="AP40" s="8">
        <f t="shared" ref="AP40:AP48" si="45">AO40*1000*24</f>
        <v>0</v>
      </c>
      <c r="AQ40" s="381"/>
      <c r="AR40" s="397"/>
      <c r="AS40" s="397"/>
    </row>
    <row r="41" spans="2:45" ht="28.5" customHeight="1" thickBot="1" x14ac:dyDescent="0.35">
      <c r="B41" s="441"/>
      <c r="C41" s="417"/>
      <c r="D41" s="88" t="s">
        <v>11</v>
      </c>
      <c r="E41" s="27" t="s">
        <v>58</v>
      </c>
      <c r="F41" s="24"/>
      <c r="G41" s="56" t="s">
        <v>67</v>
      </c>
      <c r="H41" s="50" t="s">
        <v>59</v>
      </c>
      <c r="I41" s="51">
        <v>12</v>
      </c>
      <c r="J41" s="50">
        <v>89</v>
      </c>
      <c r="K41" s="51">
        <v>89</v>
      </c>
      <c r="L41" s="50" t="s">
        <v>57</v>
      </c>
      <c r="M41" s="51">
        <v>51</v>
      </c>
      <c r="N41" s="50">
        <v>1.4</v>
      </c>
      <c r="O41" s="50"/>
      <c r="P41" s="50"/>
      <c r="Q41" s="399" t="s">
        <v>70</v>
      </c>
      <c r="R41" s="399"/>
      <c r="S41" s="12">
        <f>5*365</f>
        <v>1825</v>
      </c>
      <c r="T41" s="9">
        <f t="shared" si="40"/>
        <v>152.08333333333334</v>
      </c>
      <c r="U41" s="9">
        <f t="shared" si="41"/>
        <v>5</v>
      </c>
      <c r="V41" s="21">
        <f t="shared" si="37"/>
        <v>8.3333333333333339</v>
      </c>
      <c r="W41" s="11">
        <f t="shared" si="32"/>
        <v>219</v>
      </c>
      <c r="X41" s="424"/>
      <c r="Y41" s="11">
        <f t="shared" si="33"/>
        <v>194.91</v>
      </c>
      <c r="Z41" s="424"/>
      <c r="AA41" s="11">
        <f t="shared" si="38"/>
        <v>4.8383589446216293</v>
      </c>
      <c r="AB41" s="431"/>
      <c r="AC41" s="409"/>
      <c r="AD41" s="412"/>
      <c r="AE41" s="409"/>
      <c r="AF41" s="45">
        <v>300</v>
      </c>
      <c r="AG41" s="8">
        <f t="shared" si="34"/>
        <v>58473</v>
      </c>
      <c r="AH41" s="8"/>
      <c r="AI41" s="8"/>
      <c r="AJ41" s="8">
        <f t="shared" si="35"/>
        <v>32.04</v>
      </c>
      <c r="AK41" s="8">
        <f t="shared" si="42"/>
        <v>160.19999999999999</v>
      </c>
      <c r="AL41" s="8">
        <f t="shared" si="36"/>
        <v>81.701999999999998</v>
      </c>
      <c r="AM41" s="8">
        <f t="shared" si="39"/>
        <v>29821.23</v>
      </c>
      <c r="AN41" s="8">
        <f t="shared" si="43"/>
        <v>3022.9740000000002</v>
      </c>
      <c r="AO41" s="8">
        <f t="shared" si="44"/>
        <v>1.3645368750000001E-2</v>
      </c>
      <c r="AP41" s="8">
        <f t="shared" si="45"/>
        <v>327.48885000000001</v>
      </c>
      <c r="AQ41" s="381"/>
      <c r="AR41" s="397"/>
      <c r="AS41" s="397"/>
    </row>
    <row r="42" spans="2:45" ht="29.4" thickBot="1" x14ac:dyDescent="0.35">
      <c r="B42" s="441"/>
      <c r="C42" s="417"/>
      <c r="D42" s="426" t="s">
        <v>12</v>
      </c>
      <c r="E42" s="26" t="s">
        <v>27</v>
      </c>
      <c r="F42" s="24" t="s">
        <v>112</v>
      </c>
      <c r="G42" s="57" t="s">
        <v>29</v>
      </c>
      <c r="H42" s="50" t="s">
        <v>28</v>
      </c>
      <c r="I42" s="51">
        <v>25</v>
      </c>
      <c r="J42" s="50" t="s">
        <v>60</v>
      </c>
      <c r="K42" s="51">
        <v>90</v>
      </c>
      <c r="L42" s="50">
        <v>65</v>
      </c>
      <c r="M42" s="51">
        <v>60</v>
      </c>
      <c r="N42" s="55" t="s">
        <v>61</v>
      </c>
      <c r="O42" s="50"/>
      <c r="P42" s="50"/>
      <c r="Q42" s="399">
        <v>35</v>
      </c>
      <c r="R42" s="399"/>
      <c r="S42" s="12">
        <f>33*365</f>
        <v>12045</v>
      </c>
      <c r="T42" s="9">
        <f t="shared" si="40"/>
        <v>1003.75</v>
      </c>
      <c r="U42" s="9">
        <f t="shared" si="41"/>
        <v>33</v>
      </c>
      <c r="V42" s="21">
        <f t="shared" si="37"/>
        <v>55</v>
      </c>
      <c r="W42" s="11">
        <f t="shared" si="32"/>
        <v>3011.25</v>
      </c>
      <c r="X42" s="424"/>
      <c r="Y42" s="11">
        <f t="shared" si="33"/>
        <v>2710.125</v>
      </c>
      <c r="Z42" s="424"/>
      <c r="AA42" s="37">
        <f t="shared" si="38"/>
        <v>67.274934763699619</v>
      </c>
      <c r="AB42" s="431"/>
      <c r="AC42" s="409"/>
      <c r="AD42" s="412"/>
      <c r="AE42" s="409"/>
      <c r="AF42" s="45">
        <v>590</v>
      </c>
      <c r="AG42" s="8">
        <f t="shared" si="34"/>
        <v>1598973.75</v>
      </c>
      <c r="AH42" s="8"/>
      <c r="AI42" s="8"/>
      <c r="AJ42" s="8">
        <f t="shared" si="35"/>
        <v>132.75</v>
      </c>
      <c r="AK42" s="8">
        <f t="shared" si="42"/>
        <v>4380.75</v>
      </c>
      <c r="AL42" s="8">
        <f t="shared" si="36"/>
        <v>2628.45</v>
      </c>
      <c r="AM42" s="8">
        <f t="shared" si="39"/>
        <v>959384.24999999988</v>
      </c>
      <c r="AN42" s="8">
        <f t="shared" si="43"/>
        <v>97252.65</v>
      </c>
      <c r="AO42" s="8">
        <f t="shared" si="44"/>
        <v>0.43898765625000002</v>
      </c>
      <c r="AP42" s="8">
        <f t="shared" si="45"/>
        <v>10535.703750000001</v>
      </c>
      <c r="AQ42" s="381"/>
      <c r="AR42" s="397"/>
      <c r="AS42" s="397"/>
    </row>
    <row r="43" spans="2:45" ht="29.4" thickBot="1" x14ac:dyDescent="0.35">
      <c r="B43" s="441"/>
      <c r="C43" s="417"/>
      <c r="D43" s="426"/>
      <c r="E43" s="27" t="s">
        <v>158</v>
      </c>
      <c r="F43" s="2"/>
      <c r="G43" s="57" t="s">
        <v>75</v>
      </c>
      <c r="H43" s="50" t="s">
        <v>155</v>
      </c>
      <c r="I43" s="51">
        <v>12</v>
      </c>
      <c r="J43" s="50" t="s">
        <v>62</v>
      </c>
      <c r="K43" s="51">
        <v>85</v>
      </c>
      <c r="L43" s="50" t="s">
        <v>63</v>
      </c>
      <c r="M43" s="51">
        <v>55</v>
      </c>
      <c r="N43" s="50"/>
      <c r="O43" s="50"/>
      <c r="P43" s="50"/>
      <c r="Q43" s="400"/>
      <c r="R43" s="401"/>
      <c r="S43" s="13"/>
      <c r="T43" s="9">
        <f t="shared" si="40"/>
        <v>0</v>
      </c>
      <c r="U43" s="9">
        <f t="shared" si="41"/>
        <v>0</v>
      </c>
      <c r="V43" s="21">
        <f t="shared" si="37"/>
        <v>0</v>
      </c>
      <c r="W43" s="11">
        <f t="shared" si="32"/>
        <v>0</v>
      </c>
      <c r="X43" s="424"/>
      <c r="Y43" s="11">
        <f t="shared" si="33"/>
        <v>0</v>
      </c>
      <c r="Z43" s="424"/>
      <c r="AA43" s="11">
        <f t="shared" si="38"/>
        <v>0</v>
      </c>
      <c r="AB43" s="431"/>
      <c r="AC43" s="409"/>
      <c r="AD43" s="412"/>
      <c r="AE43" s="409"/>
      <c r="AF43" s="45">
        <v>500</v>
      </c>
      <c r="AG43" s="8">
        <f t="shared" si="34"/>
        <v>0</v>
      </c>
      <c r="AH43" s="8"/>
      <c r="AI43" s="8"/>
      <c r="AJ43" s="8">
        <f t="shared" si="35"/>
        <v>0</v>
      </c>
      <c r="AK43" s="8">
        <f t="shared" si="42"/>
        <v>0</v>
      </c>
      <c r="AL43" s="8">
        <f t="shared" si="36"/>
        <v>0</v>
      </c>
      <c r="AM43" s="8">
        <f t="shared" si="39"/>
        <v>0</v>
      </c>
      <c r="AN43" s="8">
        <f t="shared" si="43"/>
        <v>0</v>
      </c>
      <c r="AO43" s="8">
        <f t="shared" si="44"/>
        <v>0</v>
      </c>
      <c r="AP43" s="8">
        <f t="shared" si="45"/>
        <v>0</v>
      </c>
      <c r="AQ43" s="381"/>
      <c r="AR43" s="397"/>
      <c r="AS43" s="397"/>
    </row>
    <row r="44" spans="2:45" ht="29.4" thickBot="1" x14ac:dyDescent="0.35">
      <c r="B44" s="441"/>
      <c r="C44" s="417"/>
      <c r="D44" s="426"/>
      <c r="E44" s="27" t="s">
        <v>64</v>
      </c>
      <c r="F44" s="24"/>
      <c r="G44" s="57" t="s">
        <v>79</v>
      </c>
      <c r="H44" s="55" t="s">
        <v>21</v>
      </c>
      <c r="I44" s="51">
        <v>8</v>
      </c>
      <c r="J44" s="50" t="s">
        <v>65</v>
      </c>
      <c r="K44" s="51">
        <v>83</v>
      </c>
      <c r="L44" s="50" t="s">
        <v>66</v>
      </c>
      <c r="M44" s="51">
        <v>58</v>
      </c>
      <c r="N44" s="55" t="s">
        <v>73</v>
      </c>
      <c r="O44" s="50"/>
      <c r="P44" s="50"/>
      <c r="Q44" s="400"/>
      <c r="R44" s="401"/>
      <c r="S44" s="13">
        <f>7*365</f>
        <v>2555</v>
      </c>
      <c r="T44" s="9">
        <f t="shared" si="40"/>
        <v>212.91666666666666</v>
      </c>
      <c r="U44" s="9">
        <f t="shared" si="41"/>
        <v>7</v>
      </c>
      <c r="V44" s="21">
        <f t="shared" si="37"/>
        <v>11.666666666666666</v>
      </c>
      <c r="W44" s="11">
        <f t="shared" si="32"/>
        <v>204.4</v>
      </c>
      <c r="X44" s="424"/>
      <c r="Y44" s="11">
        <f t="shared" si="33"/>
        <v>169.65199999999999</v>
      </c>
      <c r="Z44" s="424"/>
      <c r="AA44" s="11">
        <f t="shared" si="38"/>
        <v>4.2113656132212229</v>
      </c>
      <c r="AB44" s="431"/>
      <c r="AC44" s="409"/>
      <c r="AD44" s="412"/>
      <c r="AE44" s="409"/>
      <c r="AF44" s="45">
        <v>400</v>
      </c>
      <c r="AG44" s="8">
        <f t="shared" si="34"/>
        <v>67860.799999999988</v>
      </c>
      <c r="AH44" s="8"/>
      <c r="AI44" s="8"/>
      <c r="AJ44" s="8">
        <f t="shared" si="35"/>
        <v>26.559999999999995</v>
      </c>
      <c r="AK44" s="8">
        <f t="shared" si="42"/>
        <v>185.91999999999996</v>
      </c>
      <c r="AL44" s="8">
        <f t="shared" si="36"/>
        <v>107.83359999999996</v>
      </c>
      <c r="AM44" s="8">
        <f t="shared" si="39"/>
        <v>39359.263999999988</v>
      </c>
      <c r="AN44" s="8">
        <f t="shared" si="43"/>
        <v>3989.8431999999984</v>
      </c>
      <c r="AO44" s="8">
        <f t="shared" si="44"/>
        <v>1.8009708888888882E-2</v>
      </c>
      <c r="AP44" s="8">
        <f t="shared" si="45"/>
        <v>432.23301333333313</v>
      </c>
      <c r="AQ44" s="381"/>
      <c r="AR44" s="397"/>
      <c r="AS44" s="397"/>
    </row>
    <row r="45" spans="2:45" ht="29.4" thickBot="1" x14ac:dyDescent="0.35">
      <c r="B45" s="441"/>
      <c r="C45" s="417"/>
      <c r="D45" s="88" t="s">
        <v>13</v>
      </c>
      <c r="E45" s="25" t="s">
        <v>156</v>
      </c>
      <c r="F45" s="24"/>
      <c r="G45" s="49" t="s">
        <v>37</v>
      </c>
      <c r="H45" s="50" t="s">
        <v>38</v>
      </c>
      <c r="I45" s="51">
        <v>40</v>
      </c>
      <c r="J45" s="50" t="s">
        <v>39</v>
      </c>
      <c r="K45" s="51">
        <v>97</v>
      </c>
      <c r="L45" s="50" t="s">
        <v>50</v>
      </c>
      <c r="M45" s="51">
        <v>69</v>
      </c>
      <c r="N45" s="50" t="s">
        <v>35</v>
      </c>
      <c r="O45" s="50"/>
      <c r="P45" s="50"/>
      <c r="Q45" s="399" t="s">
        <v>36</v>
      </c>
      <c r="R45" s="399"/>
      <c r="S45" s="12"/>
      <c r="T45" s="9">
        <f t="shared" si="40"/>
        <v>0</v>
      </c>
      <c r="U45" s="9">
        <f t="shared" si="41"/>
        <v>0</v>
      </c>
      <c r="V45" s="21">
        <f t="shared" si="37"/>
        <v>0</v>
      </c>
      <c r="W45" s="11">
        <f t="shared" si="32"/>
        <v>0</v>
      </c>
      <c r="X45" s="424"/>
      <c r="Y45" s="11">
        <f t="shared" si="33"/>
        <v>0</v>
      </c>
      <c r="Z45" s="424"/>
      <c r="AA45" s="11">
        <f t="shared" si="38"/>
        <v>0</v>
      </c>
      <c r="AB45" s="431"/>
      <c r="AC45" s="409"/>
      <c r="AD45" s="412"/>
      <c r="AE45" s="409"/>
      <c r="AF45" s="45">
        <v>500</v>
      </c>
      <c r="AG45" s="8">
        <f t="shared" si="34"/>
        <v>0</v>
      </c>
      <c r="AH45" s="8"/>
      <c r="AI45" s="8"/>
      <c r="AJ45" s="8">
        <f t="shared" si="35"/>
        <v>0</v>
      </c>
      <c r="AK45" s="8">
        <f t="shared" si="42"/>
        <v>0</v>
      </c>
      <c r="AL45" s="8">
        <f t="shared" si="36"/>
        <v>0</v>
      </c>
      <c r="AM45" s="8">
        <f t="shared" si="39"/>
        <v>0</v>
      </c>
      <c r="AN45" s="8">
        <f t="shared" si="43"/>
        <v>0</v>
      </c>
      <c r="AO45" s="8">
        <f t="shared" si="44"/>
        <v>0</v>
      </c>
      <c r="AP45" s="8">
        <f t="shared" si="45"/>
        <v>0</v>
      </c>
      <c r="AQ45" s="381"/>
      <c r="AR45" s="397"/>
      <c r="AS45" s="397"/>
    </row>
    <row r="46" spans="2:45" ht="29.4" thickBot="1" x14ac:dyDescent="0.35">
      <c r="B46" s="441"/>
      <c r="C46" s="417"/>
      <c r="D46" s="88" t="s">
        <v>14</v>
      </c>
      <c r="E46" s="25" t="s">
        <v>55</v>
      </c>
      <c r="F46" s="2"/>
      <c r="G46" s="49" t="s">
        <v>80</v>
      </c>
      <c r="H46" s="50" t="s">
        <v>56</v>
      </c>
      <c r="I46" s="51">
        <v>22</v>
      </c>
      <c r="J46" s="50" t="s">
        <v>30</v>
      </c>
      <c r="K46" s="51">
        <v>90</v>
      </c>
      <c r="L46" s="50" t="s">
        <v>57</v>
      </c>
      <c r="M46" s="51">
        <v>54</v>
      </c>
      <c r="N46" s="50">
        <v>1.5</v>
      </c>
      <c r="O46" s="50"/>
      <c r="P46" s="50"/>
      <c r="Q46" s="399" t="s">
        <v>72</v>
      </c>
      <c r="R46" s="399"/>
      <c r="S46" s="12">
        <f>5*365</f>
        <v>1825</v>
      </c>
      <c r="T46" s="9">
        <f t="shared" si="40"/>
        <v>152.08333333333334</v>
      </c>
      <c r="U46" s="9">
        <f t="shared" si="41"/>
        <v>5</v>
      </c>
      <c r="V46" s="21">
        <f t="shared" si="37"/>
        <v>8.3333333333333339</v>
      </c>
      <c r="W46" s="11">
        <f t="shared" si="32"/>
        <v>401.5</v>
      </c>
      <c r="X46" s="424"/>
      <c r="Y46" s="11">
        <f t="shared" si="33"/>
        <v>361.35</v>
      </c>
      <c r="Z46" s="424"/>
      <c r="AA46" s="11">
        <f t="shared" si="38"/>
        <v>8.9699913018266155</v>
      </c>
      <c r="AB46" s="431"/>
      <c r="AC46" s="409"/>
      <c r="AD46" s="412"/>
      <c r="AE46" s="409"/>
      <c r="AF46" s="45">
        <v>170</v>
      </c>
      <c r="AG46" s="8">
        <f t="shared" si="34"/>
        <v>61429.500000000007</v>
      </c>
      <c r="AH46" s="8"/>
      <c r="AI46" s="8"/>
      <c r="AJ46" s="8">
        <f t="shared" si="35"/>
        <v>33.660000000000004</v>
      </c>
      <c r="AK46" s="8">
        <f t="shared" si="42"/>
        <v>168.3</v>
      </c>
      <c r="AL46" s="8">
        <f t="shared" si="36"/>
        <v>90.882000000000019</v>
      </c>
      <c r="AM46" s="8">
        <f t="shared" si="39"/>
        <v>33171.930000000008</v>
      </c>
      <c r="AN46" s="8">
        <f t="shared" si="43"/>
        <v>3362.6340000000009</v>
      </c>
      <c r="AO46" s="8">
        <f t="shared" si="44"/>
        <v>1.5178556250000006E-2</v>
      </c>
      <c r="AP46" s="8">
        <f t="shared" si="45"/>
        <v>364.28535000000016</v>
      </c>
      <c r="AQ46" s="381"/>
      <c r="AR46" s="397"/>
      <c r="AS46" s="397"/>
    </row>
    <row r="47" spans="2:45" ht="15" thickBot="1" x14ac:dyDescent="0.35">
      <c r="B47" s="441"/>
      <c r="C47" s="417"/>
      <c r="D47" s="88" t="s">
        <v>15</v>
      </c>
      <c r="E47" s="25" t="s">
        <v>7</v>
      </c>
      <c r="F47" s="2"/>
      <c r="G47" s="49">
        <v>5.7</v>
      </c>
      <c r="H47" s="58" t="s">
        <v>51</v>
      </c>
      <c r="I47" s="51">
        <v>21</v>
      </c>
      <c r="J47" s="50" t="s">
        <v>32</v>
      </c>
      <c r="K47" s="51">
        <v>65</v>
      </c>
      <c r="L47" s="50" t="s">
        <v>52</v>
      </c>
      <c r="M47" s="51">
        <v>58</v>
      </c>
      <c r="N47" s="50"/>
      <c r="O47" s="50"/>
      <c r="P47" s="50"/>
      <c r="Q47" s="399" t="e">
        <f>O47/N47</f>
        <v>#DIV/0!</v>
      </c>
      <c r="R47" s="399"/>
      <c r="S47" s="12">
        <f>5*365</f>
        <v>1825</v>
      </c>
      <c r="T47" s="9">
        <f t="shared" si="40"/>
        <v>152.08333333333334</v>
      </c>
      <c r="U47" s="9">
        <f t="shared" si="41"/>
        <v>5</v>
      </c>
      <c r="V47" s="21">
        <f t="shared" si="37"/>
        <v>8.3333333333333339</v>
      </c>
      <c r="W47" s="11">
        <f t="shared" si="32"/>
        <v>383.25</v>
      </c>
      <c r="X47" s="424"/>
      <c r="Y47" s="11">
        <f t="shared" si="33"/>
        <v>249.11250000000001</v>
      </c>
      <c r="Z47" s="424"/>
      <c r="AA47" s="11">
        <f t="shared" si="38"/>
        <v>6.1838576398956215</v>
      </c>
      <c r="AB47" s="431"/>
      <c r="AC47" s="409"/>
      <c r="AD47" s="412"/>
      <c r="AE47" s="409"/>
      <c r="AF47" s="45">
        <v>580</v>
      </c>
      <c r="AG47" s="8">
        <f t="shared" si="34"/>
        <v>144485.25</v>
      </c>
      <c r="AH47" s="8"/>
      <c r="AI47" s="8"/>
      <c r="AJ47" s="8">
        <f t="shared" si="35"/>
        <v>79.17</v>
      </c>
      <c r="AK47" s="8">
        <f t="shared" si="42"/>
        <v>395.85</v>
      </c>
      <c r="AL47" s="8">
        <f t="shared" si="36"/>
        <v>229.59299999999999</v>
      </c>
      <c r="AM47" s="8">
        <f t="shared" si="39"/>
        <v>83801.444999999992</v>
      </c>
      <c r="AN47" s="8">
        <f t="shared" si="43"/>
        <v>8494.9409999999989</v>
      </c>
      <c r="AO47" s="8">
        <f t="shared" si="44"/>
        <v>3.8345219791666663E-2</v>
      </c>
      <c r="AP47" s="8">
        <f t="shared" si="45"/>
        <v>920.28527499999996</v>
      </c>
      <c r="AQ47" s="381"/>
      <c r="AR47" s="397"/>
      <c r="AS47" s="397"/>
    </row>
    <row r="48" spans="2:45" ht="58.2" thickBot="1" x14ac:dyDescent="0.35">
      <c r="B48" s="441"/>
      <c r="C48" s="418"/>
      <c r="D48" s="88" t="s">
        <v>16</v>
      </c>
      <c r="E48" s="25" t="s">
        <v>53</v>
      </c>
      <c r="F48" s="2"/>
      <c r="G48" s="59"/>
      <c r="H48" s="60" t="s">
        <v>28</v>
      </c>
      <c r="I48" s="61">
        <v>16</v>
      </c>
      <c r="J48" s="60" t="s">
        <v>34</v>
      </c>
      <c r="K48" s="61">
        <v>85</v>
      </c>
      <c r="L48" s="60" t="s">
        <v>54</v>
      </c>
      <c r="M48" s="61">
        <v>52</v>
      </c>
      <c r="N48" s="60" t="s">
        <v>76</v>
      </c>
      <c r="O48" s="60"/>
      <c r="P48" s="60"/>
      <c r="Q48" s="427" t="e">
        <f>O48/N48</f>
        <v>#VALUE!</v>
      </c>
      <c r="R48" s="427"/>
      <c r="S48" s="14"/>
      <c r="T48" s="33">
        <f t="shared" si="40"/>
        <v>0</v>
      </c>
      <c r="U48" s="33">
        <f t="shared" si="41"/>
        <v>0</v>
      </c>
      <c r="V48" s="34">
        <f t="shared" si="37"/>
        <v>0</v>
      </c>
      <c r="W48" s="35">
        <f t="shared" si="32"/>
        <v>0</v>
      </c>
      <c r="X48" s="425"/>
      <c r="Y48" s="35">
        <f t="shared" si="33"/>
        <v>0</v>
      </c>
      <c r="Z48" s="425"/>
      <c r="AA48" s="35">
        <f t="shared" si="38"/>
        <v>0</v>
      </c>
      <c r="AB48" s="433"/>
      <c r="AC48" s="410"/>
      <c r="AD48" s="413"/>
      <c r="AE48" s="410"/>
      <c r="AF48" s="46">
        <v>700</v>
      </c>
      <c r="AG48" s="36">
        <f t="shared" si="34"/>
        <v>0</v>
      </c>
      <c r="AH48" s="36"/>
      <c r="AI48" s="36"/>
      <c r="AJ48" s="36">
        <f t="shared" si="35"/>
        <v>0</v>
      </c>
      <c r="AK48" s="36">
        <f t="shared" si="42"/>
        <v>0</v>
      </c>
      <c r="AL48" s="36">
        <f t="shared" si="36"/>
        <v>0</v>
      </c>
      <c r="AM48" s="36">
        <f t="shared" si="39"/>
        <v>0</v>
      </c>
      <c r="AN48" s="36">
        <f t="shared" si="43"/>
        <v>0</v>
      </c>
      <c r="AO48" s="36">
        <f t="shared" si="44"/>
        <v>0</v>
      </c>
      <c r="AP48" s="36">
        <f t="shared" si="45"/>
        <v>0</v>
      </c>
      <c r="AQ48" s="415"/>
      <c r="AR48" s="398"/>
      <c r="AS48" s="398"/>
    </row>
    <row r="49" spans="2:45" ht="18" x14ac:dyDescent="0.3">
      <c r="B49" s="441"/>
      <c r="S49" s="17">
        <f t="shared" ref="S49:W49" si="46">SUM(S37:S48)</f>
        <v>21900</v>
      </c>
      <c r="T49" s="17">
        <f t="shared" si="46"/>
        <v>1825</v>
      </c>
      <c r="U49" s="17">
        <f t="shared" si="46"/>
        <v>60</v>
      </c>
      <c r="V49" s="17">
        <f t="shared" si="46"/>
        <v>100</v>
      </c>
      <c r="W49" s="16">
        <f t="shared" si="46"/>
        <v>4821.6499999999996</v>
      </c>
      <c r="X49" s="16"/>
      <c r="Y49" s="16">
        <f>SUM(Y37:Y48)</f>
        <v>4028.4320000000002</v>
      </c>
      <c r="Z49" s="16"/>
      <c r="AA49" s="16">
        <f>SUM(AA37:AA48)</f>
        <v>99.999999999999986</v>
      </c>
      <c r="AB49" s="16"/>
      <c r="AC49" s="16"/>
      <c r="AD49" s="16"/>
      <c r="AE49" s="16"/>
      <c r="AF49" s="16"/>
      <c r="AG49" s="16">
        <f>SUM(AG37:AG48)</f>
        <v>2034207.05</v>
      </c>
      <c r="AH49" s="16"/>
      <c r="AI49" s="16"/>
      <c r="AJ49" s="16"/>
      <c r="AK49" s="16">
        <f t="shared" ref="AK49:AP49" si="47">SUM(AK37:AK48)</f>
        <v>5573.170000000001</v>
      </c>
      <c r="AL49" s="18">
        <f t="shared" si="47"/>
        <v>3293.6430999999998</v>
      </c>
      <c r="AM49" s="18">
        <f t="shared" si="47"/>
        <v>1202179.7315</v>
      </c>
      <c r="AN49" s="16">
        <f t="shared" si="47"/>
        <v>121864.7947</v>
      </c>
      <c r="AO49" s="16">
        <f t="shared" si="47"/>
        <v>0.55008414274305562</v>
      </c>
      <c r="AP49" s="16">
        <f t="shared" si="47"/>
        <v>13202.019425833334</v>
      </c>
      <c r="AQ49" s="16"/>
      <c r="AR49" s="16"/>
    </row>
    <row r="50" spans="2:45" x14ac:dyDescent="0.3">
      <c r="B50" s="441"/>
    </row>
    <row r="51" spans="2:45" x14ac:dyDescent="0.3">
      <c r="B51" s="441"/>
    </row>
    <row r="52" spans="2:45" x14ac:dyDescent="0.3">
      <c r="B52" s="441"/>
    </row>
    <row r="53" spans="2:45" ht="15" thickBot="1" x14ac:dyDescent="0.35">
      <c r="B53" s="441"/>
    </row>
    <row r="54" spans="2:45" ht="15" customHeight="1" thickBot="1" x14ac:dyDescent="0.35">
      <c r="B54" s="441"/>
      <c r="C54" s="428" t="s">
        <v>143</v>
      </c>
      <c r="D54" s="419" t="s">
        <v>9</v>
      </c>
      <c r="E54" s="26" t="s">
        <v>17</v>
      </c>
      <c r="F54" s="24" t="s">
        <v>112</v>
      </c>
      <c r="G54" s="62">
        <v>8.1</v>
      </c>
      <c r="H54" s="51" t="s">
        <v>42</v>
      </c>
      <c r="I54" s="51">
        <v>17</v>
      </c>
      <c r="J54" s="51" t="s">
        <v>43</v>
      </c>
      <c r="K54" s="51">
        <v>72</v>
      </c>
      <c r="L54" s="51">
        <v>58</v>
      </c>
      <c r="M54" s="51">
        <v>55</v>
      </c>
      <c r="N54" s="51">
        <v>1.77</v>
      </c>
      <c r="O54" s="51">
        <v>35.69</v>
      </c>
      <c r="P54" s="51"/>
      <c r="Q54" s="432">
        <f>O54/N54</f>
        <v>20.163841807909602</v>
      </c>
      <c r="R54" s="432"/>
      <c r="S54" s="10">
        <f>29*365</f>
        <v>10585</v>
      </c>
      <c r="T54" s="9">
        <f>S54/12</f>
        <v>882.08333333333337</v>
      </c>
      <c r="U54" s="9">
        <f>S54/365</f>
        <v>29</v>
      </c>
      <c r="V54" s="21">
        <f t="shared" ref="V54:V65" si="48">(T54*100)/$T$66</f>
        <v>25.438596491228068</v>
      </c>
      <c r="W54" s="11">
        <f t="shared" ref="W54:W65" si="49">I54%*S54</f>
        <v>1799.45</v>
      </c>
      <c r="X54" s="423">
        <f>W66/365</f>
        <v>24.1</v>
      </c>
      <c r="Y54" s="11">
        <f t="shared" ref="Y54:Y65" si="50">W54*K54%</f>
        <v>1295.604</v>
      </c>
      <c r="Z54" s="423">
        <f>Y66/365</f>
        <v>16.675699999999999</v>
      </c>
      <c r="AA54" s="11">
        <f>(Y54*100)/$Y$66</f>
        <v>21.286062953879</v>
      </c>
      <c r="AB54" s="430">
        <v>10</v>
      </c>
      <c r="AC54" s="408">
        <f>(X54-AB54)/X54</f>
        <v>0.58506224066390045</v>
      </c>
      <c r="AD54" s="411">
        <v>12</v>
      </c>
      <c r="AE54" s="408">
        <f>(Z54-AD54)/Z54</f>
        <v>0.2803900286044963</v>
      </c>
      <c r="AF54" s="47">
        <v>280</v>
      </c>
      <c r="AG54" s="8">
        <f t="shared" ref="AG54:AG65" si="51">Y54*AF54</f>
        <v>362769.12</v>
      </c>
      <c r="AH54" s="8"/>
      <c r="AI54" s="8"/>
      <c r="AJ54" s="8">
        <f t="shared" ref="AJ54:AJ65" si="52">IFERROR(AG54/S54,0)</f>
        <v>34.271999999999998</v>
      </c>
      <c r="AK54" s="8">
        <f>AG54/365</f>
        <v>993.88800000000003</v>
      </c>
      <c r="AL54" s="8">
        <f t="shared" ref="AL54:AL65" si="53">IFERROR(AG54*M54%/365,0)</f>
        <v>546.63840000000005</v>
      </c>
      <c r="AM54" s="8">
        <f>AL54*365</f>
        <v>199523.016</v>
      </c>
      <c r="AN54" s="8">
        <f>AL54*37</f>
        <v>20225.620800000001</v>
      </c>
      <c r="AO54" s="8">
        <f>AN54/3600/24*0.39</f>
        <v>9.1296205000000005E-2</v>
      </c>
      <c r="AP54" s="8">
        <f>AO54*1000*24</f>
        <v>2191.1089200000001</v>
      </c>
      <c r="AQ54" s="414">
        <v>10000000</v>
      </c>
      <c r="AR54" s="396">
        <f>(Z54*1000)/3.7</f>
        <v>4506.9459459459458</v>
      </c>
      <c r="AS54" s="396">
        <f>AR54/U66</f>
        <v>39.534613560929351</v>
      </c>
    </row>
    <row r="55" spans="2:45" ht="29.4" thickBot="1" x14ac:dyDescent="0.35">
      <c r="B55" s="441"/>
      <c r="C55" s="428"/>
      <c r="D55" s="420"/>
      <c r="E55" s="25" t="s">
        <v>45</v>
      </c>
      <c r="F55" s="2"/>
      <c r="G55" s="49">
        <v>5.09</v>
      </c>
      <c r="H55" s="50" t="s">
        <v>46</v>
      </c>
      <c r="I55" s="51">
        <v>33</v>
      </c>
      <c r="J55" s="52" t="s">
        <v>47</v>
      </c>
      <c r="K55" s="51">
        <v>57</v>
      </c>
      <c r="L55" s="50">
        <v>55</v>
      </c>
      <c r="M55" s="51">
        <v>55</v>
      </c>
      <c r="N55" s="50">
        <v>4.33</v>
      </c>
      <c r="O55" s="50">
        <v>42.82</v>
      </c>
      <c r="P55" s="50"/>
      <c r="Q55" s="399">
        <f>O55/N55</f>
        <v>9.8891454965357966</v>
      </c>
      <c r="R55" s="399"/>
      <c r="S55" s="12">
        <f>16*365</f>
        <v>5840</v>
      </c>
      <c r="T55" s="9">
        <f>S55/12</f>
        <v>486.66666666666669</v>
      </c>
      <c r="U55" s="9">
        <f>S55/365</f>
        <v>16</v>
      </c>
      <c r="V55" s="21">
        <f t="shared" si="48"/>
        <v>14.035087719298245</v>
      </c>
      <c r="W55" s="11">
        <f t="shared" si="49"/>
        <v>1927.2</v>
      </c>
      <c r="X55" s="424"/>
      <c r="Y55" s="11">
        <f t="shared" si="50"/>
        <v>1098.5039999999999</v>
      </c>
      <c r="Z55" s="424"/>
      <c r="AA55" s="11">
        <f t="shared" ref="AA55:AA65" si="54">(Y55*100)/$Y$66</f>
        <v>18.047818082599228</v>
      </c>
      <c r="AB55" s="431"/>
      <c r="AC55" s="409"/>
      <c r="AD55" s="412"/>
      <c r="AE55" s="409"/>
      <c r="AF55" s="45">
        <v>300</v>
      </c>
      <c r="AG55" s="8">
        <f t="shared" si="51"/>
        <v>329551.19999999995</v>
      </c>
      <c r="AH55" s="8"/>
      <c r="AI55" s="8"/>
      <c r="AJ55" s="8">
        <f t="shared" si="52"/>
        <v>56.429999999999993</v>
      </c>
      <c r="AK55" s="8">
        <f>AG55/365</f>
        <v>902.87999999999988</v>
      </c>
      <c r="AL55" s="8">
        <f t="shared" si="53"/>
        <v>496.584</v>
      </c>
      <c r="AM55" s="8">
        <f t="shared" ref="AM55:AM65" si="55">AL55*365</f>
        <v>181253.16</v>
      </c>
      <c r="AN55" s="8">
        <f>AL55*37</f>
        <v>18373.608</v>
      </c>
      <c r="AO55" s="8">
        <f>AN55/3600/24*0.39</f>
        <v>8.2936425000000008E-2</v>
      </c>
      <c r="AP55" s="8">
        <f>AO55*1000*24</f>
        <v>1990.4742000000003</v>
      </c>
      <c r="AQ55" s="381"/>
      <c r="AR55" s="397"/>
      <c r="AS55" s="397"/>
    </row>
    <row r="56" spans="2:45" ht="15" thickBot="1" x14ac:dyDescent="0.35">
      <c r="B56" s="441"/>
      <c r="C56" s="428"/>
      <c r="D56" s="421"/>
      <c r="E56" s="26" t="s">
        <v>6</v>
      </c>
      <c r="F56" s="24" t="s">
        <v>112</v>
      </c>
      <c r="G56" s="49">
        <v>7.8</v>
      </c>
      <c r="H56" s="50" t="s">
        <v>48</v>
      </c>
      <c r="I56" s="51">
        <v>20</v>
      </c>
      <c r="J56" s="50" t="s">
        <v>154</v>
      </c>
      <c r="K56" s="51">
        <v>68</v>
      </c>
      <c r="L56" s="50">
        <v>58</v>
      </c>
      <c r="M56" s="51">
        <v>60</v>
      </c>
      <c r="N56" s="50">
        <v>2.15</v>
      </c>
      <c r="O56" s="50">
        <v>38.4</v>
      </c>
      <c r="P56" s="50"/>
      <c r="Q56" s="399">
        <f>O56/N56</f>
        <v>17.86046511627907</v>
      </c>
      <c r="R56" s="399"/>
      <c r="S56" s="12">
        <f>29*365</f>
        <v>10585</v>
      </c>
      <c r="T56" s="9">
        <f>S56/12</f>
        <v>882.08333333333337</v>
      </c>
      <c r="U56" s="9">
        <f>S56/365</f>
        <v>29</v>
      </c>
      <c r="V56" s="21">
        <f t="shared" si="48"/>
        <v>25.438596491228068</v>
      </c>
      <c r="W56" s="11">
        <f t="shared" si="49"/>
        <v>2117</v>
      </c>
      <c r="X56" s="424"/>
      <c r="Y56" s="11">
        <f t="shared" si="50"/>
        <v>1439.5600000000002</v>
      </c>
      <c r="Z56" s="424"/>
      <c r="AA56" s="11">
        <f t="shared" si="54"/>
        <v>23.651181059865557</v>
      </c>
      <c r="AB56" s="431"/>
      <c r="AC56" s="409"/>
      <c r="AD56" s="412"/>
      <c r="AE56" s="409"/>
      <c r="AF56" s="45">
        <v>280</v>
      </c>
      <c r="AG56" s="8">
        <f t="shared" si="51"/>
        <v>403076.80000000005</v>
      </c>
      <c r="AH56" s="8"/>
      <c r="AI56" s="8"/>
      <c r="AJ56" s="8">
        <f t="shared" si="52"/>
        <v>38.080000000000005</v>
      </c>
      <c r="AK56" s="8">
        <f>AG56/365</f>
        <v>1104.3200000000002</v>
      </c>
      <c r="AL56" s="8">
        <f t="shared" si="53"/>
        <v>662.5920000000001</v>
      </c>
      <c r="AM56" s="8">
        <f t="shared" si="55"/>
        <v>241846.08000000005</v>
      </c>
      <c r="AN56" s="8">
        <f>AL56*37</f>
        <v>24515.904000000002</v>
      </c>
      <c r="AO56" s="8">
        <f>AN56/3600/24*0.39</f>
        <v>0.11066206666666667</v>
      </c>
      <c r="AP56" s="8">
        <f>AO56*1000*24</f>
        <v>2655.8896000000004</v>
      </c>
      <c r="AQ56" s="381"/>
      <c r="AR56" s="397"/>
      <c r="AS56" s="397"/>
    </row>
    <row r="57" spans="2:45" ht="15" thickBot="1" x14ac:dyDescent="0.35">
      <c r="B57" s="441"/>
      <c r="C57" s="428"/>
      <c r="D57" s="88" t="s">
        <v>10</v>
      </c>
      <c r="E57" s="25" t="s">
        <v>18</v>
      </c>
      <c r="F57" s="2"/>
      <c r="G57" s="53" t="s">
        <v>22</v>
      </c>
      <c r="H57" s="54" t="s">
        <v>20</v>
      </c>
      <c r="I57" s="51">
        <v>8</v>
      </c>
      <c r="J57" s="52" t="s">
        <v>23</v>
      </c>
      <c r="K57" s="51">
        <v>80</v>
      </c>
      <c r="L57" s="52" t="s">
        <v>44</v>
      </c>
      <c r="M57" s="51">
        <v>50</v>
      </c>
      <c r="N57" s="55" t="s">
        <v>24</v>
      </c>
      <c r="O57" s="50"/>
      <c r="P57" s="50"/>
      <c r="Q57" s="399">
        <f>O57/N57</f>
        <v>0</v>
      </c>
      <c r="R57" s="399"/>
      <c r="S57" s="12"/>
      <c r="T57" s="9">
        <f t="shared" ref="T57:T65" si="56">S57/12</f>
        <v>0</v>
      </c>
      <c r="U57" s="9">
        <f t="shared" ref="U57:U65" si="57">S57/365</f>
        <v>0</v>
      </c>
      <c r="V57" s="21">
        <f t="shared" si="48"/>
        <v>0</v>
      </c>
      <c r="W57" s="11">
        <f t="shared" si="49"/>
        <v>0</v>
      </c>
      <c r="X57" s="424"/>
      <c r="Y57" s="11">
        <f t="shared" si="50"/>
        <v>0</v>
      </c>
      <c r="Z57" s="424"/>
      <c r="AA57" s="92">
        <f t="shared" si="54"/>
        <v>0</v>
      </c>
      <c r="AB57" s="431"/>
      <c r="AC57" s="409"/>
      <c r="AD57" s="412"/>
      <c r="AE57" s="409"/>
      <c r="AF57" s="45">
        <v>200</v>
      </c>
      <c r="AG57" s="8">
        <f t="shared" si="51"/>
        <v>0</v>
      </c>
      <c r="AH57" s="8"/>
      <c r="AI57" s="8"/>
      <c r="AJ57" s="8">
        <f t="shared" si="52"/>
        <v>0</v>
      </c>
      <c r="AK57" s="8">
        <f t="shared" ref="AK57:AK65" si="58">AG57/365</f>
        <v>0</v>
      </c>
      <c r="AL57" s="8">
        <f t="shared" si="53"/>
        <v>0</v>
      </c>
      <c r="AM57" s="8">
        <f t="shared" si="55"/>
        <v>0</v>
      </c>
      <c r="AN57" s="8">
        <f t="shared" ref="AN57:AN65" si="59">AL57*37</f>
        <v>0</v>
      </c>
      <c r="AO57" s="8">
        <f t="shared" ref="AO57:AO65" si="60">AN57/3600/24*0.39</f>
        <v>0</v>
      </c>
      <c r="AP57" s="8">
        <f t="shared" ref="AP57:AP65" si="61">AO57*1000*24</f>
        <v>0</v>
      </c>
      <c r="AQ57" s="381"/>
      <c r="AR57" s="397"/>
      <c r="AS57" s="397"/>
    </row>
    <row r="58" spans="2:45" ht="22.5" customHeight="1" thickBot="1" x14ac:dyDescent="0.35">
      <c r="B58" s="441"/>
      <c r="C58" s="428"/>
      <c r="D58" s="88" t="s">
        <v>11</v>
      </c>
      <c r="E58" s="27" t="s">
        <v>58</v>
      </c>
      <c r="F58" s="91"/>
      <c r="G58" s="56" t="s">
        <v>67</v>
      </c>
      <c r="H58" s="50" t="s">
        <v>59</v>
      </c>
      <c r="I58" s="51">
        <v>12</v>
      </c>
      <c r="J58" s="50">
        <v>89</v>
      </c>
      <c r="K58" s="51">
        <v>89</v>
      </c>
      <c r="L58" s="50" t="s">
        <v>57</v>
      </c>
      <c r="M58" s="51">
        <v>51</v>
      </c>
      <c r="N58" s="50">
        <v>1.4</v>
      </c>
      <c r="O58" s="50"/>
      <c r="P58" s="50"/>
      <c r="Q58" s="399" t="s">
        <v>70</v>
      </c>
      <c r="R58" s="399"/>
      <c r="S58" s="12">
        <f>5*365</f>
        <v>1825</v>
      </c>
      <c r="T58" s="9">
        <f t="shared" si="56"/>
        <v>152.08333333333334</v>
      </c>
      <c r="U58" s="9">
        <f t="shared" si="57"/>
        <v>5</v>
      </c>
      <c r="V58" s="21">
        <f t="shared" si="48"/>
        <v>4.3859649122807012</v>
      </c>
      <c r="W58" s="11">
        <f t="shared" si="49"/>
        <v>219</v>
      </c>
      <c r="X58" s="424"/>
      <c r="Y58" s="11">
        <f t="shared" si="50"/>
        <v>194.91</v>
      </c>
      <c r="Z58" s="424"/>
      <c r="AA58" s="93">
        <f t="shared" si="54"/>
        <v>3.2022643727099909</v>
      </c>
      <c r="AB58" s="431"/>
      <c r="AC58" s="409"/>
      <c r="AD58" s="412"/>
      <c r="AE58" s="409"/>
      <c r="AF58" s="45">
        <v>300</v>
      </c>
      <c r="AG58" s="8">
        <f t="shared" si="51"/>
        <v>58473</v>
      </c>
      <c r="AH58" s="8"/>
      <c r="AI58" s="8"/>
      <c r="AJ58" s="8">
        <f t="shared" si="52"/>
        <v>32.04</v>
      </c>
      <c r="AK58" s="8">
        <f t="shared" si="58"/>
        <v>160.19999999999999</v>
      </c>
      <c r="AL58" s="8">
        <f t="shared" si="53"/>
        <v>81.701999999999998</v>
      </c>
      <c r="AM58" s="8">
        <f t="shared" si="55"/>
        <v>29821.23</v>
      </c>
      <c r="AN58" s="8">
        <f t="shared" si="59"/>
        <v>3022.9740000000002</v>
      </c>
      <c r="AO58" s="8">
        <f t="shared" si="60"/>
        <v>1.3645368750000001E-2</v>
      </c>
      <c r="AP58" s="8">
        <f t="shared" si="61"/>
        <v>327.48885000000001</v>
      </c>
      <c r="AQ58" s="381"/>
      <c r="AR58" s="397"/>
      <c r="AS58" s="397"/>
    </row>
    <row r="59" spans="2:45" ht="29.4" thickBot="1" x14ac:dyDescent="0.35">
      <c r="B59" s="441"/>
      <c r="C59" s="428"/>
      <c r="D59" s="426" t="s">
        <v>12</v>
      </c>
      <c r="E59" s="25" t="s">
        <v>27</v>
      </c>
      <c r="F59" s="2"/>
      <c r="G59" s="57" t="s">
        <v>29</v>
      </c>
      <c r="H59" s="50" t="s">
        <v>28</v>
      </c>
      <c r="I59" s="51">
        <v>25</v>
      </c>
      <c r="J59" s="50" t="s">
        <v>60</v>
      </c>
      <c r="K59" s="51">
        <v>90</v>
      </c>
      <c r="L59" s="50">
        <v>65</v>
      </c>
      <c r="M59" s="51">
        <v>60</v>
      </c>
      <c r="N59" s="55" t="s">
        <v>61</v>
      </c>
      <c r="O59" s="50"/>
      <c r="P59" s="50"/>
      <c r="Q59" s="399">
        <v>35</v>
      </c>
      <c r="R59" s="399"/>
      <c r="S59" s="12"/>
      <c r="T59" s="9">
        <f t="shared" si="56"/>
        <v>0</v>
      </c>
      <c r="U59" s="9">
        <f t="shared" si="57"/>
        <v>0</v>
      </c>
      <c r="V59" s="21">
        <f t="shared" si="48"/>
        <v>0</v>
      </c>
      <c r="W59" s="11">
        <f t="shared" si="49"/>
        <v>0</v>
      </c>
      <c r="X59" s="424"/>
      <c r="Y59" s="11">
        <f t="shared" si="50"/>
        <v>0</v>
      </c>
      <c r="Z59" s="424"/>
      <c r="AA59" s="92">
        <f t="shared" si="54"/>
        <v>0</v>
      </c>
      <c r="AB59" s="431"/>
      <c r="AC59" s="409"/>
      <c r="AD59" s="412"/>
      <c r="AE59" s="409"/>
      <c r="AF59" s="45">
        <v>590</v>
      </c>
      <c r="AG59" s="8">
        <f t="shared" si="51"/>
        <v>0</v>
      </c>
      <c r="AH59" s="8"/>
      <c r="AI59" s="8"/>
      <c r="AJ59" s="8">
        <f t="shared" si="52"/>
        <v>0</v>
      </c>
      <c r="AK59" s="8">
        <f t="shared" si="58"/>
        <v>0</v>
      </c>
      <c r="AL59" s="8">
        <f t="shared" si="53"/>
        <v>0</v>
      </c>
      <c r="AM59" s="8">
        <f t="shared" si="55"/>
        <v>0</v>
      </c>
      <c r="AN59" s="8">
        <f t="shared" si="59"/>
        <v>0</v>
      </c>
      <c r="AO59" s="8">
        <f t="shared" si="60"/>
        <v>0</v>
      </c>
      <c r="AP59" s="8">
        <f t="shared" si="61"/>
        <v>0</v>
      </c>
      <c r="AQ59" s="381"/>
      <c r="AR59" s="397"/>
      <c r="AS59" s="397"/>
    </row>
    <row r="60" spans="2:45" ht="29.4" thickBot="1" x14ac:dyDescent="0.35">
      <c r="B60" s="441"/>
      <c r="C60" s="428"/>
      <c r="D60" s="426"/>
      <c r="E60" s="27" t="s">
        <v>158</v>
      </c>
      <c r="F60" s="2"/>
      <c r="G60" s="57" t="s">
        <v>75</v>
      </c>
      <c r="H60" s="50" t="s">
        <v>155</v>
      </c>
      <c r="I60" s="51">
        <v>12</v>
      </c>
      <c r="J60" s="50" t="s">
        <v>62</v>
      </c>
      <c r="K60" s="51">
        <v>85</v>
      </c>
      <c r="L60" s="50" t="s">
        <v>63</v>
      </c>
      <c r="M60" s="51">
        <v>55</v>
      </c>
      <c r="N60" s="50"/>
      <c r="O60" s="50"/>
      <c r="P60" s="50"/>
      <c r="Q60" s="400"/>
      <c r="R60" s="401"/>
      <c r="S60" s="13"/>
      <c r="T60" s="9">
        <f t="shared" si="56"/>
        <v>0</v>
      </c>
      <c r="U60" s="9">
        <f t="shared" si="57"/>
        <v>0</v>
      </c>
      <c r="V60" s="21">
        <f t="shared" si="48"/>
        <v>0</v>
      </c>
      <c r="W60" s="11">
        <f t="shared" si="49"/>
        <v>0</v>
      </c>
      <c r="X60" s="424"/>
      <c r="Y60" s="11">
        <f t="shared" si="50"/>
        <v>0</v>
      </c>
      <c r="Z60" s="424"/>
      <c r="AA60" s="92">
        <f t="shared" si="54"/>
        <v>0</v>
      </c>
      <c r="AB60" s="431"/>
      <c r="AC60" s="409"/>
      <c r="AD60" s="412"/>
      <c r="AE60" s="409"/>
      <c r="AF60" s="45">
        <v>500</v>
      </c>
      <c r="AG60" s="8">
        <f t="shared" si="51"/>
        <v>0</v>
      </c>
      <c r="AH60" s="8"/>
      <c r="AI60" s="8"/>
      <c r="AJ60" s="8">
        <f t="shared" si="52"/>
        <v>0</v>
      </c>
      <c r="AK60" s="8">
        <f t="shared" si="58"/>
        <v>0</v>
      </c>
      <c r="AL60" s="8">
        <f t="shared" si="53"/>
        <v>0</v>
      </c>
      <c r="AM60" s="8">
        <f t="shared" si="55"/>
        <v>0</v>
      </c>
      <c r="AN60" s="8">
        <f t="shared" si="59"/>
        <v>0</v>
      </c>
      <c r="AO60" s="8">
        <f t="shared" si="60"/>
        <v>0</v>
      </c>
      <c r="AP60" s="8">
        <f t="shared" si="61"/>
        <v>0</v>
      </c>
      <c r="AQ60" s="381"/>
      <c r="AR60" s="397"/>
      <c r="AS60" s="397"/>
    </row>
    <row r="61" spans="2:45" ht="29.4" thickBot="1" x14ac:dyDescent="0.35">
      <c r="B61" s="441"/>
      <c r="C61" s="428"/>
      <c r="D61" s="426"/>
      <c r="E61" s="25" t="s">
        <v>64</v>
      </c>
      <c r="F61" s="2"/>
      <c r="G61" s="57" t="s">
        <v>79</v>
      </c>
      <c r="H61" s="55" t="s">
        <v>21</v>
      </c>
      <c r="I61" s="51">
        <v>8</v>
      </c>
      <c r="J61" s="50" t="s">
        <v>65</v>
      </c>
      <c r="K61" s="51">
        <v>83</v>
      </c>
      <c r="L61" s="50" t="s">
        <v>66</v>
      </c>
      <c r="M61" s="51">
        <v>58</v>
      </c>
      <c r="N61" s="55" t="s">
        <v>73</v>
      </c>
      <c r="O61" s="50"/>
      <c r="P61" s="50"/>
      <c r="Q61" s="400"/>
      <c r="R61" s="401"/>
      <c r="S61" s="13"/>
      <c r="T61" s="9">
        <f t="shared" si="56"/>
        <v>0</v>
      </c>
      <c r="U61" s="9">
        <f t="shared" si="57"/>
        <v>0</v>
      </c>
      <c r="V61" s="21">
        <f t="shared" si="48"/>
        <v>0</v>
      </c>
      <c r="W61" s="11">
        <f t="shared" si="49"/>
        <v>0</v>
      </c>
      <c r="X61" s="424"/>
      <c r="Y61" s="11">
        <f t="shared" si="50"/>
        <v>0</v>
      </c>
      <c r="Z61" s="424"/>
      <c r="AA61" s="92">
        <f t="shared" si="54"/>
        <v>0</v>
      </c>
      <c r="AB61" s="431"/>
      <c r="AC61" s="409"/>
      <c r="AD61" s="412"/>
      <c r="AE61" s="409"/>
      <c r="AF61" s="45">
        <v>400</v>
      </c>
      <c r="AG61" s="8">
        <f t="shared" si="51"/>
        <v>0</v>
      </c>
      <c r="AH61" s="8"/>
      <c r="AI61" s="8"/>
      <c r="AJ61" s="8">
        <f t="shared" si="52"/>
        <v>0</v>
      </c>
      <c r="AK61" s="8">
        <f t="shared" si="58"/>
        <v>0</v>
      </c>
      <c r="AL61" s="8">
        <f t="shared" si="53"/>
        <v>0</v>
      </c>
      <c r="AM61" s="8">
        <f t="shared" si="55"/>
        <v>0</v>
      </c>
      <c r="AN61" s="8">
        <f t="shared" si="59"/>
        <v>0</v>
      </c>
      <c r="AO61" s="8">
        <f t="shared" si="60"/>
        <v>0</v>
      </c>
      <c r="AP61" s="8">
        <f t="shared" si="61"/>
        <v>0</v>
      </c>
      <c r="AQ61" s="381"/>
      <c r="AR61" s="397"/>
      <c r="AS61" s="397"/>
    </row>
    <row r="62" spans="2:45" ht="29.4" thickBot="1" x14ac:dyDescent="0.35">
      <c r="B62" s="441"/>
      <c r="C62" s="428"/>
      <c r="D62" s="88" t="s">
        <v>13</v>
      </c>
      <c r="E62" s="25" t="s">
        <v>156</v>
      </c>
      <c r="F62" s="24"/>
      <c r="G62" s="49" t="s">
        <v>37</v>
      </c>
      <c r="H62" s="50" t="s">
        <v>38</v>
      </c>
      <c r="I62" s="51">
        <v>40</v>
      </c>
      <c r="J62" s="50" t="s">
        <v>39</v>
      </c>
      <c r="K62" s="51">
        <v>97</v>
      </c>
      <c r="L62" s="50" t="s">
        <v>50</v>
      </c>
      <c r="M62" s="51">
        <v>69</v>
      </c>
      <c r="N62" s="50" t="s">
        <v>35</v>
      </c>
      <c r="O62" s="50"/>
      <c r="P62" s="50"/>
      <c r="Q62" s="399" t="s">
        <v>36</v>
      </c>
      <c r="R62" s="399"/>
      <c r="S62" s="12"/>
      <c r="T62" s="9">
        <f t="shared" si="56"/>
        <v>0</v>
      </c>
      <c r="U62" s="9">
        <f t="shared" si="57"/>
        <v>0</v>
      </c>
      <c r="V62" s="21">
        <f t="shared" si="48"/>
        <v>0</v>
      </c>
      <c r="W62" s="11">
        <f t="shared" si="49"/>
        <v>0</v>
      </c>
      <c r="X62" s="424"/>
      <c r="Y62" s="11">
        <f t="shared" si="50"/>
        <v>0</v>
      </c>
      <c r="Z62" s="424"/>
      <c r="AA62" s="92">
        <f t="shared" si="54"/>
        <v>0</v>
      </c>
      <c r="AB62" s="431"/>
      <c r="AC62" s="409"/>
      <c r="AD62" s="412"/>
      <c r="AE62" s="409"/>
      <c r="AF62" s="45">
        <v>500</v>
      </c>
      <c r="AG62" s="8">
        <f t="shared" si="51"/>
        <v>0</v>
      </c>
      <c r="AH62" s="8"/>
      <c r="AI62" s="8"/>
      <c r="AJ62" s="8">
        <f t="shared" si="52"/>
        <v>0</v>
      </c>
      <c r="AK62" s="8">
        <f t="shared" si="58"/>
        <v>0</v>
      </c>
      <c r="AL62" s="8">
        <f t="shared" si="53"/>
        <v>0</v>
      </c>
      <c r="AM62" s="8">
        <f t="shared" si="55"/>
        <v>0</v>
      </c>
      <c r="AN62" s="8">
        <f t="shared" si="59"/>
        <v>0</v>
      </c>
      <c r="AO62" s="8">
        <f t="shared" si="60"/>
        <v>0</v>
      </c>
      <c r="AP62" s="8">
        <f t="shared" si="61"/>
        <v>0</v>
      </c>
      <c r="AQ62" s="381"/>
      <c r="AR62" s="397"/>
      <c r="AS62" s="397"/>
    </row>
    <row r="63" spans="2:45" ht="29.4" thickBot="1" x14ac:dyDescent="0.35">
      <c r="B63" s="441"/>
      <c r="C63" s="428"/>
      <c r="D63" s="88" t="s">
        <v>14</v>
      </c>
      <c r="E63" s="25" t="s">
        <v>55</v>
      </c>
      <c r="F63" s="2"/>
      <c r="G63" s="49" t="s">
        <v>80</v>
      </c>
      <c r="H63" s="50" t="s">
        <v>56</v>
      </c>
      <c r="I63" s="51">
        <v>22</v>
      </c>
      <c r="J63" s="50" t="s">
        <v>30</v>
      </c>
      <c r="K63" s="51">
        <v>90</v>
      </c>
      <c r="L63" s="50" t="s">
        <v>57</v>
      </c>
      <c r="M63" s="51">
        <v>54</v>
      </c>
      <c r="N63" s="50">
        <v>1.5</v>
      </c>
      <c r="O63" s="50"/>
      <c r="P63" s="50"/>
      <c r="Q63" s="399" t="s">
        <v>72</v>
      </c>
      <c r="R63" s="399"/>
      <c r="S63" s="12">
        <f>14*365</f>
        <v>5110</v>
      </c>
      <c r="T63" s="9">
        <f t="shared" si="56"/>
        <v>425.83333333333331</v>
      </c>
      <c r="U63" s="9">
        <f t="shared" si="57"/>
        <v>14</v>
      </c>
      <c r="V63" s="21">
        <f t="shared" si="48"/>
        <v>12.280701754385962</v>
      </c>
      <c r="W63" s="11">
        <f t="shared" si="49"/>
        <v>1124.2</v>
      </c>
      <c r="X63" s="424"/>
      <c r="Y63" s="11">
        <f t="shared" si="50"/>
        <v>1011.7800000000001</v>
      </c>
      <c r="Z63" s="424"/>
      <c r="AA63" s="93">
        <f t="shared" si="54"/>
        <v>16.622990339236136</v>
      </c>
      <c r="AB63" s="431"/>
      <c r="AC63" s="409"/>
      <c r="AD63" s="412"/>
      <c r="AE63" s="409"/>
      <c r="AF63" s="45">
        <v>170</v>
      </c>
      <c r="AG63" s="8">
        <f t="shared" si="51"/>
        <v>172002.6</v>
      </c>
      <c r="AH63" s="8"/>
      <c r="AI63" s="8"/>
      <c r="AJ63" s="8">
        <f t="shared" si="52"/>
        <v>33.660000000000004</v>
      </c>
      <c r="AK63" s="8">
        <f t="shared" si="58"/>
        <v>471.24</v>
      </c>
      <c r="AL63" s="8">
        <f t="shared" si="53"/>
        <v>254.46960000000001</v>
      </c>
      <c r="AM63" s="8">
        <f t="shared" si="55"/>
        <v>92881.40400000001</v>
      </c>
      <c r="AN63" s="8">
        <f t="shared" si="59"/>
        <v>9415.3752000000004</v>
      </c>
      <c r="AO63" s="8">
        <f t="shared" si="60"/>
        <v>4.2499957500000005E-2</v>
      </c>
      <c r="AP63" s="8">
        <f t="shared" si="61"/>
        <v>1019.9989800000002</v>
      </c>
      <c r="AQ63" s="381"/>
      <c r="AR63" s="397"/>
      <c r="AS63" s="397"/>
    </row>
    <row r="64" spans="2:45" ht="15" thickBot="1" x14ac:dyDescent="0.35">
      <c r="B64" s="441"/>
      <c r="C64" s="428"/>
      <c r="D64" s="88" t="s">
        <v>15</v>
      </c>
      <c r="E64" s="25" t="s">
        <v>7</v>
      </c>
      <c r="F64" s="2"/>
      <c r="G64" s="49">
        <v>5.7</v>
      </c>
      <c r="H64" s="58" t="s">
        <v>51</v>
      </c>
      <c r="I64" s="51">
        <v>21</v>
      </c>
      <c r="J64" s="50" t="s">
        <v>32</v>
      </c>
      <c r="K64" s="51">
        <v>65</v>
      </c>
      <c r="L64" s="50" t="s">
        <v>52</v>
      </c>
      <c r="M64" s="51">
        <v>58</v>
      </c>
      <c r="N64" s="50"/>
      <c r="O64" s="50"/>
      <c r="P64" s="50"/>
      <c r="Q64" s="399" t="e">
        <f>O64/N64</f>
        <v>#DIV/0!</v>
      </c>
      <c r="R64" s="399"/>
      <c r="S64" s="12">
        <f>21*365</f>
        <v>7665</v>
      </c>
      <c r="T64" s="9">
        <f t="shared" si="56"/>
        <v>638.75</v>
      </c>
      <c r="U64" s="9">
        <f t="shared" si="57"/>
        <v>21</v>
      </c>
      <c r="V64" s="21">
        <f t="shared" si="48"/>
        <v>18.421052631578945</v>
      </c>
      <c r="W64" s="11">
        <f t="shared" si="49"/>
        <v>1609.6499999999999</v>
      </c>
      <c r="X64" s="424"/>
      <c r="Y64" s="11">
        <f t="shared" si="50"/>
        <v>1046.2725</v>
      </c>
      <c r="Z64" s="424"/>
      <c r="AA64" s="92">
        <f t="shared" si="54"/>
        <v>17.189683191710092</v>
      </c>
      <c r="AB64" s="431"/>
      <c r="AC64" s="409"/>
      <c r="AD64" s="412"/>
      <c r="AE64" s="409"/>
      <c r="AF64" s="45">
        <v>580</v>
      </c>
      <c r="AG64" s="8">
        <f t="shared" si="51"/>
        <v>606838.05000000005</v>
      </c>
      <c r="AH64" s="8"/>
      <c r="AI64" s="8"/>
      <c r="AJ64" s="8">
        <f t="shared" si="52"/>
        <v>79.17</v>
      </c>
      <c r="AK64" s="8">
        <f t="shared" si="58"/>
        <v>1662.5700000000002</v>
      </c>
      <c r="AL64" s="8">
        <f t="shared" si="53"/>
        <v>964.29060000000004</v>
      </c>
      <c r="AM64" s="8">
        <f t="shared" si="55"/>
        <v>351966.06900000002</v>
      </c>
      <c r="AN64" s="8">
        <f t="shared" si="59"/>
        <v>35678.752200000003</v>
      </c>
      <c r="AO64" s="8">
        <f t="shared" si="60"/>
        <v>0.16104992312500002</v>
      </c>
      <c r="AP64" s="8">
        <f t="shared" si="61"/>
        <v>3865.1981550000005</v>
      </c>
      <c r="AQ64" s="381"/>
      <c r="AR64" s="397"/>
      <c r="AS64" s="397"/>
    </row>
    <row r="65" spans="2:45" ht="58.2" thickBot="1" x14ac:dyDescent="0.35">
      <c r="B65" s="441"/>
      <c r="C65" s="428"/>
      <c r="D65" s="88" t="s">
        <v>16</v>
      </c>
      <c r="E65" s="25" t="s">
        <v>53</v>
      </c>
      <c r="F65" s="2"/>
      <c r="G65" s="59"/>
      <c r="H65" s="60" t="s">
        <v>28</v>
      </c>
      <c r="I65" s="61">
        <v>16</v>
      </c>
      <c r="J65" s="60" t="s">
        <v>34</v>
      </c>
      <c r="K65" s="61">
        <v>85</v>
      </c>
      <c r="L65" s="60" t="s">
        <v>54</v>
      </c>
      <c r="M65" s="61">
        <v>52</v>
      </c>
      <c r="N65" s="60" t="s">
        <v>76</v>
      </c>
      <c r="O65" s="60"/>
      <c r="P65" s="60"/>
      <c r="Q65" s="427" t="e">
        <f>O65/N65</f>
        <v>#VALUE!</v>
      </c>
      <c r="R65" s="427"/>
      <c r="S65" s="14"/>
      <c r="T65" s="9">
        <f t="shared" si="56"/>
        <v>0</v>
      </c>
      <c r="U65" s="9">
        <f t="shared" si="57"/>
        <v>0</v>
      </c>
      <c r="V65" s="21">
        <f t="shared" si="48"/>
        <v>0</v>
      </c>
      <c r="W65" s="11">
        <f t="shared" si="49"/>
        <v>0</v>
      </c>
      <c r="X65" s="429"/>
      <c r="Y65" s="11">
        <f t="shared" si="50"/>
        <v>0</v>
      </c>
      <c r="Z65" s="429"/>
      <c r="AA65" s="92">
        <f t="shared" si="54"/>
        <v>0</v>
      </c>
      <c r="AB65" s="431"/>
      <c r="AC65" s="409"/>
      <c r="AD65" s="412"/>
      <c r="AE65" s="409"/>
      <c r="AF65" s="46">
        <v>700</v>
      </c>
      <c r="AG65" s="8">
        <f t="shared" si="51"/>
        <v>0</v>
      </c>
      <c r="AH65" s="8"/>
      <c r="AI65" s="8"/>
      <c r="AJ65" s="8">
        <f t="shared" si="52"/>
        <v>0</v>
      </c>
      <c r="AK65" s="8">
        <f t="shared" si="58"/>
        <v>0</v>
      </c>
      <c r="AL65" s="8">
        <f t="shared" si="53"/>
        <v>0</v>
      </c>
      <c r="AM65" s="8">
        <f t="shared" si="55"/>
        <v>0</v>
      </c>
      <c r="AN65" s="8">
        <f t="shared" si="59"/>
        <v>0</v>
      </c>
      <c r="AO65" s="8">
        <f t="shared" si="60"/>
        <v>0</v>
      </c>
      <c r="AP65" s="8">
        <f t="shared" si="61"/>
        <v>0</v>
      </c>
      <c r="AQ65" s="382"/>
      <c r="AR65" s="398"/>
      <c r="AS65" s="398"/>
    </row>
    <row r="66" spans="2:45" ht="18" x14ac:dyDescent="0.3">
      <c r="B66" s="441"/>
      <c r="S66" s="17">
        <f t="shared" ref="S66:W66" si="62">SUM(S54:S65)</f>
        <v>41610</v>
      </c>
      <c r="T66" s="17">
        <f t="shared" si="62"/>
        <v>3467.5000000000005</v>
      </c>
      <c r="U66" s="17">
        <f t="shared" si="62"/>
        <v>114</v>
      </c>
      <c r="V66" s="17">
        <f t="shared" si="62"/>
        <v>99.999999999999986</v>
      </c>
      <c r="W66" s="16">
        <f t="shared" si="62"/>
        <v>8796.5</v>
      </c>
      <c r="X66" s="16"/>
      <c r="Y66" s="16">
        <f>SUM(Y54:Y65)</f>
        <v>6086.6305000000002</v>
      </c>
      <c r="Z66" s="16"/>
      <c r="AA66" s="16">
        <f>SUM(AA54:AA65)</f>
        <v>100.00000000000001</v>
      </c>
      <c r="AB66" s="16"/>
      <c r="AC66" s="16"/>
      <c r="AD66" s="16"/>
      <c r="AE66" s="16"/>
      <c r="AF66" s="16"/>
      <c r="AG66" s="16">
        <f>SUM(AG54:AG65)</f>
        <v>1932710.7700000003</v>
      </c>
      <c r="AH66" s="16"/>
      <c r="AI66" s="16"/>
      <c r="AJ66" s="16"/>
      <c r="AK66" s="16">
        <f t="shared" ref="AK66:AP66" si="63">SUM(AK54:AK65)</f>
        <v>5295.098</v>
      </c>
      <c r="AL66" s="18">
        <f t="shared" si="63"/>
        <v>3006.2766000000001</v>
      </c>
      <c r="AM66" s="18">
        <f t="shared" si="63"/>
        <v>1097290.959</v>
      </c>
      <c r="AN66" s="16">
        <f t="shared" si="63"/>
        <v>111232.23419999999</v>
      </c>
      <c r="AO66" s="16">
        <f t="shared" si="63"/>
        <v>0.50208994604166668</v>
      </c>
      <c r="AP66" s="16">
        <f t="shared" si="63"/>
        <v>12050.158705000002</v>
      </c>
      <c r="AQ66" s="16"/>
      <c r="AR66" s="16"/>
    </row>
    <row r="67" spans="2:45" x14ac:dyDescent="0.3">
      <c r="B67" s="441"/>
      <c r="AL67" t="s">
        <v>92</v>
      </c>
      <c r="AO67" t="s">
        <v>91</v>
      </c>
    </row>
    <row r="68" spans="2:45" ht="15" thickBot="1" x14ac:dyDescent="0.35">
      <c r="B68" s="441"/>
    </row>
    <row r="69" spans="2:45" ht="15" thickBot="1" x14ac:dyDescent="0.35">
      <c r="B69" s="441"/>
      <c r="C69" s="428" t="s">
        <v>144</v>
      </c>
      <c r="D69" s="419" t="s">
        <v>9</v>
      </c>
      <c r="E69" s="25" t="s">
        <v>17</v>
      </c>
      <c r="F69" s="2"/>
      <c r="G69" s="62">
        <v>8.1</v>
      </c>
      <c r="H69" s="51" t="s">
        <v>42</v>
      </c>
      <c r="I69" s="51">
        <v>17</v>
      </c>
      <c r="J69" s="51" t="s">
        <v>43</v>
      </c>
      <c r="K69" s="51">
        <v>72</v>
      </c>
      <c r="L69" s="51">
        <v>58</v>
      </c>
      <c r="M69" s="51">
        <v>55</v>
      </c>
      <c r="N69" s="51">
        <v>1.77</v>
      </c>
      <c r="O69" s="51">
        <v>35.69</v>
      </c>
      <c r="P69" s="48"/>
      <c r="Q69" s="422">
        <f>O69/N69</f>
        <v>20.163841807909602</v>
      </c>
      <c r="R69" s="422"/>
      <c r="S69" s="29"/>
      <c r="T69" s="9">
        <f>S69/12</f>
        <v>0</v>
      </c>
      <c r="U69" s="9">
        <f>S69/365</f>
        <v>0</v>
      </c>
      <c r="V69" s="21">
        <f t="shared" ref="V69:V80" si="64">(T69*100)/$T$81</f>
        <v>0</v>
      </c>
      <c r="W69" s="11">
        <f t="shared" ref="W69:W80" si="65">I69%*S69</f>
        <v>0</v>
      </c>
      <c r="X69" s="423">
        <f>W81/365</f>
        <v>23.95</v>
      </c>
      <c r="Y69" s="11">
        <f t="shared" ref="Y69:Y80" si="66">W69*K69%</f>
        <v>0</v>
      </c>
      <c r="Z69" s="423">
        <f>Y81/365</f>
        <v>15.723500000000003</v>
      </c>
      <c r="AA69" s="11">
        <f>(Y69*100)/$Y$81</f>
        <v>0</v>
      </c>
      <c r="AB69" s="430">
        <v>5</v>
      </c>
      <c r="AC69" s="408">
        <f>(X69-AB69)/X69</f>
        <v>0.79123173277661796</v>
      </c>
      <c r="AD69" s="411">
        <v>10</v>
      </c>
      <c r="AE69" s="408">
        <f>(Z69-AD69)/Z69</f>
        <v>0.36400928546443234</v>
      </c>
      <c r="AF69" s="47">
        <v>280</v>
      </c>
      <c r="AG69" s="8">
        <f t="shared" ref="AG69:AG80" si="67">Y69*AF69</f>
        <v>0</v>
      </c>
      <c r="AH69" s="8"/>
      <c r="AI69" s="8"/>
      <c r="AJ69" s="8">
        <f t="shared" ref="AJ69:AJ80" si="68">IFERROR(AG69/S69,0)</f>
        <v>0</v>
      </c>
      <c r="AK69" s="8">
        <f>AG69/365</f>
        <v>0</v>
      </c>
      <c r="AL69" s="8">
        <f t="shared" ref="AL69:AL80" si="69">IFERROR(AG69*M69%/365,0)</f>
        <v>0</v>
      </c>
      <c r="AM69" s="8">
        <f>AL69*365</f>
        <v>0</v>
      </c>
      <c r="AN69" s="8">
        <f>AL69*37</f>
        <v>0</v>
      </c>
      <c r="AO69" s="8">
        <f>AN69/3600/24*0.39</f>
        <v>0</v>
      </c>
      <c r="AP69" s="8">
        <f>AO69*1000*24</f>
        <v>0</v>
      </c>
      <c r="AQ69" s="414">
        <v>10000000</v>
      </c>
      <c r="AR69" s="396">
        <f>(Z69*1000)/3.7</f>
        <v>4249.594594594595</v>
      </c>
      <c r="AS69" s="396">
        <f>AR69/U81</f>
        <v>42.495945945945948</v>
      </c>
    </row>
    <row r="70" spans="2:45" ht="29.4" thickBot="1" x14ac:dyDescent="0.35">
      <c r="B70" s="441"/>
      <c r="C70" s="428"/>
      <c r="D70" s="420"/>
      <c r="E70" s="95" t="s">
        <v>45</v>
      </c>
      <c r="F70" s="24" t="s">
        <v>112</v>
      </c>
      <c r="G70" s="49">
        <v>5.09</v>
      </c>
      <c r="H70" s="50" t="s">
        <v>46</v>
      </c>
      <c r="I70" s="51">
        <v>33</v>
      </c>
      <c r="J70" s="52" t="s">
        <v>47</v>
      </c>
      <c r="K70" s="51">
        <v>57</v>
      </c>
      <c r="L70" s="50">
        <v>55</v>
      </c>
      <c r="M70" s="51">
        <v>55</v>
      </c>
      <c r="N70" s="50">
        <v>4.33</v>
      </c>
      <c r="O70" s="50">
        <v>42.82</v>
      </c>
      <c r="P70" s="50"/>
      <c r="Q70" s="399">
        <f>O70/N70</f>
        <v>9.8891454965357966</v>
      </c>
      <c r="R70" s="399"/>
      <c r="S70" s="12">
        <f>50*365</f>
        <v>18250</v>
      </c>
      <c r="T70" s="9">
        <f>S70/12</f>
        <v>1520.8333333333333</v>
      </c>
      <c r="U70" s="9">
        <f>S70/365</f>
        <v>50</v>
      </c>
      <c r="V70" s="21">
        <f t="shared" si="64"/>
        <v>49.999999999999986</v>
      </c>
      <c r="W70" s="11">
        <f t="shared" si="65"/>
        <v>6022.5</v>
      </c>
      <c r="X70" s="424"/>
      <c r="Y70" s="11">
        <f t="shared" si="66"/>
        <v>3432.8249999999998</v>
      </c>
      <c r="Z70" s="424"/>
      <c r="AA70" s="11">
        <f t="shared" ref="AA70:AA80" si="70">(Y70*100)/$Y$81</f>
        <v>59.814926702070139</v>
      </c>
      <c r="AB70" s="431"/>
      <c r="AC70" s="409"/>
      <c r="AD70" s="412"/>
      <c r="AE70" s="409"/>
      <c r="AF70" s="45">
        <v>300</v>
      </c>
      <c r="AG70" s="8">
        <f t="shared" si="67"/>
        <v>1029847.5</v>
      </c>
      <c r="AH70" s="8"/>
      <c r="AI70" s="8"/>
      <c r="AJ70" s="8">
        <f t="shared" si="68"/>
        <v>56.43</v>
      </c>
      <c r="AK70" s="8">
        <f>AG70/365</f>
        <v>2821.5</v>
      </c>
      <c r="AL70" s="8">
        <f t="shared" si="69"/>
        <v>1551.825</v>
      </c>
      <c r="AM70" s="8">
        <f t="shared" ref="AM70:AM80" si="71">AL70*365</f>
        <v>566416.125</v>
      </c>
      <c r="AN70" s="8">
        <f>AL70*37</f>
        <v>57417.525000000001</v>
      </c>
      <c r="AO70" s="8">
        <f>AN70/3600/24*0.39</f>
        <v>0.25917632812500002</v>
      </c>
      <c r="AP70" s="8">
        <f>AO70*1000*24</f>
        <v>6220.2318749999995</v>
      </c>
      <c r="AQ70" s="381"/>
      <c r="AR70" s="397"/>
      <c r="AS70" s="397"/>
    </row>
    <row r="71" spans="2:45" ht="15" thickBot="1" x14ac:dyDescent="0.35">
      <c r="B71" s="441"/>
      <c r="C71" s="428"/>
      <c r="D71" s="421"/>
      <c r="E71" s="25" t="s">
        <v>6</v>
      </c>
      <c r="F71" s="2"/>
      <c r="G71" s="49">
        <v>7.8</v>
      </c>
      <c r="H71" s="50" t="s">
        <v>48</v>
      </c>
      <c r="I71" s="51">
        <v>20</v>
      </c>
      <c r="J71" s="50" t="s">
        <v>154</v>
      </c>
      <c r="K71" s="51">
        <v>68</v>
      </c>
      <c r="L71" s="50">
        <v>58</v>
      </c>
      <c r="M71" s="51">
        <v>60</v>
      </c>
      <c r="N71" s="50">
        <v>2.15</v>
      </c>
      <c r="O71" s="50">
        <v>38.4</v>
      </c>
      <c r="P71" s="50"/>
      <c r="Q71" s="399">
        <f>O71/N71</f>
        <v>17.86046511627907</v>
      </c>
      <c r="R71" s="399"/>
      <c r="S71" s="12"/>
      <c r="T71" s="9">
        <f>S71/12</f>
        <v>0</v>
      </c>
      <c r="U71" s="9">
        <f>S71/365</f>
        <v>0</v>
      </c>
      <c r="V71" s="21">
        <f t="shared" si="64"/>
        <v>0</v>
      </c>
      <c r="W71" s="11">
        <f t="shared" si="65"/>
        <v>0</v>
      </c>
      <c r="X71" s="424"/>
      <c r="Y71" s="11">
        <f t="shared" si="66"/>
        <v>0</v>
      </c>
      <c r="Z71" s="424"/>
      <c r="AA71" s="68">
        <f t="shared" si="70"/>
        <v>0</v>
      </c>
      <c r="AB71" s="431"/>
      <c r="AC71" s="409"/>
      <c r="AD71" s="412"/>
      <c r="AE71" s="409"/>
      <c r="AF71" s="45">
        <v>280</v>
      </c>
      <c r="AG71" s="8">
        <f t="shared" si="67"/>
        <v>0</v>
      </c>
      <c r="AH71" s="8"/>
      <c r="AI71" s="8"/>
      <c r="AJ71" s="8">
        <f t="shared" si="68"/>
        <v>0</v>
      </c>
      <c r="AK71" s="8">
        <f>AG71/365</f>
        <v>0</v>
      </c>
      <c r="AL71" s="8">
        <f t="shared" si="69"/>
        <v>0</v>
      </c>
      <c r="AM71" s="8">
        <f t="shared" si="71"/>
        <v>0</v>
      </c>
      <c r="AN71" s="8">
        <f>AL71*37</f>
        <v>0</v>
      </c>
      <c r="AO71" s="8">
        <f>AN71/3600/24*0.39</f>
        <v>0</v>
      </c>
      <c r="AP71" s="8">
        <f>AO71*1000*24</f>
        <v>0</v>
      </c>
      <c r="AQ71" s="381"/>
      <c r="AR71" s="397"/>
      <c r="AS71" s="397"/>
    </row>
    <row r="72" spans="2:45" ht="19.5" customHeight="1" thickBot="1" x14ac:dyDescent="0.35">
      <c r="B72" s="441"/>
      <c r="C72" s="428"/>
      <c r="D72" s="88" t="s">
        <v>10</v>
      </c>
      <c r="E72" s="25" t="s">
        <v>18</v>
      </c>
      <c r="F72" s="2"/>
      <c r="G72" s="53" t="s">
        <v>22</v>
      </c>
      <c r="H72" s="54" t="s">
        <v>20</v>
      </c>
      <c r="I72" s="51">
        <v>8</v>
      </c>
      <c r="J72" s="52" t="s">
        <v>23</v>
      </c>
      <c r="K72" s="51">
        <v>80</v>
      </c>
      <c r="L72" s="52" t="s">
        <v>44</v>
      </c>
      <c r="M72" s="51">
        <v>50</v>
      </c>
      <c r="N72" s="55" t="s">
        <v>24</v>
      </c>
      <c r="O72" s="50"/>
      <c r="P72" s="50"/>
      <c r="Q72" s="399">
        <f>O72/N72</f>
        <v>0</v>
      </c>
      <c r="R72" s="399"/>
      <c r="S72" s="12"/>
      <c r="T72" s="9">
        <f t="shared" ref="T72:T80" si="72">S72/12</f>
        <v>0</v>
      </c>
      <c r="U72" s="9">
        <f t="shared" ref="U72:U80" si="73">S72/365</f>
        <v>0</v>
      </c>
      <c r="V72" s="21">
        <f t="shared" si="64"/>
        <v>0</v>
      </c>
      <c r="W72" s="11">
        <f t="shared" si="65"/>
        <v>0</v>
      </c>
      <c r="X72" s="424"/>
      <c r="Y72" s="11">
        <f t="shared" si="66"/>
        <v>0</v>
      </c>
      <c r="Z72" s="424"/>
      <c r="AA72" s="68">
        <f t="shared" si="70"/>
        <v>0</v>
      </c>
      <c r="AB72" s="431"/>
      <c r="AC72" s="409"/>
      <c r="AD72" s="412"/>
      <c r="AE72" s="409"/>
      <c r="AF72" s="45">
        <v>200</v>
      </c>
      <c r="AG72" s="8">
        <f t="shared" si="67"/>
        <v>0</v>
      </c>
      <c r="AH72" s="8"/>
      <c r="AI72" s="8"/>
      <c r="AJ72" s="8">
        <f t="shared" si="68"/>
        <v>0</v>
      </c>
      <c r="AK72" s="8">
        <f t="shared" ref="AK72:AK80" si="74">AG72/365</f>
        <v>0</v>
      </c>
      <c r="AL72" s="8">
        <f t="shared" si="69"/>
        <v>0</v>
      </c>
      <c r="AM72" s="8">
        <f t="shared" si="71"/>
        <v>0</v>
      </c>
      <c r="AN72" s="8">
        <f t="shared" ref="AN72:AN80" si="75">AL72*37</f>
        <v>0</v>
      </c>
      <c r="AO72" s="8">
        <f t="shared" ref="AO72:AO80" si="76">AN72/3600/24*0.39</f>
        <v>0</v>
      </c>
      <c r="AP72" s="8">
        <f t="shared" ref="AP72:AP80" si="77">AO72*1000*24</f>
        <v>0</v>
      </c>
      <c r="AQ72" s="381"/>
      <c r="AR72" s="397"/>
      <c r="AS72" s="397"/>
    </row>
    <row r="73" spans="2:45" ht="30.45" customHeight="1" thickBot="1" x14ac:dyDescent="0.35">
      <c r="B73" s="441"/>
      <c r="C73" s="428"/>
      <c r="D73" s="88" t="s">
        <v>11</v>
      </c>
      <c r="E73" s="27" t="s">
        <v>58</v>
      </c>
      <c r="F73" s="24"/>
      <c r="G73" s="56" t="s">
        <v>67</v>
      </c>
      <c r="H73" s="50" t="s">
        <v>59</v>
      </c>
      <c r="I73" s="51">
        <v>12</v>
      </c>
      <c r="J73" s="50">
        <v>89</v>
      </c>
      <c r="K73" s="51">
        <v>89</v>
      </c>
      <c r="L73" s="50" t="s">
        <v>57</v>
      </c>
      <c r="M73" s="51">
        <v>51</v>
      </c>
      <c r="N73" s="50">
        <v>1.4</v>
      </c>
      <c r="O73" s="50"/>
      <c r="P73" s="50"/>
      <c r="Q73" s="399" t="s">
        <v>70</v>
      </c>
      <c r="R73" s="399"/>
      <c r="S73" s="12">
        <f>10*365</f>
        <v>3650</v>
      </c>
      <c r="T73" s="9">
        <f t="shared" si="72"/>
        <v>304.16666666666669</v>
      </c>
      <c r="U73" s="9">
        <f t="shared" si="73"/>
        <v>10</v>
      </c>
      <c r="V73" s="21">
        <f t="shared" si="64"/>
        <v>10</v>
      </c>
      <c r="W73" s="11">
        <f t="shared" si="65"/>
        <v>438</v>
      </c>
      <c r="X73" s="424"/>
      <c r="Y73" s="11">
        <f t="shared" si="66"/>
        <v>389.82</v>
      </c>
      <c r="Z73" s="424"/>
      <c r="AA73" s="68">
        <f t="shared" si="70"/>
        <v>6.7923808312398624</v>
      </c>
      <c r="AB73" s="431"/>
      <c r="AC73" s="409"/>
      <c r="AD73" s="412"/>
      <c r="AE73" s="409"/>
      <c r="AF73" s="45">
        <v>300</v>
      </c>
      <c r="AG73" s="8">
        <f t="shared" si="67"/>
        <v>116946</v>
      </c>
      <c r="AH73" s="8"/>
      <c r="AI73" s="8"/>
      <c r="AJ73" s="8">
        <f t="shared" si="68"/>
        <v>32.04</v>
      </c>
      <c r="AK73" s="8">
        <f t="shared" si="74"/>
        <v>320.39999999999998</v>
      </c>
      <c r="AL73" s="8">
        <f t="shared" si="69"/>
        <v>163.404</v>
      </c>
      <c r="AM73" s="8">
        <f t="shared" si="71"/>
        <v>59642.46</v>
      </c>
      <c r="AN73" s="8">
        <f t="shared" si="75"/>
        <v>6045.9480000000003</v>
      </c>
      <c r="AO73" s="8">
        <f t="shared" si="76"/>
        <v>2.7290737500000002E-2</v>
      </c>
      <c r="AP73" s="8">
        <f t="shared" si="77"/>
        <v>654.97770000000003</v>
      </c>
      <c r="AQ73" s="381"/>
      <c r="AR73" s="397"/>
      <c r="AS73" s="397"/>
    </row>
    <row r="74" spans="2:45" ht="29.4" thickBot="1" x14ac:dyDescent="0.35">
      <c r="B74" s="441"/>
      <c r="C74" s="428"/>
      <c r="D74" s="426" t="s">
        <v>12</v>
      </c>
      <c r="E74" s="25" t="s">
        <v>27</v>
      </c>
      <c r="F74" s="2"/>
      <c r="G74" s="57" t="s">
        <v>29</v>
      </c>
      <c r="H74" s="50" t="s">
        <v>28</v>
      </c>
      <c r="I74" s="51">
        <v>25</v>
      </c>
      <c r="J74" s="50" t="s">
        <v>60</v>
      </c>
      <c r="K74" s="51">
        <v>90</v>
      </c>
      <c r="L74" s="50">
        <v>65</v>
      </c>
      <c r="M74" s="51">
        <v>60</v>
      </c>
      <c r="N74" s="55" t="s">
        <v>61</v>
      </c>
      <c r="O74" s="50"/>
      <c r="P74" s="50"/>
      <c r="Q74" s="399">
        <v>35</v>
      </c>
      <c r="R74" s="399"/>
      <c r="S74" s="12">
        <f>10*365</f>
        <v>3650</v>
      </c>
      <c r="T74" s="9">
        <f t="shared" si="72"/>
        <v>304.16666666666669</v>
      </c>
      <c r="U74" s="9">
        <f t="shared" si="73"/>
        <v>10</v>
      </c>
      <c r="V74" s="21">
        <f t="shared" si="64"/>
        <v>10</v>
      </c>
      <c r="W74" s="11">
        <f t="shared" si="65"/>
        <v>912.5</v>
      </c>
      <c r="X74" s="424"/>
      <c r="Y74" s="11">
        <f t="shared" si="66"/>
        <v>821.25</v>
      </c>
      <c r="Z74" s="424"/>
      <c r="AA74" s="68">
        <f t="shared" si="70"/>
        <v>14.309791077050273</v>
      </c>
      <c r="AB74" s="431"/>
      <c r="AC74" s="409"/>
      <c r="AD74" s="412"/>
      <c r="AE74" s="409"/>
      <c r="AF74" s="45">
        <v>590</v>
      </c>
      <c r="AG74" s="8">
        <f t="shared" si="67"/>
        <v>484537.5</v>
      </c>
      <c r="AH74" s="8"/>
      <c r="AI74" s="8"/>
      <c r="AJ74" s="8">
        <f t="shared" si="68"/>
        <v>132.75</v>
      </c>
      <c r="AK74" s="8">
        <f t="shared" si="74"/>
        <v>1327.5</v>
      </c>
      <c r="AL74" s="8">
        <f t="shared" si="69"/>
        <v>796.5</v>
      </c>
      <c r="AM74" s="8">
        <f t="shared" si="71"/>
        <v>290722.5</v>
      </c>
      <c r="AN74" s="8">
        <f t="shared" si="75"/>
        <v>29470.5</v>
      </c>
      <c r="AO74" s="8">
        <f t="shared" si="76"/>
        <v>0.1330265625</v>
      </c>
      <c r="AP74" s="8">
        <f t="shared" si="77"/>
        <v>3192.6375000000003</v>
      </c>
      <c r="AQ74" s="381"/>
      <c r="AR74" s="397"/>
      <c r="AS74" s="397"/>
    </row>
    <row r="75" spans="2:45" ht="29.4" thickBot="1" x14ac:dyDescent="0.35">
      <c r="B75" s="441"/>
      <c r="C75" s="428"/>
      <c r="D75" s="426"/>
      <c r="E75" s="27" t="s">
        <v>158</v>
      </c>
      <c r="F75" s="2"/>
      <c r="G75" s="57" t="s">
        <v>75</v>
      </c>
      <c r="H75" s="50" t="s">
        <v>155</v>
      </c>
      <c r="I75" s="51">
        <v>12</v>
      </c>
      <c r="J75" s="50" t="s">
        <v>62</v>
      </c>
      <c r="K75" s="51">
        <v>85</v>
      </c>
      <c r="L75" s="50" t="s">
        <v>63</v>
      </c>
      <c r="M75" s="51">
        <v>55</v>
      </c>
      <c r="N75" s="50"/>
      <c r="O75" s="50"/>
      <c r="P75" s="50"/>
      <c r="Q75" s="400"/>
      <c r="R75" s="401"/>
      <c r="S75" s="13"/>
      <c r="T75" s="9">
        <f t="shared" si="72"/>
        <v>0</v>
      </c>
      <c r="U75" s="9">
        <f t="shared" si="73"/>
        <v>0</v>
      </c>
      <c r="V75" s="21">
        <f t="shared" si="64"/>
        <v>0</v>
      </c>
      <c r="W75" s="11">
        <f t="shared" si="65"/>
        <v>0</v>
      </c>
      <c r="X75" s="424"/>
      <c r="Y75" s="11">
        <f t="shared" si="66"/>
        <v>0</v>
      </c>
      <c r="Z75" s="424"/>
      <c r="AA75" s="68">
        <f t="shared" si="70"/>
        <v>0</v>
      </c>
      <c r="AB75" s="431"/>
      <c r="AC75" s="409"/>
      <c r="AD75" s="412"/>
      <c r="AE75" s="409"/>
      <c r="AF75" s="45">
        <v>500</v>
      </c>
      <c r="AG75" s="8">
        <f t="shared" si="67"/>
        <v>0</v>
      </c>
      <c r="AH75" s="8"/>
      <c r="AI75" s="8"/>
      <c r="AJ75" s="8">
        <f t="shared" si="68"/>
        <v>0</v>
      </c>
      <c r="AK75" s="8">
        <f t="shared" si="74"/>
        <v>0</v>
      </c>
      <c r="AL75" s="8">
        <f t="shared" si="69"/>
        <v>0</v>
      </c>
      <c r="AM75" s="8">
        <f t="shared" si="71"/>
        <v>0</v>
      </c>
      <c r="AN75" s="8">
        <f t="shared" si="75"/>
        <v>0</v>
      </c>
      <c r="AO75" s="8">
        <f t="shared" si="76"/>
        <v>0</v>
      </c>
      <c r="AP75" s="8">
        <f t="shared" si="77"/>
        <v>0</v>
      </c>
      <c r="AQ75" s="381"/>
      <c r="AR75" s="397"/>
      <c r="AS75" s="397"/>
    </row>
    <row r="76" spans="2:45" ht="29.4" thickBot="1" x14ac:dyDescent="0.35">
      <c r="B76" s="441"/>
      <c r="C76" s="428"/>
      <c r="D76" s="426"/>
      <c r="E76" s="27" t="s">
        <v>64</v>
      </c>
      <c r="F76" s="91"/>
      <c r="G76" s="57" t="s">
        <v>79</v>
      </c>
      <c r="H76" s="55" t="s">
        <v>21</v>
      </c>
      <c r="I76" s="51">
        <v>8</v>
      </c>
      <c r="J76" s="50" t="s">
        <v>65</v>
      </c>
      <c r="K76" s="51">
        <v>83</v>
      </c>
      <c r="L76" s="50" t="s">
        <v>66</v>
      </c>
      <c r="M76" s="51">
        <v>58</v>
      </c>
      <c r="N76" s="55" t="s">
        <v>73</v>
      </c>
      <c r="O76" s="50"/>
      <c r="P76" s="50"/>
      <c r="Q76" s="400"/>
      <c r="R76" s="401"/>
      <c r="S76" s="13">
        <f>20*365</f>
        <v>7300</v>
      </c>
      <c r="T76" s="9">
        <f t="shared" si="72"/>
        <v>608.33333333333337</v>
      </c>
      <c r="U76" s="9">
        <f t="shared" si="73"/>
        <v>20</v>
      </c>
      <c r="V76" s="21">
        <f t="shared" si="64"/>
        <v>20</v>
      </c>
      <c r="W76" s="11">
        <f t="shared" si="65"/>
        <v>584</v>
      </c>
      <c r="X76" s="424"/>
      <c r="Y76" s="11">
        <f t="shared" si="66"/>
        <v>484.71999999999997</v>
      </c>
      <c r="Z76" s="424"/>
      <c r="AA76" s="94">
        <f t="shared" si="70"/>
        <v>8.4459566890323376</v>
      </c>
      <c r="AB76" s="431"/>
      <c r="AC76" s="409"/>
      <c r="AD76" s="412"/>
      <c r="AE76" s="409"/>
      <c r="AF76" s="45">
        <v>400</v>
      </c>
      <c r="AG76" s="8">
        <f t="shared" si="67"/>
        <v>193888</v>
      </c>
      <c r="AH76" s="8"/>
      <c r="AI76" s="8"/>
      <c r="AJ76" s="8">
        <f t="shared" si="68"/>
        <v>26.56</v>
      </c>
      <c r="AK76" s="8">
        <f t="shared" si="74"/>
        <v>531.20000000000005</v>
      </c>
      <c r="AL76" s="8">
        <f t="shared" si="69"/>
        <v>308.096</v>
      </c>
      <c r="AM76" s="8">
        <f t="shared" si="71"/>
        <v>112455.04000000001</v>
      </c>
      <c r="AN76" s="8">
        <f t="shared" si="75"/>
        <v>11399.552</v>
      </c>
      <c r="AO76" s="8">
        <f t="shared" si="76"/>
        <v>5.1456311111111111E-2</v>
      </c>
      <c r="AP76" s="8">
        <f t="shared" si="77"/>
        <v>1234.9514666666666</v>
      </c>
      <c r="AQ76" s="381"/>
      <c r="AR76" s="397"/>
      <c r="AS76" s="397"/>
    </row>
    <row r="77" spans="2:45" ht="29.4" thickBot="1" x14ac:dyDescent="0.35">
      <c r="B77" s="441"/>
      <c r="C77" s="428"/>
      <c r="D77" s="88" t="s">
        <v>13</v>
      </c>
      <c r="E77" s="25" t="s">
        <v>156</v>
      </c>
      <c r="F77" s="24"/>
      <c r="G77" s="49" t="s">
        <v>37</v>
      </c>
      <c r="H77" s="50" t="s">
        <v>38</v>
      </c>
      <c r="I77" s="51">
        <v>40</v>
      </c>
      <c r="J77" s="50" t="s">
        <v>39</v>
      </c>
      <c r="K77" s="51">
        <v>97</v>
      </c>
      <c r="L77" s="50" t="s">
        <v>50</v>
      </c>
      <c r="M77" s="51">
        <v>69</v>
      </c>
      <c r="N77" s="50" t="s">
        <v>35</v>
      </c>
      <c r="O77" s="50"/>
      <c r="P77" s="50"/>
      <c r="Q77" s="399" t="s">
        <v>36</v>
      </c>
      <c r="R77" s="399"/>
      <c r="S77" s="12"/>
      <c r="T77" s="9">
        <f t="shared" si="72"/>
        <v>0</v>
      </c>
      <c r="U77" s="9">
        <f t="shared" si="73"/>
        <v>0</v>
      </c>
      <c r="V77" s="21">
        <f t="shared" si="64"/>
        <v>0</v>
      </c>
      <c r="W77" s="11">
        <f t="shared" si="65"/>
        <v>0</v>
      </c>
      <c r="X77" s="424"/>
      <c r="Y77" s="11">
        <f t="shared" si="66"/>
        <v>0</v>
      </c>
      <c r="Z77" s="424"/>
      <c r="AA77" s="68">
        <f t="shared" si="70"/>
        <v>0</v>
      </c>
      <c r="AB77" s="431"/>
      <c r="AC77" s="409"/>
      <c r="AD77" s="412"/>
      <c r="AE77" s="409"/>
      <c r="AF77" s="45">
        <v>500</v>
      </c>
      <c r="AG77" s="8">
        <f t="shared" si="67"/>
        <v>0</v>
      </c>
      <c r="AH77" s="8"/>
      <c r="AI77" s="8"/>
      <c r="AJ77" s="8">
        <f t="shared" si="68"/>
        <v>0</v>
      </c>
      <c r="AK77" s="8">
        <f t="shared" si="74"/>
        <v>0</v>
      </c>
      <c r="AL77" s="8">
        <f t="shared" si="69"/>
        <v>0</v>
      </c>
      <c r="AM77" s="8">
        <f t="shared" si="71"/>
        <v>0</v>
      </c>
      <c r="AN77" s="8">
        <f t="shared" si="75"/>
        <v>0</v>
      </c>
      <c r="AO77" s="8">
        <f t="shared" si="76"/>
        <v>0</v>
      </c>
      <c r="AP77" s="8">
        <f t="shared" si="77"/>
        <v>0</v>
      </c>
      <c r="AQ77" s="381"/>
      <c r="AR77" s="397"/>
      <c r="AS77" s="397"/>
    </row>
    <row r="78" spans="2:45" ht="29.4" thickBot="1" x14ac:dyDescent="0.35">
      <c r="B78" s="441"/>
      <c r="C78" s="428"/>
      <c r="D78" s="88" t="s">
        <v>14</v>
      </c>
      <c r="E78" s="25" t="s">
        <v>55</v>
      </c>
      <c r="F78" s="2"/>
      <c r="G78" s="49" t="s">
        <v>80</v>
      </c>
      <c r="H78" s="50" t="s">
        <v>56</v>
      </c>
      <c r="I78" s="51">
        <v>22</v>
      </c>
      <c r="J78" s="50" t="s">
        <v>30</v>
      </c>
      <c r="K78" s="51">
        <v>90</v>
      </c>
      <c r="L78" s="50" t="s">
        <v>57</v>
      </c>
      <c r="M78" s="51">
        <v>54</v>
      </c>
      <c r="N78" s="50">
        <v>1.5</v>
      </c>
      <c r="O78" s="50"/>
      <c r="P78" s="50"/>
      <c r="Q78" s="399" t="s">
        <v>72</v>
      </c>
      <c r="R78" s="399"/>
      <c r="S78" s="12">
        <f>5*365</f>
        <v>1825</v>
      </c>
      <c r="T78" s="9">
        <f t="shared" si="72"/>
        <v>152.08333333333334</v>
      </c>
      <c r="U78" s="9">
        <f t="shared" si="73"/>
        <v>5</v>
      </c>
      <c r="V78" s="21">
        <f t="shared" si="64"/>
        <v>5</v>
      </c>
      <c r="W78" s="11">
        <f t="shared" si="65"/>
        <v>401.5</v>
      </c>
      <c r="X78" s="424"/>
      <c r="Y78" s="11">
        <f t="shared" si="66"/>
        <v>361.35</v>
      </c>
      <c r="Z78" s="424"/>
      <c r="AA78" s="94">
        <f t="shared" si="70"/>
        <v>6.2963080739021198</v>
      </c>
      <c r="AB78" s="431"/>
      <c r="AC78" s="409"/>
      <c r="AD78" s="412"/>
      <c r="AE78" s="409"/>
      <c r="AF78" s="45">
        <v>170</v>
      </c>
      <c r="AG78" s="8">
        <f t="shared" si="67"/>
        <v>61429.500000000007</v>
      </c>
      <c r="AH78" s="8"/>
      <c r="AI78" s="8"/>
      <c r="AJ78" s="8">
        <f t="shared" si="68"/>
        <v>33.660000000000004</v>
      </c>
      <c r="AK78" s="8">
        <f t="shared" si="74"/>
        <v>168.3</v>
      </c>
      <c r="AL78" s="8">
        <f t="shared" si="69"/>
        <v>90.882000000000019</v>
      </c>
      <c r="AM78" s="8">
        <f t="shared" si="71"/>
        <v>33171.930000000008</v>
      </c>
      <c r="AN78" s="8">
        <f t="shared" si="75"/>
        <v>3362.6340000000009</v>
      </c>
      <c r="AO78" s="8">
        <f t="shared" si="76"/>
        <v>1.5178556250000006E-2</v>
      </c>
      <c r="AP78" s="8">
        <f t="shared" si="77"/>
        <v>364.28535000000016</v>
      </c>
      <c r="AQ78" s="381"/>
      <c r="AR78" s="397"/>
      <c r="AS78" s="397"/>
    </row>
    <row r="79" spans="2:45" ht="15" thickBot="1" x14ac:dyDescent="0.35">
      <c r="B79" s="441"/>
      <c r="C79" s="428"/>
      <c r="D79" s="88" t="s">
        <v>15</v>
      </c>
      <c r="E79" s="25" t="s">
        <v>7</v>
      </c>
      <c r="F79" s="2"/>
      <c r="G79" s="49">
        <v>5.7</v>
      </c>
      <c r="H79" s="58" t="s">
        <v>51</v>
      </c>
      <c r="I79" s="51">
        <v>21</v>
      </c>
      <c r="J79" s="50" t="s">
        <v>32</v>
      </c>
      <c r="K79" s="51">
        <v>65</v>
      </c>
      <c r="L79" s="50" t="s">
        <v>52</v>
      </c>
      <c r="M79" s="51">
        <v>58</v>
      </c>
      <c r="N79" s="50"/>
      <c r="O79" s="50"/>
      <c r="P79" s="50"/>
      <c r="Q79" s="399" t="e">
        <f>O79/N79</f>
        <v>#DIV/0!</v>
      </c>
      <c r="R79" s="399"/>
      <c r="S79" s="12">
        <f>5*365</f>
        <v>1825</v>
      </c>
      <c r="T79" s="9">
        <f t="shared" si="72"/>
        <v>152.08333333333334</v>
      </c>
      <c r="U79" s="9">
        <f t="shared" si="73"/>
        <v>5</v>
      </c>
      <c r="V79" s="21">
        <f t="shared" si="64"/>
        <v>5</v>
      </c>
      <c r="W79" s="11">
        <f t="shared" si="65"/>
        <v>383.25</v>
      </c>
      <c r="X79" s="424"/>
      <c r="Y79" s="11">
        <f t="shared" si="66"/>
        <v>249.11250000000001</v>
      </c>
      <c r="Z79" s="424"/>
      <c r="AA79" s="68">
        <f t="shared" si="70"/>
        <v>4.3406366267052494</v>
      </c>
      <c r="AB79" s="431"/>
      <c r="AC79" s="409"/>
      <c r="AD79" s="412"/>
      <c r="AE79" s="409"/>
      <c r="AF79" s="45">
        <v>580</v>
      </c>
      <c r="AG79" s="8">
        <f t="shared" si="67"/>
        <v>144485.25</v>
      </c>
      <c r="AH79" s="8"/>
      <c r="AI79" s="8"/>
      <c r="AJ79" s="8">
        <f t="shared" si="68"/>
        <v>79.17</v>
      </c>
      <c r="AK79" s="8">
        <f t="shared" si="74"/>
        <v>395.85</v>
      </c>
      <c r="AL79" s="8">
        <f t="shared" si="69"/>
        <v>229.59299999999999</v>
      </c>
      <c r="AM79" s="8">
        <f t="shared" si="71"/>
        <v>83801.444999999992</v>
      </c>
      <c r="AN79" s="8">
        <f t="shared" si="75"/>
        <v>8494.9409999999989</v>
      </c>
      <c r="AO79" s="8">
        <f t="shared" si="76"/>
        <v>3.8345219791666663E-2</v>
      </c>
      <c r="AP79" s="8">
        <f t="shared" si="77"/>
        <v>920.28527499999996</v>
      </c>
      <c r="AQ79" s="381"/>
      <c r="AR79" s="397"/>
      <c r="AS79" s="397"/>
    </row>
    <row r="80" spans="2:45" ht="58.2" thickBot="1" x14ac:dyDescent="0.35">
      <c r="B80" s="441"/>
      <c r="C80" s="428"/>
      <c r="D80" s="88" t="s">
        <v>16</v>
      </c>
      <c r="E80" s="25" t="s">
        <v>53</v>
      </c>
      <c r="F80" s="2"/>
      <c r="G80" s="59"/>
      <c r="H80" s="60" t="s">
        <v>28</v>
      </c>
      <c r="I80" s="61">
        <v>16</v>
      </c>
      <c r="J80" s="60" t="s">
        <v>34</v>
      </c>
      <c r="K80" s="61">
        <v>85</v>
      </c>
      <c r="L80" s="60" t="s">
        <v>54</v>
      </c>
      <c r="M80" s="61">
        <v>52</v>
      </c>
      <c r="N80" s="60" t="s">
        <v>76</v>
      </c>
      <c r="O80" s="60"/>
      <c r="P80" s="60"/>
      <c r="Q80" s="427" t="e">
        <f>O80/N80</f>
        <v>#VALUE!</v>
      </c>
      <c r="R80" s="427"/>
      <c r="S80" s="14"/>
      <c r="T80" s="9">
        <f t="shared" si="72"/>
        <v>0</v>
      </c>
      <c r="U80" s="9">
        <f t="shared" si="73"/>
        <v>0</v>
      </c>
      <c r="V80" s="21">
        <f t="shared" si="64"/>
        <v>0</v>
      </c>
      <c r="W80" s="11">
        <f t="shared" si="65"/>
        <v>0</v>
      </c>
      <c r="X80" s="429"/>
      <c r="Y80" s="11">
        <f t="shared" si="66"/>
        <v>0</v>
      </c>
      <c r="Z80" s="429"/>
      <c r="AA80" s="68">
        <f t="shared" si="70"/>
        <v>0</v>
      </c>
      <c r="AB80" s="431"/>
      <c r="AC80" s="409"/>
      <c r="AD80" s="412"/>
      <c r="AE80" s="409"/>
      <c r="AF80" s="46">
        <v>700</v>
      </c>
      <c r="AG80" s="8">
        <f t="shared" si="67"/>
        <v>0</v>
      </c>
      <c r="AH80" s="8"/>
      <c r="AI80" s="8"/>
      <c r="AJ80" s="8">
        <f t="shared" si="68"/>
        <v>0</v>
      </c>
      <c r="AK80" s="8">
        <f t="shared" si="74"/>
        <v>0</v>
      </c>
      <c r="AL80" s="8">
        <f t="shared" si="69"/>
        <v>0</v>
      </c>
      <c r="AM80" s="8">
        <f t="shared" si="71"/>
        <v>0</v>
      </c>
      <c r="AN80" s="8">
        <f t="shared" si="75"/>
        <v>0</v>
      </c>
      <c r="AO80" s="8">
        <f t="shared" si="76"/>
        <v>0</v>
      </c>
      <c r="AP80" s="8">
        <f t="shared" si="77"/>
        <v>0</v>
      </c>
      <c r="AQ80" s="382"/>
      <c r="AR80" s="398"/>
      <c r="AS80" s="398"/>
    </row>
    <row r="81" spans="2:45" ht="18" x14ac:dyDescent="0.3">
      <c r="B81" s="441"/>
      <c r="S81" s="17">
        <f t="shared" ref="S81:W81" si="78">SUM(S69:S80)</f>
        <v>36500</v>
      </c>
      <c r="T81" s="17">
        <f t="shared" si="78"/>
        <v>3041.666666666667</v>
      </c>
      <c r="U81" s="17">
        <f t="shared" si="78"/>
        <v>100</v>
      </c>
      <c r="V81" s="17">
        <f t="shared" si="78"/>
        <v>99.999999999999986</v>
      </c>
      <c r="W81" s="16">
        <f t="shared" si="78"/>
        <v>8741.75</v>
      </c>
      <c r="X81" s="16"/>
      <c r="Y81" s="16">
        <f>SUM(Y69:Y80)</f>
        <v>5739.0775000000012</v>
      </c>
      <c r="Z81" s="16"/>
      <c r="AA81" s="16">
        <f>SUM(AA69:AA80)</f>
        <v>100</v>
      </c>
      <c r="AB81" s="16"/>
      <c r="AC81" s="16"/>
      <c r="AD81" s="16"/>
      <c r="AE81" s="16"/>
      <c r="AF81" s="16"/>
      <c r="AG81" s="16">
        <f>SUM(AG69:AG80)</f>
        <v>2031133.75</v>
      </c>
      <c r="AH81" s="16"/>
      <c r="AI81" s="16"/>
      <c r="AJ81" s="16"/>
      <c r="AK81" s="16">
        <f t="shared" ref="AK81:AP81" si="79">SUM(AK69:AK80)</f>
        <v>5564.75</v>
      </c>
      <c r="AL81" s="18">
        <f t="shared" si="79"/>
        <v>3140.3</v>
      </c>
      <c r="AM81" s="18">
        <f t="shared" si="79"/>
        <v>1146209.5</v>
      </c>
      <c r="AN81" s="16">
        <f t="shared" si="79"/>
        <v>116191.1</v>
      </c>
      <c r="AO81" s="16">
        <f t="shared" si="79"/>
        <v>0.52447371527777786</v>
      </c>
      <c r="AP81" s="16">
        <f t="shared" si="79"/>
        <v>12587.369166666667</v>
      </c>
      <c r="AQ81" s="16"/>
      <c r="AR81" s="16"/>
    </row>
    <row r="82" spans="2:45" x14ac:dyDescent="0.3">
      <c r="B82" s="441"/>
    </row>
    <row r="83" spans="2:45" ht="15" thickBot="1" x14ac:dyDescent="0.35">
      <c r="B83" s="441"/>
    </row>
    <row r="84" spans="2:45" ht="15" thickBot="1" x14ac:dyDescent="0.35">
      <c r="B84" s="441"/>
      <c r="C84" s="416" t="s">
        <v>145</v>
      </c>
      <c r="D84" s="419" t="s">
        <v>9</v>
      </c>
      <c r="E84" s="25" t="s">
        <v>17</v>
      </c>
      <c r="F84" s="2"/>
      <c r="G84" s="62">
        <v>8.1</v>
      </c>
      <c r="H84" s="51" t="s">
        <v>42</v>
      </c>
      <c r="I84" s="51">
        <v>17</v>
      </c>
      <c r="J84" s="51" t="s">
        <v>43</v>
      </c>
      <c r="K84" s="51">
        <v>72</v>
      </c>
      <c r="L84" s="51">
        <v>58</v>
      </c>
      <c r="M84" s="51">
        <v>55</v>
      </c>
      <c r="N84" s="51">
        <v>1.77</v>
      </c>
      <c r="O84" s="51">
        <v>35.69</v>
      </c>
      <c r="P84" s="48"/>
      <c r="Q84" s="422">
        <f>O84/N84</f>
        <v>20.163841807909602</v>
      </c>
      <c r="R84" s="422"/>
      <c r="S84" s="29"/>
      <c r="T84" s="28">
        <f>S84/12</f>
        <v>0</v>
      </c>
      <c r="U84" s="31">
        <f>S84/365</f>
        <v>0</v>
      </c>
      <c r="V84" s="38">
        <f>(T84*100)/$T$96</f>
        <v>0</v>
      </c>
      <c r="W84" s="31">
        <f t="shared" ref="W84:W95" si="80">I84%*S84</f>
        <v>0</v>
      </c>
      <c r="X84" s="423">
        <f>W96/365</f>
        <v>13</v>
      </c>
      <c r="Y84" s="31">
        <f t="shared" ref="Y84:Y95" si="81">W84*K84%</f>
        <v>0</v>
      </c>
      <c r="Z84" s="402">
        <f>Y96/365</f>
        <v>10.278999999999998</v>
      </c>
      <c r="AA84" s="41">
        <f>(Y84*100)/$Y$96</f>
        <v>0</v>
      </c>
      <c r="AB84" s="405">
        <v>3.5</v>
      </c>
      <c r="AC84" s="408">
        <f>(X84-AB84)/X84</f>
        <v>0.73076923076923073</v>
      </c>
      <c r="AD84" s="411">
        <v>6.5</v>
      </c>
      <c r="AE84" s="408">
        <f>(Z84-AD84)/Z84</f>
        <v>0.36764276680610941</v>
      </c>
      <c r="AF84" s="47">
        <v>280</v>
      </c>
      <c r="AG84" s="32">
        <f t="shared" ref="AG84:AG95" si="82">Y84*AF84</f>
        <v>0</v>
      </c>
      <c r="AH84" s="32"/>
      <c r="AI84" s="32"/>
      <c r="AJ84" s="32">
        <f t="shared" ref="AJ84:AJ95" si="83">IFERROR(AG84/S84,0)</f>
        <v>0</v>
      </c>
      <c r="AK84" s="32">
        <f>AG84/365</f>
        <v>0</v>
      </c>
      <c r="AL84" s="32">
        <f t="shared" ref="AL84:AL95" si="84">IFERROR(AG84*M84%/365,0)</f>
        <v>0</v>
      </c>
      <c r="AM84" s="32">
        <f>AL84*365</f>
        <v>0</v>
      </c>
      <c r="AN84" s="32">
        <f>AL84*37</f>
        <v>0</v>
      </c>
      <c r="AO84" s="32">
        <f>AN84/3600/24*0.39</f>
        <v>0</v>
      </c>
      <c r="AP84" s="32">
        <f>AO84*1000*24</f>
        <v>0</v>
      </c>
      <c r="AQ84" s="414">
        <v>12000000</v>
      </c>
      <c r="AR84" s="396">
        <f>(Z84*1000)/3.7</f>
        <v>2778.1081081081074</v>
      </c>
      <c r="AS84" s="396">
        <f>AR84/U96</f>
        <v>37.041441441441435</v>
      </c>
    </row>
    <row r="85" spans="2:45" ht="29.4" thickBot="1" x14ac:dyDescent="0.35">
      <c r="B85" s="441"/>
      <c r="C85" s="417"/>
      <c r="D85" s="420"/>
      <c r="E85" s="25" t="s">
        <v>45</v>
      </c>
      <c r="F85" s="2"/>
      <c r="G85" s="49">
        <v>5.09</v>
      </c>
      <c r="H85" s="50" t="s">
        <v>46</v>
      </c>
      <c r="I85" s="51">
        <v>33</v>
      </c>
      <c r="J85" s="52" t="s">
        <v>47</v>
      </c>
      <c r="K85" s="51">
        <v>57</v>
      </c>
      <c r="L85" s="50">
        <v>55</v>
      </c>
      <c r="M85" s="51">
        <v>55</v>
      </c>
      <c r="N85" s="50">
        <v>4.33</v>
      </c>
      <c r="O85" s="50">
        <v>42.82</v>
      </c>
      <c r="P85" s="50"/>
      <c r="Q85" s="399">
        <f>O85/N85</f>
        <v>9.8891454965357966</v>
      </c>
      <c r="R85" s="399"/>
      <c r="S85" s="12">
        <f>5*365</f>
        <v>1825</v>
      </c>
      <c r="T85" s="9">
        <f>S85/12</f>
        <v>152.08333333333334</v>
      </c>
      <c r="U85" s="11">
        <f>S85/365</f>
        <v>5</v>
      </c>
      <c r="V85" s="39">
        <f t="shared" ref="V85:V95" si="85">(T85*100)/$T$96</f>
        <v>6.666666666666667</v>
      </c>
      <c r="W85" s="11">
        <f t="shared" si="80"/>
        <v>602.25</v>
      </c>
      <c r="X85" s="424"/>
      <c r="Y85" s="11">
        <f t="shared" si="81"/>
        <v>343.28249999999997</v>
      </c>
      <c r="Z85" s="403"/>
      <c r="AA85" s="42">
        <f t="shared" ref="AA85:AA95" si="86">(Y85*100)/$Y$96</f>
        <v>9.1497227356746773</v>
      </c>
      <c r="AB85" s="406"/>
      <c r="AC85" s="409"/>
      <c r="AD85" s="412"/>
      <c r="AE85" s="409"/>
      <c r="AF85" s="45">
        <v>300</v>
      </c>
      <c r="AG85" s="8">
        <f t="shared" si="82"/>
        <v>102984.74999999999</v>
      </c>
      <c r="AH85" s="8"/>
      <c r="AI85" s="8"/>
      <c r="AJ85" s="8">
        <f t="shared" si="83"/>
        <v>56.429999999999993</v>
      </c>
      <c r="AK85" s="8">
        <f>AG85/365</f>
        <v>282.14999999999998</v>
      </c>
      <c r="AL85" s="8">
        <f t="shared" si="84"/>
        <v>155.18249999999998</v>
      </c>
      <c r="AM85" s="8">
        <f t="shared" ref="AM85:AM95" si="87">AL85*365</f>
        <v>56641.612499999988</v>
      </c>
      <c r="AN85" s="8">
        <f>AL85*37</f>
        <v>5741.7524999999987</v>
      </c>
      <c r="AO85" s="8">
        <f>AN85/3600/24*0.39</f>
        <v>2.5917632812499994E-2</v>
      </c>
      <c r="AP85" s="8">
        <f>AO85*1000*24</f>
        <v>622.02318749999995</v>
      </c>
      <c r="AQ85" s="381"/>
      <c r="AR85" s="397"/>
      <c r="AS85" s="397"/>
    </row>
    <row r="86" spans="2:45" ht="15" thickBot="1" x14ac:dyDescent="0.35">
      <c r="B86" s="441"/>
      <c r="C86" s="417"/>
      <c r="D86" s="421"/>
      <c r="E86" s="27" t="s">
        <v>6</v>
      </c>
      <c r="F86" s="24"/>
      <c r="G86" s="49">
        <v>7.8</v>
      </c>
      <c r="H86" s="50" t="s">
        <v>48</v>
      </c>
      <c r="I86" s="51">
        <v>20</v>
      </c>
      <c r="J86" s="50" t="s">
        <v>154</v>
      </c>
      <c r="K86" s="51">
        <v>68</v>
      </c>
      <c r="L86" s="50">
        <v>58</v>
      </c>
      <c r="M86" s="51">
        <v>60</v>
      </c>
      <c r="N86" s="50">
        <v>2.15</v>
      </c>
      <c r="O86" s="50">
        <v>38.4</v>
      </c>
      <c r="P86" s="50"/>
      <c r="Q86" s="399">
        <f>O86/N86</f>
        <v>17.86046511627907</v>
      </c>
      <c r="R86" s="399"/>
      <c r="S86" s="12">
        <f>5*365</f>
        <v>1825</v>
      </c>
      <c r="T86" s="9">
        <f>S86/12</f>
        <v>152.08333333333334</v>
      </c>
      <c r="U86" s="11">
        <f>S86/365</f>
        <v>5</v>
      </c>
      <c r="V86" s="39">
        <f t="shared" si="85"/>
        <v>6.666666666666667</v>
      </c>
      <c r="W86" s="11">
        <f t="shared" si="80"/>
        <v>365</v>
      </c>
      <c r="X86" s="424"/>
      <c r="Y86" s="11">
        <f t="shared" si="81"/>
        <v>248.20000000000002</v>
      </c>
      <c r="Z86" s="403"/>
      <c r="AA86" s="42">
        <f t="shared" si="86"/>
        <v>6.6154295164899315</v>
      </c>
      <c r="AB86" s="406"/>
      <c r="AC86" s="409"/>
      <c r="AD86" s="412"/>
      <c r="AE86" s="409"/>
      <c r="AF86" s="45">
        <v>280</v>
      </c>
      <c r="AG86" s="8">
        <f t="shared" si="82"/>
        <v>69496</v>
      </c>
      <c r="AH86" s="8"/>
      <c r="AI86" s="8"/>
      <c r="AJ86" s="8">
        <f t="shared" si="83"/>
        <v>38.08</v>
      </c>
      <c r="AK86" s="8">
        <f>AG86/365</f>
        <v>190.4</v>
      </c>
      <c r="AL86" s="8">
        <f t="shared" si="84"/>
        <v>114.24</v>
      </c>
      <c r="AM86" s="8">
        <f t="shared" si="87"/>
        <v>41697.599999999999</v>
      </c>
      <c r="AN86" s="8">
        <f>AL86*37</f>
        <v>4226.88</v>
      </c>
      <c r="AO86" s="8">
        <f>AN86/3600/24*0.39</f>
        <v>1.9079666666666668E-2</v>
      </c>
      <c r="AP86" s="8">
        <f>AO86*1000*24</f>
        <v>457.91200000000003</v>
      </c>
      <c r="AQ86" s="381"/>
      <c r="AR86" s="397"/>
      <c r="AS86" s="397"/>
    </row>
    <row r="87" spans="2:45" ht="21.45" customHeight="1" thickBot="1" x14ac:dyDescent="0.35">
      <c r="B87" s="441"/>
      <c r="C87" s="417"/>
      <c r="D87" s="88" t="s">
        <v>10</v>
      </c>
      <c r="E87" s="25" t="s">
        <v>18</v>
      </c>
      <c r="F87" s="2"/>
      <c r="G87" s="53" t="s">
        <v>22</v>
      </c>
      <c r="H87" s="54" t="s">
        <v>20</v>
      </c>
      <c r="I87" s="51">
        <v>8</v>
      </c>
      <c r="J87" s="52" t="s">
        <v>23</v>
      </c>
      <c r="K87" s="51">
        <v>80</v>
      </c>
      <c r="L87" s="52" t="s">
        <v>44</v>
      </c>
      <c r="M87" s="51">
        <v>50</v>
      </c>
      <c r="N87" s="55" t="s">
        <v>24</v>
      </c>
      <c r="O87" s="50"/>
      <c r="P87" s="50"/>
      <c r="Q87" s="399">
        <f>O87/N87</f>
        <v>0</v>
      </c>
      <c r="R87" s="399"/>
      <c r="S87" s="12"/>
      <c r="T87" s="9">
        <f t="shared" ref="T87:T95" si="88">S87/12</f>
        <v>0</v>
      </c>
      <c r="U87" s="11">
        <f t="shared" ref="U87:U95" si="89">S87/365</f>
        <v>0</v>
      </c>
      <c r="V87" s="39">
        <f t="shared" si="85"/>
        <v>0</v>
      </c>
      <c r="W87" s="11">
        <f t="shared" si="80"/>
        <v>0</v>
      </c>
      <c r="X87" s="424"/>
      <c r="Y87" s="11">
        <f t="shared" si="81"/>
        <v>0</v>
      </c>
      <c r="Z87" s="403"/>
      <c r="AA87" s="42">
        <f t="shared" si="86"/>
        <v>0</v>
      </c>
      <c r="AB87" s="406"/>
      <c r="AC87" s="409"/>
      <c r="AD87" s="412"/>
      <c r="AE87" s="409"/>
      <c r="AF87" s="45">
        <v>200</v>
      </c>
      <c r="AG87" s="8">
        <f t="shared" si="82"/>
        <v>0</v>
      </c>
      <c r="AH87" s="8"/>
      <c r="AI87" s="8"/>
      <c r="AJ87" s="8">
        <f t="shared" si="83"/>
        <v>0</v>
      </c>
      <c r="AK87" s="8">
        <f t="shared" ref="AK87:AK95" si="90">AG87/365</f>
        <v>0</v>
      </c>
      <c r="AL87" s="8">
        <f t="shared" si="84"/>
        <v>0</v>
      </c>
      <c r="AM87" s="8">
        <f t="shared" si="87"/>
        <v>0</v>
      </c>
      <c r="AN87" s="8">
        <f t="shared" ref="AN87:AN95" si="91">AL87*37</f>
        <v>0</v>
      </c>
      <c r="AO87" s="8">
        <f t="shared" ref="AO87:AO95" si="92">AN87/3600/24*0.39</f>
        <v>0</v>
      </c>
      <c r="AP87" s="8">
        <f t="shared" ref="AP87:AP95" si="93">AO87*1000*24</f>
        <v>0</v>
      </c>
      <c r="AQ87" s="381"/>
      <c r="AR87" s="397"/>
      <c r="AS87" s="397"/>
    </row>
    <row r="88" spans="2:45" ht="33.450000000000003" customHeight="1" thickBot="1" x14ac:dyDescent="0.35">
      <c r="B88" s="441"/>
      <c r="C88" s="417"/>
      <c r="D88" s="88" t="s">
        <v>11</v>
      </c>
      <c r="E88" s="27" t="s">
        <v>58</v>
      </c>
      <c r="F88" s="24"/>
      <c r="G88" s="56" t="s">
        <v>67</v>
      </c>
      <c r="H88" s="50" t="s">
        <v>59</v>
      </c>
      <c r="I88" s="51">
        <v>12</v>
      </c>
      <c r="J88" s="50">
        <v>89</v>
      </c>
      <c r="K88" s="51">
        <v>89</v>
      </c>
      <c r="L88" s="50" t="s">
        <v>57</v>
      </c>
      <c r="M88" s="51">
        <v>51</v>
      </c>
      <c r="N88" s="50">
        <v>1.4</v>
      </c>
      <c r="O88" s="50"/>
      <c r="P88" s="50"/>
      <c r="Q88" s="399" t="s">
        <v>70</v>
      </c>
      <c r="R88" s="399"/>
      <c r="S88" s="12">
        <f>5*365</f>
        <v>1825</v>
      </c>
      <c r="T88" s="9">
        <f t="shared" si="88"/>
        <v>152.08333333333334</v>
      </c>
      <c r="U88" s="11">
        <f t="shared" si="89"/>
        <v>5</v>
      </c>
      <c r="V88" s="39">
        <f t="shared" si="85"/>
        <v>6.666666666666667</v>
      </c>
      <c r="W88" s="11">
        <f t="shared" si="80"/>
        <v>219</v>
      </c>
      <c r="X88" s="424"/>
      <c r="Y88" s="11">
        <f t="shared" si="81"/>
        <v>194.91</v>
      </c>
      <c r="Z88" s="403"/>
      <c r="AA88" s="42">
        <f t="shared" si="86"/>
        <v>5.1950578850082696</v>
      </c>
      <c r="AB88" s="406"/>
      <c r="AC88" s="409"/>
      <c r="AD88" s="412"/>
      <c r="AE88" s="409"/>
      <c r="AF88" s="45">
        <v>300</v>
      </c>
      <c r="AG88" s="8">
        <f t="shared" si="82"/>
        <v>58473</v>
      </c>
      <c r="AH88" s="8"/>
      <c r="AI88" s="8"/>
      <c r="AJ88" s="8">
        <f t="shared" si="83"/>
        <v>32.04</v>
      </c>
      <c r="AK88" s="8">
        <f t="shared" si="90"/>
        <v>160.19999999999999</v>
      </c>
      <c r="AL88" s="8">
        <f t="shared" si="84"/>
        <v>81.701999999999998</v>
      </c>
      <c r="AM88" s="8">
        <f t="shared" si="87"/>
        <v>29821.23</v>
      </c>
      <c r="AN88" s="8">
        <f t="shared" si="91"/>
        <v>3022.9740000000002</v>
      </c>
      <c r="AO88" s="8">
        <f t="shared" si="92"/>
        <v>1.3645368750000001E-2</v>
      </c>
      <c r="AP88" s="8">
        <f t="shared" si="93"/>
        <v>327.48885000000001</v>
      </c>
      <c r="AQ88" s="381"/>
      <c r="AR88" s="397"/>
      <c r="AS88" s="397"/>
    </row>
    <row r="89" spans="2:45" ht="29.4" thickBot="1" x14ac:dyDescent="0.35">
      <c r="B89" s="441"/>
      <c r="C89" s="417"/>
      <c r="D89" s="426" t="s">
        <v>12</v>
      </c>
      <c r="E89" s="27" t="s">
        <v>27</v>
      </c>
      <c r="F89" s="24"/>
      <c r="G89" s="57" t="s">
        <v>29</v>
      </c>
      <c r="H89" s="50" t="s">
        <v>28</v>
      </c>
      <c r="I89" s="51">
        <v>25</v>
      </c>
      <c r="J89" s="50" t="s">
        <v>60</v>
      </c>
      <c r="K89" s="51">
        <v>90</v>
      </c>
      <c r="L89" s="50">
        <v>65</v>
      </c>
      <c r="M89" s="51">
        <v>60</v>
      </c>
      <c r="N89" s="55" t="s">
        <v>61</v>
      </c>
      <c r="O89" s="50"/>
      <c r="P89" s="50"/>
      <c r="Q89" s="399">
        <v>35</v>
      </c>
      <c r="R89" s="399"/>
      <c r="S89" s="12"/>
      <c r="T89" s="9">
        <f t="shared" si="88"/>
        <v>0</v>
      </c>
      <c r="U89" s="11">
        <f t="shared" si="89"/>
        <v>0</v>
      </c>
      <c r="V89" s="39">
        <f t="shared" si="85"/>
        <v>0</v>
      </c>
      <c r="W89" s="11">
        <f t="shared" si="80"/>
        <v>0</v>
      </c>
      <c r="X89" s="424"/>
      <c r="Y89" s="11">
        <f t="shared" si="81"/>
        <v>0</v>
      </c>
      <c r="Z89" s="403"/>
      <c r="AA89" s="67">
        <f t="shared" si="86"/>
        <v>0</v>
      </c>
      <c r="AB89" s="406"/>
      <c r="AC89" s="409"/>
      <c r="AD89" s="412"/>
      <c r="AE89" s="409"/>
      <c r="AF89" s="45">
        <v>590</v>
      </c>
      <c r="AG89" s="8">
        <f t="shared" si="82"/>
        <v>0</v>
      </c>
      <c r="AH89" s="8"/>
      <c r="AI89" s="8"/>
      <c r="AJ89" s="8">
        <f t="shared" si="83"/>
        <v>0</v>
      </c>
      <c r="AK89" s="8">
        <f t="shared" si="90"/>
        <v>0</v>
      </c>
      <c r="AL89" s="8">
        <f t="shared" si="84"/>
        <v>0</v>
      </c>
      <c r="AM89" s="8">
        <f t="shared" si="87"/>
        <v>0</v>
      </c>
      <c r="AN89" s="8">
        <f t="shared" si="91"/>
        <v>0</v>
      </c>
      <c r="AO89" s="8">
        <f t="shared" si="92"/>
        <v>0</v>
      </c>
      <c r="AP89" s="8">
        <f t="shared" si="93"/>
        <v>0</v>
      </c>
      <c r="AQ89" s="381"/>
      <c r="AR89" s="397"/>
      <c r="AS89" s="397"/>
    </row>
    <row r="90" spans="2:45" ht="29.4" thickBot="1" x14ac:dyDescent="0.35">
      <c r="B90" s="441"/>
      <c r="C90" s="417"/>
      <c r="D90" s="426"/>
      <c r="E90" s="27" t="s">
        <v>158</v>
      </c>
      <c r="F90" s="2"/>
      <c r="G90" s="57" t="s">
        <v>75</v>
      </c>
      <c r="H90" s="50" t="s">
        <v>155</v>
      </c>
      <c r="I90" s="51">
        <v>12</v>
      </c>
      <c r="J90" s="50" t="s">
        <v>62</v>
      </c>
      <c r="K90" s="51">
        <v>85</v>
      </c>
      <c r="L90" s="50" t="s">
        <v>63</v>
      </c>
      <c r="M90" s="51">
        <v>55</v>
      </c>
      <c r="N90" s="50"/>
      <c r="O90" s="50"/>
      <c r="P90" s="50"/>
      <c r="Q90" s="400"/>
      <c r="R90" s="401"/>
      <c r="S90" s="13"/>
      <c r="T90" s="9">
        <f t="shared" si="88"/>
        <v>0</v>
      </c>
      <c r="U90" s="11">
        <f t="shared" si="89"/>
        <v>0</v>
      </c>
      <c r="V90" s="39">
        <f t="shared" si="85"/>
        <v>0</v>
      </c>
      <c r="W90" s="11">
        <f t="shared" si="80"/>
        <v>0</v>
      </c>
      <c r="X90" s="424"/>
      <c r="Y90" s="11">
        <f t="shared" si="81"/>
        <v>0</v>
      </c>
      <c r="Z90" s="403"/>
      <c r="AA90" s="42">
        <f t="shared" si="86"/>
        <v>0</v>
      </c>
      <c r="AB90" s="406"/>
      <c r="AC90" s="409"/>
      <c r="AD90" s="412"/>
      <c r="AE90" s="409"/>
      <c r="AF90" s="45">
        <v>500</v>
      </c>
      <c r="AG90" s="8">
        <f t="shared" si="82"/>
        <v>0</v>
      </c>
      <c r="AH90" s="8"/>
      <c r="AI90" s="8"/>
      <c r="AJ90" s="8">
        <f t="shared" si="83"/>
        <v>0</v>
      </c>
      <c r="AK90" s="8">
        <f t="shared" si="90"/>
        <v>0</v>
      </c>
      <c r="AL90" s="8">
        <f t="shared" si="84"/>
        <v>0</v>
      </c>
      <c r="AM90" s="8">
        <f t="shared" si="87"/>
        <v>0</v>
      </c>
      <c r="AN90" s="8">
        <f t="shared" si="91"/>
        <v>0</v>
      </c>
      <c r="AO90" s="8">
        <f t="shared" si="92"/>
        <v>0</v>
      </c>
      <c r="AP90" s="8">
        <f t="shared" si="93"/>
        <v>0</v>
      </c>
      <c r="AQ90" s="381"/>
      <c r="AR90" s="397"/>
      <c r="AS90" s="397"/>
    </row>
    <row r="91" spans="2:45" ht="29.4" thickBot="1" x14ac:dyDescent="0.35">
      <c r="B91" s="441"/>
      <c r="C91" s="417"/>
      <c r="D91" s="426"/>
      <c r="E91" s="27" t="s">
        <v>64</v>
      </c>
      <c r="F91" s="24"/>
      <c r="G91" s="57" t="s">
        <v>79</v>
      </c>
      <c r="H91" s="55" t="s">
        <v>21</v>
      </c>
      <c r="I91" s="51">
        <v>8</v>
      </c>
      <c r="J91" s="50" t="s">
        <v>65</v>
      </c>
      <c r="K91" s="51">
        <v>83</v>
      </c>
      <c r="L91" s="50" t="s">
        <v>66</v>
      </c>
      <c r="M91" s="51">
        <v>58</v>
      </c>
      <c r="N91" s="55" t="s">
        <v>73</v>
      </c>
      <c r="O91" s="50"/>
      <c r="P91" s="50"/>
      <c r="Q91" s="400"/>
      <c r="R91" s="401"/>
      <c r="S91" s="13">
        <f>5*365</f>
        <v>1825</v>
      </c>
      <c r="T91" s="9">
        <f t="shared" si="88"/>
        <v>152.08333333333334</v>
      </c>
      <c r="U91" s="11">
        <f t="shared" si="89"/>
        <v>5</v>
      </c>
      <c r="V91" s="39">
        <f t="shared" si="85"/>
        <v>6.666666666666667</v>
      </c>
      <c r="W91" s="11">
        <f t="shared" si="80"/>
        <v>146</v>
      </c>
      <c r="X91" s="424"/>
      <c r="Y91" s="11">
        <f t="shared" si="81"/>
        <v>121.17999999999999</v>
      </c>
      <c r="Z91" s="403"/>
      <c r="AA91" s="42">
        <f t="shared" si="86"/>
        <v>3.2298861756980255</v>
      </c>
      <c r="AB91" s="406"/>
      <c r="AC91" s="409"/>
      <c r="AD91" s="412"/>
      <c r="AE91" s="409"/>
      <c r="AF91" s="45">
        <v>400</v>
      </c>
      <c r="AG91" s="8">
        <f t="shared" si="82"/>
        <v>48472</v>
      </c>
      <c r="AH91" s="8"/>
      <c r="AI91" s="8"/>
      <c r="AJ91" s="8">
        <f t="shared" si="83"/>
        <v>26.56</v>
      </c>
      <c r="AK91" s="8">
        <f t="shared" si="90"/>
        <v>132.80000000000001</v>
      </c>
      <c r="AL91" s="8">
        <f t="shared" si="84"/>
        <v>77.024000000000001</v>
      </c>
      <c r="AM91" s="8">
        <f t="shared" si="87"/>
        <v>28113.760000000002</v>
      </c>
      <c r="AN91" s="8">
        <f t="shared" si="91"/>
        <v>2849.8879999999999</v>
      </c>
      <c r="AO91" s="8">
        <f t="shared" si="92"/>
        <v>1.2864077777777778E-2</v>
      </c>
      <c r="AP91" s="8">
        <f t="shared" si="93"/>
        <v>308.73786666666666</v>
      </c>
      <c r="AQ91" s="381"/>
      <c r="AR91" s="397"/>
      <c r="AS91" s="397"/>
    </row>
    <row r="92" spans="2:45" ht="29.4" thickBot="1" x14ac:dyDescent="0.35">
      <c r="B92" s="441"/>
      <c r="C92" s="417"/>
      <c r="D92" s="88" t="s">
        <v>13</v>
      </c>
      <c r="E92" s="25" t="s">
        <v>156</v>
      </c>
      <c r="F92" s="24"/>
      <c r="G92" s="49" t="s">
        <v>37</v>
      </c>
      <c r="H92" s="50" t="s">
        <v>38</v>
      </c>
      <c r="I92" s="51">
        <v>40</v>
      </c>
      <c r="J92" s="50" t="s">
        <v>39</v>
      </c>
      <c r="K92" s="51">
        <v>97</v>
      </c>
      <c r="L92" s="50" t="s">
        <v>50</v>
      </c>
      <c r="M92" s="51">
        <v>69</v>
      </c>
      <c r="N92" s="50" t="s">
        <v>35</v>
      </c>
      <c r="O92" s="50"/>
      <c r="P92" s="50"/>
      <c r="Q92" s="399" t="s">
        <v>36</v>
      </c>
      <c r="R92" s="399"/>
      <c r="S92" s="12"/>
      <c r="T92" s="9">
        <f t="shared" si="88"/>
        <v>0</v>
      </c>
      <c r="U92" s="11">
        <f t="shared" si="89"/>
        <v>0</v>
      </c>
      <c r="V92" s="39">
        <f t="shared" si="85"/>
        <v>0</v>
      </c>
      <c r="W92" s="11">
        <f t="shared" si="80"/>
        <v>0</v>
      </c>
      <c r="X92" s="424"/>
      <c r="Y92" s="11">
        <f t="shared" si="81"/>
        <v>0</v>
      </c>
      <c r="Z92" s="403"/>
      <c r="AA92" s="42">
        <f t="shared" si="86"/>
        <v>0</v>
      </c>
      <c r="AB92" s="406"/>
      <c r="AC92" s="409"/>
      <c r="AD92" s="412"/>
      <c r="AE92" s="409"/>
      <c r="AF92" s="45">
        <v>500</v>
      </c>
      <c r="AG92" s="8">
        <f t="shared" si="82"/>
        <v>0</v>
      </c>
      <c r="AH92" s="8"/>
      <c r="AI92" s="8"/>
      <c r="AJ92" s="8">
        <f t="shared" si="83"/>
        <v>0</v>
      </c>
      <c r="AK92" s="8">
        <f t="shared" si="90"/>
        <v>0</v>
      </c>
      <c r="AL92" s="8">
        <f t="shared" si="84"/>
        <v>0</v>
      </c>
      <c r="AM92" s="8">
        <f t="shared" si="87"/>
        <v>0</v>
      </c>
      <c r="AN92" s="8">
        <f t="shared" si="91"/>
        <v>0</v>
      </c>
      <c r="AO92" s="8">
        <f t="shared" si="92"/>
        <v>0</v>
      </c>
      <c r="AP92" s="8">
        <f t="shared" si="93"/>
        <v>0</v>
      </c>
      <c r="AQ92" s="381"/>
      <c r="AR92" s="397"/>
      <c r="AS92" s="397"/>
    </row>
    <row r="93" spans="2:45" ht="29.4" thickBot="1" x14ac:dyDescent="0.35">
      <c r="B93" s="441"/>
      <c r="C93" s="417"/>
      <c r="D93" s="88" t="s">
        <v>14</v>
      </c>
      <c r="E93" s="25" t="s">
        <v>55</v>
      </c>
      <c r="F93" s="2"/>
      <c r="G93" s="49" t="s">
        <v>80</v>
      </c>
      <c r="H93" s="50" t="s">
        <v>56</v>
      </c>
      <c r="I93" s="51">
        <v>22</v>
      </c>
      <c r="J93" s="50" t="s">
        <v>30</v>
      </c>
      <c r="K93" s="51">
        <v>90</v>
      </c>
      <c r="L93" s="50" t="s">
        <v>57</v>
      </c>
      <c r="M93" s="51">
        <v>54</v>
      </c>
      <c r="N93" s="50">
        <v>1.5</v>
      </c>
      <c r="O93" s="50"/>
      <c r="P93" s="50"/>
      <c r="Q93" s="399" t="s">
        <v>72</v>
      </c>
      <c r="R93" s="399"/>
      <c r="S93" s="12">
        <f>5*365</f>
        <v>1825</v>
      </c>
      <c r="T93" s="9">
        <f t="shared" si="88"/>
        <v>152.08333333333334</v>
      </c>
      <c r="U93" s="11">
        <f t="shared" si="89"/>
        <v>5</v>
      </c>
      <c r="V93" s="39">
        <f t="shared" si="85"/>
        <v>6.666666666666667</v>
      </c>
      <c r="W93" s="11">
        <f t="shared" si="80"/>
        <v>401.5</v>
      </c>
      <c r="X93" s="424"/>
      <c r="Y93" s="11">
        <f t="shared" si="81"/>
        <v>361.35</v>
      </c>
      <c r="Z93" s="403"/>
      <c r="AA93" s="42">
        <f t="shared" si="86"/>
        <v>9.6312870901838714</v>
      </c>
      <c r="AB93" s="406"/>
      <c r="AC93" s="409"/>
      <c r="AD93" s="412"/>
      <c r="AE93" s="409"/>
      <c r="AF93" s="45">
        <v>170</v>
      </c>
      <c r="AG93" s="8">
        <f t="shared" si="82"/>
        <v>61429.500000000007</v>
      </c>
      <c r="AH93" s="8"/>
      <c r="AI93" s="8"/>
      <c r="AJ93" s="8">
        <f t="shared" si="83"/>
        <v>33.660000000000004</v>
      </c>
      <c r="AK93" s="8">
        <f t="shared" si="90"/>
        <v>168.3</v>
      </c>
      <c r="AL93" s="8">
        <f t="shared" si="84"/>
        <v>90.882000000000019</v>
      </c>
      <c r="AM93" s="8">
        <f t="shared" si="87"/>
        <v>33171.930000000008</v>
      </c>
      <c r="AN93" s="8">
        <f t="shared" si="91"/>
        <v>3362.6340000000009</v>
      </c>
      <c r="AO93" s="8">
        <f t="shared" si="92"/>
        <v>1.5178556250000006E-2</v>
      </c>
      <c r="AP93" s="8">
        <f t="shared" si="93"/>
        <v>364.28535000000016</v>
      </c>
      <c r="AQ93" s="381"/>
      <c r="AR93" s="397"/>
      <c r="AS93" s="397"/>
    </row>
    <row r="94" spans="2:45" ht="15" thickBot="1" x14ac:dyDescent="0.35">
      <c r="B94" s="441"/>
      <c r="C94" s="417"/>
      <c r="D94" s="88" t="s">
        <v>15</v>
      </c>
      <c r="E94" s="25" t="s">
        <v>7</v>
      </c>
      <c r="F94" s="2"/>
      <c r="G94" s="49">
        <v>5.7</v>
      </c>
      <c r="H94" s="58" t="s">
        <v>51</v>
      </c>
      <c r="I94" s="51">
        <v>21</v>
      </c>
      <c r="J94" s="50" t="s">
        <v>32</v>
      </c>
      <c r="K94" s="51">
        <v>65</v>
      </c>
      <c r="L94" s="50" t="s">
        <v>52</v>
      </c>
      <c r="M94" s="51">
        <v>58</v>
      </c>
      <c r="N94" s="50"/>
      <c r="O94" s="50"/>
      <c r="P94" s="50"/>
      <c r="Q94" s="399" t="e">
        <f>O94/N94</f>
        <v>#DIV/0!</v>
      </c>
      <c r="R94" s="399"/>
      <c r="S94" s="12">
        <f>5*365</f>
        <v>1825</v>
      </c>
      <c r="T94" s="9">
        <f t="shared" si="88"/>
        <v>152.08333333333334</v>
      </c>
      <c r="U94" s="11">
        <f t="shared" si="89"/>
        <v>5</v>
      </c>
      <c r="V94" s="39">
        <f t="shared" si="85"/>
        <v>6.666666666666667</v>
      </c>
      <c r="W94" s="11">
        <f t="shared" si="80"/>
        <v>383.25</v>
      </c>
      <c r="X94" s="424"/>
      <c r="Y94" s="11">
        <f t="shared" si="81"/>
        <v>249.11250000000001</v>
      </c>
      <c r="Z94" s="403"/>
      <c r="AA94" s="42">
        <f t="shared" si="86"/>
        <v>6.6397509485358501</v>
      </c>
      <c r="AB94" s="406"/>
      <c r="AC94" s="409"/>
      <c r="AD94" s="412"/>
      <c r="AE94" s="409"/>
      <c r="AF94" s="45">
        <v>580</v>
      </c>
      <c r="AG94" s="8">
        <f t="shared" si="82"/>
        <v>144485.25</v>
      </c>
      <c r="AH94" s="8"/>
      <c r="AI94" s="8"/>
      <c r="AJ94" s="8">
        <f t="shared" si="83"/>
        <v>79.17</v>
      </c>
      <c r="AK94" s="8">
        <f t="shared" si="90"/>
        <v>395.85</v>
      </c>
      <c r="AL94" s="8">
        <f t="shared" si="84"/>
        <v>229.59299999999999</v>
      </c>
      <c r="AM94" s="8">
        <f t="shared" si="87"/>
        <v>83801.444999999992</v>
      </c>
      <c r="AN94" s="8">
        <f t="shared" si="91"/>
        <v>8494.9409999999989</v>
      </c>
      <c r="AO94" s="8">
        <f t="shared" si="92"/>
        <v>3.8345219791666663E-2</v>
      </c>
      <c r="AP94" s="8">
        <f t="shared" si="93"/>
        <v>920.28527499999996</v>
      </c>
      <c r="AQ94" s="381"/>
      <c r="AR94" s="397"/>
      <c r="AS94" s="397"/>
    </row>
    <row r="95" spans="2:45" ht="72.599999999999994" thickBot="1" x14ac:dyDescent="0.35">
      <c r="B95" s="441"/>
      <c r="C95" s="418"/>
      <c r="D95" s="88" t="s">
        <v>16</v>
      </c>
      <c r="E95" s="26" t="s">
        <v>53</v>
      </c>
      <c r="F95" s="24" t="s">
        <v>112</v>
      </c>
      <c r="G95" s="59"/>
      <c r="H95" s="60" t="s">
        <v>28</v>
      </c>
      <c r="I95" s="61">
        <v>16</v>
      </c>
      <c r="J95" s="60" t="s">
        <v>34</v>
      </c>
      <c r="K95" s="61">
        <v>85</v>
      </c>
      <c r="L95" s="60" t="s">
        <v>54</v>
      </c>
      <c r="M95" s="61">
        <v>52</v>
      </c>
      <c r="N95" s="60" t="s">
        <v>76</v>
      </c>
      <c r="O95" s="60"/>
      <c r="P95" s="60"/>
      <c r="Q95" s="427" t="e">
        <f>O95/N95</f>
        <v>#VALUE!</v>
      </c>
      <c r="R95" s="427"/>
      <c r="S95" s="14">
        <f>45*365</f>
        <v>16425</v>
      </c>
      <c r="T95" s="33">
        <f t="shared" si="88"/>
        <v>1368.75</v>
      </c>
      <c r="U95" s="35">
        <f t="shared" si="89"/>
        <v>45</v>
      </c>
      <c r="V95" s="40">
        <f t="shared" si="85"/>
        <v>60</v>
      </c>
      <c r="W95" s="35">
        <f t="shared" si="80"/>
        <v>2628</v>
      </c>
      <c r="X95" s="425"/>
      <c r="Y95" s="35">
        <f t="shared" si="81"/>
        <v>2233.7999999999997</v>
      </c>
      <c r="Z95" s="404"/>
      <c r="AA95" s="43">
        <f t="shared" si="86"/>
        <v>59.538865648409377</v>
      </c>
      <c r="AB95" s="407"/>
      <c r="AC95" s="410"/>
      <c r="AD95" s="413"/>
      <c r="AE95" s="410"/>
      <c r="AF95" s="46">
        <v>700</v>
      </c>
      <c r="AG95" s="36">
        <f t="shared" si="82"/>
        <v>1563659.9999999998</v>
      </c>
      <c r="AH95" s="36"/>
      <c r="AI95" s="36"/>
      <c r="AJ95" s="36">
        <f t="shared" si="83"/>
        <v>95.199999999999989</v>
      </c>
      <c r="AK95" s="36">
        <f t="shared" si="90"/>
        <v>4283.9999999999991</v>
      </c>
      <c r="AL95" s="36">
        <f t="shared" si="84"/>
        <v>2227.6799999999998</v>
      </c>
      <c r="AM95" s="36">
        <f t="shared" si="87"/>
        <v>813103.2</v>
      </c>
      <c r="AN95" s="36">
        <f t="shared" si="91"/>
        <v>82424.159999999989</v>
      </c>
      <c r="AO95" s="36">
        <f t="shared" si="92"/>
        <v>0.37205349999999998</v>
      </c>
      <c r="AP95" s="36">
        <f t="shared" si="93"/>
        <v>8929.2839999999997</v>
      </c>
      <c r="AQ95" s="415"/>
      <c r="AR95" s="398"/>
      <c r="AS95" s="398"/>
    </row>
    <row r="96" spans="2:45" ht="18" x14ac:dyDescent="0.3">
      <c r="B96" s="441"/>
      <c r="S96" s="17">
        <f t="shared" ref="S96:W96" si="94">SUM(S84:S95)</f>
        <v>27375</v>
      </c>
      <c r="T96" s="17">
        <f t="shared" si="94"/>
        <v>2281.25</v>
      </c>
      <c r="U96" s="17">
        <f t="shared" si="94"/>
        <v>75</v>
      </c>
      <c r="V96" s="17">
        <f t="shared" si="94"/>
        <v>100</v>
      </c>
      <c r="W96" s="16">
        <f t="shared" si="94"/>
        <v>4745</v>
      </c>
      <c r="X96" s="16"/>
      <c r="Y96" s="16">
        <f>SUM(Y84:Y95)</f>
        <v>3751.8349999999996</v>
      </c>
      <c r="Z96" s="16"/>
      <c r="AA96" s="16">
        <f>SUM(AA84:AA95)</f>
        <v>100</v>
      </c>
      <c r="AB96" s="16"/>
      <c r="AC96" s="16"/>
      <c r="AD96" s="16"/>
      <c r="AE96" s="16"/>
      <c r="AF96" s="16"/>
      <c r="AG96" s="16">
        <f>SUM(AG84:AG95)</f>
        <v>2049000.4999999998</v>
      </c>
      <c r="AH96" s="16"/>
      <c r="AI96" s="16"/>
      <c r="AJ96" s="16"/>
      <c r="AK96" s="16">
        <f t="shared" ref="AK96:AP96" si="95">SUM(AK84:AK95)</f>
        <v>5613.6999999999989</v>
      </c>
      <c r="AL96" s="18">
        <f t="shared" si="95"/>
        <v>2976.3035</v>
      </c>
      <c r="AM96" s="18">
        <f t="shared" si="95"/>
        <v>1086350.7774999999</v>
      </c>
      <c r="AN96" s="16">
        <f t="shared" si="95"/>
        <v>110123.22949999999</v>
      </c>
      <c r="AO96" s="16">
        <f t="shared" si="95"/>
        <v>0.49708402204861107</v>
      </c>
      <c r="AP96" s="16">
        <f t="shared" si="95"/>
        <v>11930.016529166667</v>
      </c>
      <c r="AQ96" s="16"/>
      <c r="AR96" s="16"/>
    </row>
    <row r="97" spans="2:45" x14ac:dyDescent="0.3">
      <c r="B97" s="441"/>
    </row>
    <row r="98" spans="2:45" x14ac:dyDescent="0.3">
      <c r="B98" s="441"/>
    </row>
    <row r="99" spans="2:45" x14ac:dyDescent="0.3">
      <c r="B99" s="441"/>
    </row>
    <row r="100" spans="2:45" ht="15" thickBot="1" x14ac:dyDescent="0.35">
      <c r="B100" s="441"/>
    </row>
    <row r="101" spans="2:45" ht="15" thickBot="1" x14ac:dyDescent="0.35">
      <c r="B101" s="441"/>
      <c r="C101" s="428" t="s">
        <v>146</v>
      </c>
      <c r="D101" s="419" t="s">
        <v>9</v>
      </c>
      <c r="E101" s="25" t="s">
        <v>17</v>
      </c>
      <c r="F101" s="2"/>
      <c r="G101" s="62">
        <v>8.1</v>
      </c>
      <c r="H101" s="51" t="s">
        <v>42</v>
      </c>
      <c r="I101" s="51">
        <v>17</v>
      </c>
      <c r="J101" s="51" t="s">
        <v>43</v>
      </c>
      <c r="K101" s="51">
        <v>72</v>
      </c>
      <c r="L101" s="51">
        <v>58</v>
      </c>
      <c r="M101" s="51">
        <v>55</v>
      </c>
      <c r="N101" s="51">
        <v>1.77</v>
      </c>
      <c r="O101" s="51">
        <v>35.69</v>
      </c>
      <c r="P101" s="51"/>
      <c r="Q101" s="432">
        <f>O101/N101</f>
        <v>20.163841807909602</v>
      </c>
      <c r="R101" s="432"/>
      <c r="S101" s="10"/>
      <c r="T101" s="9">
        <f>S101/12</f>
        <v>0</v>
      </c>
      <c r="U101" s="9">
        <f>S101/365</f>
        <v>0</v>
      </c>
      <c r="V101" s="21">
        <f>(T101*100)/$T$113</f>
        <v>0</v>
      </c>
      <c r="W101" s="11">
        <f t="shared" ref="W101:W112" si="96">I101%*S101</f>
        <v>0</v>
      </c>
      <c r="X101" s="423">
        <f>W113/365</f>
        <v>21.65</v>
      </c>
      <c r="Y101" s="11">
        <f t="shared" ref="Y101:Y112" si="97">W101*K101%</f>
        <v>0</v>
      </c>
      <c r="Z101" s="423">
        <f>Y113/365</f>
        <v>17.174500000000002</v>
      </c>
      <c r="AA101" s="11">
        <f>(Y101*100)/$Y$113</f>
        <v>0</v>
      </c>
      <c r="AB101" s="430">
        <v>9</v>
      </c>
      <c r="AC101" s="408">
        <f>(X101-AB101)/X101</f>
        <v>0.58429561200923785</v>
      </c>
      <c r="AD101" s="411">
        <v>13</v>
      </c>
      <c r="AE101" s="408">
        <f>(Z101-AD101)/Z101</f>
        <v>0.24306384465341066</v>
      </c>
      <c r="AF101" s="47">
        <v>280</v>
      </c>
      <c r="AG101" s="8">
        <f t="shared" ref="AG101:AG112" si="98">Y101*AF101</f>
        <v>0</v>
      </c>
      <c r="AH101" s="8"/>
      <c r="AI101" s="8"/>
      <c r="AJ101" s="8">
        <f t="shared" ref="AJ101:AJ112" si="99">IFERROR(AG101/S101,0)</f>
        <v>0</v>
      </c>
      <c r="AK101" s="8">
        <f>AG101/365</f>
        <v>0</v>
      </c>
      <c r="AL101" s="8">
        <f t="shared" ref="AL101:AL112" si="100">IFERROR(AG101*M101%/365,0)</f>
        <v>0</v>
      </c>
      <c r="AM101" s="8">
        <f>AL101*365</f>
        <v>0</v>
      </c>
      <c r="AN101" s="8">
        <f>AL101*37</f>
        <v>0</v>
      </c>
      <c r="AO101" s="8">
        <f>AN101/3600/24*0.39</f>
        <v>0</v>
      </c>
      <c r="AP101" s="8">
        <f>AO101*1000*24</f>
        <v>0</v>
      </c>
      <c r="AQ101" s="414">
        <v>10000000</v>
      </c>
      <c r="AR101" s="396">
        <f>(Z101*1000)/3.7</f>
        <v>4641.7567567567576</v>
      </c>
      <c r="AS101" s="396">
        <f>AR101/U113</f>
        <v>29.754851004851009</v>
      </c>
    </row>
    <row r="102" spans="2:45" ht="29.4" thickBot="1" x14ac:dyDescent="0.35">
      <c r="B102" s="441"/>
      <c r="C102" s="428"/>
      <c r="D102" s="420"/>
      <c r="E102" s="25" t="s">
        <v>45</v>
      </c>
      <c r="F102" s="2"/>
      <c r="G102" s="49">
        <v>5.09</v>
      </c>
      <c r="H102" s="50" t="s">
        <v>46</v>
      </c>
      <c r="I102" s="51">
        <v>33</v>
      </c>
      <c r="J102" s="52" t="s">
        <v>47</v>
      </c>
      <c r="K102" s="51">
        <v>57</v>
      </c>
      <c r="L102" s="50">
        <v>55</v>
      </c>
      <c r="M102" s="51">
        <v>55</v>
      </c>
      <c r="N102" s="50">
        <v>4.33</v>
      </c>
      <c r="O102" s="50">
        <v>42.82</v>
      </c>
      <c r="P102" s="50"/>
      <c r="Q102" s="399">
        <f>O102/N102</f>
        <v>9.8891454965357966</v>
      </c>
      <c r="R102" s="399"/>
      <c r="S102" s="12">
        <f>5*365</f>
        <v>1825</v>
      </c>
      <c r="T102" s="9">
        <f>S102/12</f>
        <v>152.08333333333334</v>
      </c>
      <c r="U102" s="9">
        <f>S102/365</f>
        <v>5</v>
      </c>
      <c r="V102" s="21">
        <f t="shared" ref="V102:V112" si="101">(T102*100)/$T$113</f>
        <v>3.2051282051282057</v>
      </c>
      <c r="W102" s="11">
        <f t="shared" si="96"/>
        <v>602.25</v>
      </c>
      <c r="X102" s="424"/>
      <c r="Y102" s="11">
        <f t="shared" si="97"/>
        <v>343.28249999999997</v>
      </c>
      <c r="Z102" s="424"/>
      <c r="AA102" s="11">
        <f t="shared" ref="AA102:AA112" si="102">(Y102*100)/$Y$113</f>
        <v>5.4761419546420562</v>
      </c>
      <c r="AB102" s="431"/>
      <c r="AC102" s="409"/>
      <c r="AD102" s="412"/>
      <c r="AE102" s="409"/>
      <c r="AF102" s="45">
        <v>300</v>
      </c>
      <c r="AG102" s="8">
        <f t="shared" si="98"/>
        <v>102984.74999999999</v>
      </c>
      <c r="AH102" s="8"/>
      <c r="AI102" s="8"/>
      <c r="AJ102" s="8">
        <f t="shared" si="99"/>
        <v>56.429999999999993</v>
      </c>
      <c r="AK102" s="8">
        <f>AG102/365</f>
        <v>282.14999999999998</v>
      </c>
      <c r="AL102" s="8">
        <f t="shared" si="100"/>
        <v>155.18249999999998</v>
      </c>
      <c r="AM102" s="8">
        <f t="shared" ref="AM102:AM112" si="103">AL102*365</f>
        <v>56641.612499999988</v>
      </c>
      <c r="AN102" s="8">
        <f>AL102*37</f>
        <v>5741.7524999999987</v>
      </c>
      <c r="AO102" s="8">
        <f>AN102/3600/24*0.39</f>
        <v>2.5917632812499994E-2</v>
      </c>
      <c r="AP102" s="8">
        <f>AO102*1000*24</f>
        <v>622.02318749999995</v>
      </c>
      <c r="AQ102" s="381"/>
      <c r="AR102" s="397"/>
      <c r="AS102" s="397"/>
    </row>
    <row r="103" spans="2:45" ht="15" thickBot="1" x14ac:dyDescent="0.35">
      <c r="B103" s="441"/>
      <c r="C103" s="428"/>
      <c r="D103" s="421"/>
      <c r="E103" s="25" t="s">
        <v>6</v>
      </c>
      <c r="F103" s="2"/>
      <c r="G103" s="49">
        <v>7.8</v>
      </c>
      <c r="H103" s="50" t="s">
        <v>48</v>
      </c>
      <c r="I103" s="51">
        <v>20</v>
      </c>
      <c r="J103" s="50" t="s">
        <v>154</v>
      </c>
      <c r="K103" s="51">
        <v>68</v>
      </c>
      <c r="L103" s="50">
        <v>58</v>
      </c>
      <c r="M103" s="51">
        <v>60</v>
      </c>
      <c r="N103" s="50">
        <v>2.15</v>
      </c>
      <c r="O103" s="50">
        <v>38.4</v>
      </c>
      <c r="P103" s="50"/>
      <c r="Q103" s="399">
        <f>O103/N103</f>
        <v>17.86046511627907</v>
      </c>
      <c r="R103" s="399"/>
      <c r="S103" s="12"/>
      <c r="T103" s="9">
        <f>S103/12</f>
        <v>0</v>
      </c>
      <c r="U103" s="9">
        <f>S103/365</f>
        <v>0</v>
      </c>
      <c r="V103" s="21">
        <f t="shared" si="101"/>
        <v>0</v>
      </c>
      <c r="W103" s="11">
        <f t="shared" si="96"/>
        <v>0</v>
      </c>
      <c r="X103" s="424"/>
      <c r="Y103" s="11">
        <f t="shared" si="97"/>
        <v>0</v>
      </c>
      <c r="Z103" s="424"/>
      <c r="AA103" s="11">
        <f t="shared" si="102"/>
        <v>0</v>
      </c>
      <c r="AB103" s="431"/>
      <c r="AC103" s="409"/>
      <c r="AD103" s="412"/>
      <c r="AE103" s="409"/>
      <c r="AF103" s="45">
        <v>280</v>
      </c>
      <c r="AG103" s="8">
        <f t="shared" si="98"/>
        <v>0</v>
      </c>
      <c r="AH103" s="8"/>
      <c r="AI103" s="8"/>
      <c r="AJ103" s="8">
        <f t="shared" si="99"/>
        <v>0</v>
      </c>
      <c r="AK103" s="8">
        <f>AG103/365</f>
        <v>0</v>
      </c>
      <c r="AL103" s="8">
        <f t="shared" si="100"/>
        <v>0</v>
      </c>
      <c r="AM103" s="8">
        <f t="shared" si="103"/>
        <v>0</v>
      </c>
      <c r="AN103" s="8">
        <f>AL103*37</f>
        <v>0</v>
      </c>
      <c r="AO103" s="8">
        <f>AN103/3600/24*0.39</f>
        <v>0</v>
      </c>
      <c r="AP103" s="8">
        <f>AO103*1000*24</f>
        <v>0</v>
      </c>
      <c r="AQ103" s="381"/>
      <c r="AR103" s="397"/>
      <c r="AS103" s="397"/>
    </row>
    <row r="104" spans="2:45" ht="18.45" customHeight="1" thickBot="1" x14ac:dyDescent="0.35">
      <c r="B104" s="441"/>
      <c r="C104" s="428"/>
      <c r="D104" s="88" t="s">
        <v>10</v>
      </c>
      <c r="E104" s="26" t="s">
        <v>18</v>
      </c>
      <c r="F104" s="24" t="s">
        <v>112</v>
      </c>
      <c r="G104" s="53" t="s">
        <v>22</v>
      </c>
      <c r="H104" s="54" t="s">
        <v>20</v>
      </c>
      <c r="I104" s="51">
        <v>8</v>
      </c>
      <c r="J104" s="52" t="s">
        <v>23</v>
      </c>
      <c r="K104" s="51">
        <v>80</v>
      </c>
      <c r="L104" s="52" t="s">
        <v>44</v>
      </c>
      <c r="M104" s="51">
        <v>50</v>
      </c>
      <c r="N104" s="55" t="s">
        <v>24</v>
      </c>
      <c r="O104" s="50"/>
      <c r="P104" s="50"/>
      <c r="Q104" s="399">
        <f>O104/N104</f>
        <v>0</v>
      </c>
      <c r="R104" s="399"/>
      <c r="S104" s="12">
        <f>88*365</f>
        <v>32120</v>
      </c>
      <c r="T104" s="9">
        <f t="shared" ref="T104:T112" si="104">S104/12</f>
        <v>2676.6666666666665</v>
      </c>
      <c r="U104" s="9">
        <f t="shared" ref="U104:U112" si="105">S104/365</f>
        <v>88</v>
      </c>
      <c r="V104" s="21">
        <f t="shared" si="101"/>
        <v>56.410256410256416</v>
      </c>
      <c r="W104" s="11">
        <f t="shared" si="96"/>
        <v>2569.6</v>
      </c>
      <c r="X104" s="424"/>
      <c r="Y104" s="11">
        <f t="shared" si="97"/>
        <v>2055.6799999999998</v>
      </c>
      <c r="Z104" s="424"/>
      <c r="AA104" s="11">
        <f t="shared" si="102"/>
        <v>32.79280328393839</v>
      </c>
      <c r="AB104" s="431"/>
      <c r="AC104" s="409"/>
      <c r="AD104" s="412"/>
      <c r="AE104" s="409"/>
      <c r="AF104" s="45">
        <v>200</v>
      </c>
      <c r="AG104" s="8">
        <f t="shared" si="98"/>
        <v>411135.99999999994</v>
      </c>
      <c r="AH104" s="8"/>
      <c r="AI104" s="8"/>
      <c r="AJ104" s="8">
        <f t="shared" si="99"/>
        <v>12.799999999999999</v>
      </c>
      <c r="AK104" s="8">
        <f t="shared" ref="AK104:AK112" si="106">AG104/365</f>
        <v>1126.3999999999999</v>
      </c>
      <c r="AL104" s="8">
        <f t="shared" si="100"/>
        <v>563.19999999999993</v>
      </c>
      <c r="AM104" s="8">
        <f t="shared" si="103"/>
        <v>205567.99999999997</v>
      </c>
      <c r="AN104" s="8">
        <f t="shared" ref="AN104:AN112" si="107">AL104*37</f>
        <v>20838.399999999998</v>
      </c>
      <c r="AO104" s="8">
        <f t="shared" ref="AO104:AO112" si="108">AN104/3600/24*0.39</f>
        <v>9.4062222222222214E-2</v>
      </c>
      <c r="AP104" s="8">
        <f t="shared" ref="AP104:AP112" si="109">AO104*1000*24</f>
        <v>2257.4933333333333</v>
      </c>
      <c r="AQ104" s="381"/>
      <c r="AR104" s="397"/>
      <c r="AS104" s="397"/>
    </row>
    <row r="105" spans="2:45" ht="29.55" customHeight="1" thickBot="1" x14ac:dyDescent="0.35">
      <c r="B105" s="441"/>
      <c r="C105" s="428"/>
      <c r="D105" s="88" t="s">
        <v>11</v>
      </c>
      <c r="E105" s="27" t="s">
        <v>58</v>
      </c>
      <c r="F105" s="24"/>
      <c r="G105" s="56" t="s">
        <v>67</v>
      </c>
      <c r="H105" s="50" t="s">
        <v>59</v>
      </c>
      <c r="I105" s="51">
        <v>12</v>
      </c>
      <c r="J105" s="50">
        <v>89</v>
      </c>
      <c r="K105" s="51">
        <v>89</v>
      </c>
      <c r="L105" s="50" t="s">
        <v>57</v>
      </c>
      <c r="M105" s="51">
        <v>51</v>
      </c>
      <c r="N105" s="50">
        <v>1.4</v>
      </c>
      <c r="O105" s="50"/>
      <c r="P105" s="50"/>
      <c r="Q105" s="399" t="s">
        <v>70</v>
      </c>
      <c r="R105" s="399"/>
      <c r="S105" s="12">
        <f>10*365</f>
        <v>3650</v>
      </c>
      <c r="T105" s="9">
        <f t="shared" si="104"/>
        <v>304.16666666666669</v>
      </c>
      <c r="U105" s="9">
        <f t="shared" si="105"/>
        <v>10</v>
      </c>
      <c r="V105" s="21">
        <f t="shared" si="101"/>
        <v>6.4102564102564115</v>
      </c>
      <c r="W105" s="11">
        <f t="shared" si="96"/>
        <v>438</v>
      </c>
      <c r="X105" s="424"/>
      <c r="Y105" s="11">
        <f t="shared" si="97"/>
        <v>389.82</v>
      </c>
      <c r="Z105" s="424"/>
      <c r="AA105" s="37">
        <f t="shared" si="102"/>
        <v>6.2185216454627499</v>
      </c>
      <c r="AB105" s="431"/>
      <c r="AC105" s="409"/>
      <c r="AD105" s="412"/>
      <c r="AE105" s="409"/>
      <c r="AF105" s="45">
        <v>300</v>
      </c>
      <c r="AG105" s="8">
        <f t="shared" si="98"/>
        <v>116946</v>
      </c>
      <c r="AH105" s="8"/>
      <c r="AI105" s="8"/>
      <c r="AJ105" s="8">
        <f t="shared" si="99"/>
        <v>32.04</v>
      </c>
      <c r="AK105" s="8">
        <f t="shared" si="106"/>
        <v>320.39999999999998</v>
      </c>
      <c r="AL105" s="8">
        <f t="shared" si="100"/>
        <v>163.404</v>
      </c>
      <c r="AM105" s="8">
        <f t="shared" si="103"/>
        <v>59642.46</v>
      </c>
      <c r="AN105" s="8">
        <f t="shared" si="107"/>
        <v>6045.9480000000003</v>
      </c>
      <c r="AO105" s="8">
        <f t="shared" si="108"/>
        <v>2.7290737500000002E-2</v>
      </c>
      <c r="AP105" s="8">
        <f t="shared" si="109"/>
        <v>654.97770000000003</v>
      </c>
      <c r="AQ105" s="381"/>
      <c r="AR105" s="397"/>
      <c r="AS105" s="397"/>
    </row>
    <row r="106" spans="2:45" ht="29.4" thickBot="1" x14ac:dyDescent="0.35">
      <c r="B106" s="441"/>
      <c r="C106" s="428"/>
      <c r="D106" s="426" t="s">
        <v>12</v>
      </c>
      <c r="E106" s="25" t="s">
        <v>27</v>
      </c>
      <c r="F106" s="2"/>
      <c r="G106" s="57" t="s">
        <v>29</v>
      </c>
      <c r="H106" s="50" t="s">
        <v>28</v>
      </c>
      <c r="I106" s="51">
        <v>25</v>
      </c>
      <c r="J106" s="50" t="s">
        <v>60</v>
      </c>
      <c r="K106" s="51">
        <v>90</v>
      </c>
      <c r="L106" s="50">
        <v>65</v>
      </c>
      <c r="M106" s="51">
        <v>60</v>
      </c>
      <c r="N106" s="55" t="s">
        <v>61</v>
      </c>
      <c r="O106" s="50"/>
      <c r="P106" s="50"/>
      <c r="Q106" s="399">
        <v>35</v>
      </c>
      <c r="R106" s="399"/>
      <c r="S106" s="12">
        <f>10*365</f>
        <v>3650</v>
      </c>
      <c r="T106" s="9">
        <f t="shared" si="104"/>
        <v>304.16666666666669</v>
      </c>
      <c r="U106" s="9">
        <f t="shared" si="105"/>
        <v>10</v>
      </c>
      <c r="V106" s="21">
        <f t="shared" si="101"/>
        <v>6.4102564102564115</v>
      </c>
      <c r="W106" s="11">
        <f t="shared" si="96"/>
        <v>912.5</v>
      </c>
      <c r="X106" s="424"/>
      <c r="Y106" s="11">
        <f t="shared" si="97"/>
        <v>821.25</v>
      </c>
      <c r="Z106" s="424"/>
      <c r="AA106" s="11">
        <f t="shared" si="102"/>
        <v>13.100818073306355</v>
      </c>
      <c r="AB106" s="431"/>
      <c r="AC106" s="409"/>
      <c r="AD106" s="412"/>
      <c r="AE106" s="409"/>
      <c r="AF106" s="45">
        <v>590</v>
      </c>
      <c r="AG106" s="8">
        <f t="shared" si="98"/>
        <v>484537.5</v>
      </c>
      <c r="AH106" s="8"/>
      <c r="AI106" s="8"/>
      <c r="AJ106" s="8">
        <f t="shared" si="99"/>
        <v>132.75</v>
      </c>
      <c r="AK106" s="8">
        <f t="shared" si="106"/>
        <v>1327.5</v>
      </c>
      <c r="AL106" s="8">
        <f t="shared" si="100"/>
        <v>796.5</v>
      </c>
      <c r="AM106" s="8">
        <f t="shared" si="103"/>
        <v>290722.5</v>
      </c>
      <c r="AN106" s="8">
        <f t="shared" si="107"/>
        <v>29470.5</v>
      </c>
      <c r="AO106" s="8">
        <f t="shared" si="108"/>
        <v>0.1330265625</v>
      </c>
      <c r="AP106" s="8">
        <f t="shared" si="109"/>
        <v>3192.6375000000003</v>
      </c>
      <c r="AQ106" s="381"/>
      <c r="AR106" s="397"/>
      <c r="AS106" s="397"/>
    </row>
    <row r="107" spans="2:45" ht="29.4" thickBot="1" x14ac:dyDescent="0.35">
      <c r="B107" s="441"/>
      <c r="C107" s="428"/>
      <c r="D107" s="426"/>
      <c r="E107" s="27" t="s">
        <v>158</v>
      </c>
      <c r="F107" s="2"/>
      <c r="G107" s="57" t="s">
        <v>75</v>
      </c>
      <c r="H107" s="50" t="s">
        <v>155</v>
      </c>
      <c r="I107" s="51">
        <v>12</v>
      </c>
      <c r="J107" s="50" t="s">
        <v>62</v>
      </c>
      <c r="K107" s="51">
        <v>85</v>
      </c>
      <c r="L107" s="50" t="s">
        <v>63</v>
      </c>
      <c r="M107" s="51">
        <v>55</v>
      </c>
      <c r="N107" s="50"/>
      <c r="O107" s="50"/>
      <c r="P107" s="50"/>
      <c r="Q107" s="400"/>
      <c r="R107" s="401"/>
      <c r="S107" s="13"/>
      <c r="T107" s="9">
        <f t="shared" si="104"/>
        <v>0</v>
      </c>
      <c r="U107" s="9">
        <f t="shared" si="105"/>
        <v>0</v>
      </c>
      <c r="V107" s="21">
        <f t="shared" si="101"/>
        <v>0</v>
      </c>
      <c r="W107" s="11">
        <f t="shared" si="96"/>
        <v>0</v>
      </c>
      <c r="X107" s="424"/>
      <c r="Y107" s="11">
        <f t="shared" si="97"/>
        <v>0</v>
      </c>
      <c r="Z107" s="424"/>
      <c r="AA107" s="11">
        <f t="shared" si="102"/>
        <v>0</v>
      </c>
      <c r="AB107" s="431"/>
      <c r="AC107" s="409"/>
      <c r="AD107" s="412"/>
      <c r="AE107" s="409"/>
      <c r="AF107" s="45">
        <v>500</v>
      </c>
      <c r="AG107" s="8">
        <f t="shared" si="98"/>
        <v>0</v>
      </c>
      <c r="AH107" s="8"/>
      <c r="AI107" s="8"/>
      <c r="AJ107" s="8">
        <f t="shared" si="99"/>
        <v>0</v>
      </c>
      <c r="AK107" s="8">
        <f t="shared" si="106"/>
        <v>0</v>
      </c>
      <c r="AL107" s="8">
        <f t="shared" si="100"/>
        <v>0</v>
      </c>
      <c r="AM107" s="8">
        <f t="shared" si="103"/>
        <v>0</v>
      </c>
      <c r="AN107" s="8">
        <f t="shared" si="107"/>
        <v>0</v>
      </c>
      <c r="AO107" s="8">
        <f t="shared" si="108"/>
        <v>0</v>
      </c>
      <c r="AP107" s="8">
        <f t="shared" si="109"/>
        <v>0</v>
      </c>
      <c r="AQ107" s="381"/>
      <c r="AR107" s="397"/>
      <c r="AS107" s="397"/>
    </row>
    <row r="108" spans="2:45" ht="29.4" thickBot="1" x14ac:dyDescent="0.35">
      <c r="B108" s="441"/>
      <c r="C108" s="428"/>
      <c r="D108" s="426"/>
      <c r="E108" s="25" t="s">
        <v>64</v>
      </c>
      <c r="F108" s="2"/>
      <c r="G108" s="57" t="s">
        <v>79</v>
      </c>
      <c r="H108" s="55" t="s">
        <v>21</v>
      </c>
      <c r="I108" s="51">
        <v>8</v>
      </c>
      <c r="J108" s="50" t="s">
        <v>65</v>
      </c>
      <c r="K108" s="51">
        <v>83</v>
      </c>
      <c r="L108" s="50" t="s">
        <v>66</v>
      </c>
      <c r="M108" s="51">
        <v>58</v>
      </c>
      <c r="N108" s="55" t="s">
        <v>73</v>
      </c>
      <c r="O108" s="50"/>
      <c r="P108" s="50"/>
      <c r="Q108" s="400"/>
      <c r="R108" s="401"/>
      <c r="S108" s="13"/>
      <c r="T108" s="9">
        <f t="shared" si="104"/>
        <v>0</v>
      </c>
      <c r="U108" s="9">
        <f t="shared" si="105"/>
        <v>0</v>
      </c>
      <c r="V108" s="21">
        <f t="shared" si="101"/>
        <v>0</v>
      </c>
      <c r="W108" s="11">
        <f t="shared" si="96"/>
        <v>0</v>
      </c>
      <c r="X108" s="424"/>
      <c r="Y108" s="11">
        <f t="shared" si="97"/>
        <v>0</v>
      </c>
      <c r="Z108" s="424"/>
      <c r="AA108" s="11">
        <f t="shared" si="102"/>
        <v>0</v>
      </c>
      <c r="AB108" s="431"/>
      <c r="AC108" s="409"/>
      <c r="AD108" s="412"/>
      <c r="AE108" s="409"/>
      <c r="AF108" s="45">
        <v>400</v>
      </c>
      <c r="AG108" s="8">
        <f t="shared" si="98"/>
        <v>0</v>
      </c>
      <c r="AH108" s="8"/>
      <c r="AI108" s="8"/>
      <c r="AJ108" s="8">
        <f t="shared" si="99"/>
        <v>0</v>
      </c>
      <c r="AK108" s="8">
        <f t="shared" si="106"/>
        <v>0</v>
      </c>
      <c r="AL108" s="8">
        <f t="shared" si="100"/>
        <v>0</v>
      </c>
      <c r="AM108" s="8">
        <f t="shared" si="103"/>
        <v>0</v>
      </c>
      <c r="AN108" s="8">
        <f t="shared" si="107"/>
        <v>0</v>
      </c>
      <c r="AO108" s="8">
        <f t="shared" si="108"/>
        <v>0</v>
      </c>
      <c r="AP108" s="8">
        <f t="shared" si="109"/>
        <v>0</v>
      </c>
      <c r="AQ108" s="381"/>
      <c r="AR108" s="397"/>
      <c r="AS108" s="397"/>
    </row>
    <row r="109" spans="2:45" ht="29.4" thickBot="1" x14ac:dyDescent="0.35">
      <c r="B109" s="441"/>
      <c r="C109" s="428"/>
      <c r="D109" s="88" t="s">
        <v>13</v>
      </c>
      <c r="E109" s="25" t="s">
        <v>156</v>
      </c>
      <c r="F109" s="24"/>
      <c r="G109" s="49" t="s">
        <v>37</v>
      </c>
      <c r="H109" s="50" t="s">
        <v>38</v>
      </c>
      <c r="I109" s="51">
        <v>40</v>
      </c>
      <c r="J109" s="50" t="s">
        <v>39</v>
      </c>
      <c r="K109" s="51">
        <v>97</v>
      </c>
      <c r="L109" s="50" t="s">
        <v>50</v>
      </c>
      <c r="M109" s="51">
        <v>69</v>
      </c>
      <c r="N109" s="50" t="s">
        <v>35</v>
      </c>
      <c r="O109" s="50"/>
      <c r="P109" s="50"/>
      <c r="Q109" s="399" t="s">
        <v>36</v>
      </c>
      <c r="R109" s="399"/>
      <c r="S109" s="12"/>
      <c r="T109" s="9">
        <f t="shared" si="104"/>
        <v>0</v>
      </c>
      <c r="U109" s="9">
        <f t="shared" si="105"/>
        <v>0</v>
      </c>
      <c r="V109" s="21">
        <f t="shared" si="101"/>
        <v>0</v>
      </c>
      <c r="W109" s="11">
        <f t="shared" si="96"/>
        <v>0</v>
      </c>
      <c r="X109" s="424"/>
      <c r="Y109" s="11">
        <f t="shared" si="97"/>
        <v>0</v>
      </c>
      <c r="Z109" s="424"/>
      <c r="AA109" s="11">
        <f t="shared" si="102"/>
        <v>0</v>
      </c>
      <c r="AB109" s="431"/>
      <c r="AC109" s="409"/>
      <c r="AD109" s="412"/>
      <c r="AE109" s="409"/>
      <c r="AF109" s="45">
        <v>500</v>
      </c>
      <c r="AG109" s="8">
        <f t="shared" si="98"/>
        <v>0</v>
      </c>
      <c r="AH109" s="8"/>
      <c r="AI109" s="8"/>
      <c r="AJ109" s="8">
        <f t="shared" si="99"/>
        <v>0</v>
      </c>
      <c r="AK109" s="8">
        <f t="shared" si="106"/>
        <v>0</v>
      </c>
      <c r="AL109" s="8">
        <f t="shared" si="100"/>
        <v>0</v>
      </c>
      <c r="AM109" s="8">
        <f t="shared" si="103"/>
        <v>0</v>
      </c>
      <c r="AN109" s="8">
        <f t="shared" si="107"/>
        <v>0</v>
      </c>
      <c r="AO109" s="8">
        <f t="shared" si="108"/>
        <v>0</v>
      </c>
      <c r="AP109" s="8">
        <f t="shared" si="109"/>
        <v>0</v>
      </c>
      <c r="AQ109" s="381"/>
      <c r="AR109" s="397"/>
      <c r="AS109" s="397"/>
    </row>
    <row r="110" spans="2:45" ht="29.4" thickBot="1" x14ac:dyDescent="0.35">
      <c r="B110" s="441"/>
      <c r="C110" s="428"/>
      <c r="D110" s="88" t="s">
        <v>14</v>
      </c>
      <c r="E110" s="25" t="s">
        <v>55</v>
      </c>
      <c r="F110" s="2"/>
      <c r="G110" s="49" t="s">
        <v>80</v>
      </c>
      <c r="H110" s="50" t="s">
        <v>56</v>
      </c>
      <c r="I110" s="51">
        <v>22</v>
      </c>
      <c r="J110" s="50" t="s">
        <v>30</v>
      </c>
      <c r="K110" s="51">
        <v>90</v>
      </c>
      <c r="L110" s="50" t="s">
        <v>57</v>
      </c>
      <c r="M110" s="51">
        <v>54</v>
      </c>
      <c r="N110" s="50">
        <v>1.5</v>
      </c>
      <c r="O110" s="50"/>
      <c r="P110" s="50"/>
      <c r="Q110" s="399" t="s">
        <v>72</v>
      </c>
      <c r="R110" s="399"/>
      <c r="S110" s="12">
        <f>23*365</f>
        <v>8395</v>
      </c>
      <c r="T110" s="9">
        <f t="shared" si="104"/>
        <v>699.58333333333337</v>
      </c>
      <c r="U110" s="9">
        <f t="shared" si="105"/>
        <v>23</v>
      </c>
      <c r="V110" s="21">
        <f t="shared" si="101"/>
        <v>14.743589743589748</v>
      </c>
      <c r="W110" s="11">
        <f t="shared" si="96"/>
        <v>1846.9</v>
      </c>
      <c r="X110" s="424"/>
      <c r="Y110" s="11">
        <f t="shared" si="97"/>
        <v>1662.21</v>
      </c>
      <c r="Z110" s="424"/>
      <c r="AA110" s="37">
        <f t="shared" si="102"/>
        <v>26.516055780372064</v>
      </c>
      <c r="AB110" s="431"/>
      <c r="AC110" s="409"/>
      <c r="AD110" s="412"/>
      <c r="AE110" s="409"/>
      <c r="AF110" s="45">
        <v>170</v>
      </c>
      <c r="AG110" s="8">
        <f t="shared" si="98"/>
        <v>282575.7</v>
      </c>
      <c r="AH110" s="8"/>
      <c r="AI110" s="8"/>
      <c r="AJ110" s="8">
        <f t="shared" si="99"/>
        <v>33.660000000000004</v>
      </c>
      <c r="AK110" s="8">
        <f t="shared" si="106"/>
        <v>774.18000000000006</v>
      </c>
      <c r="AL110" s="8">
        <f t="shared" si="100"/>
        <v>418.05720000000008</v>
      </c>
      <c r="AM110" s="8">
        <f t="shared" si="103"/>
        <v>152590.87800000003</v>
      </c>
      <c r="AN110" s="8">
        <f t="shared" si="107"/>
        <v>15468.116400000003</v>
      </c>
      <c r="AO110" s="8">
        <f t="shared" si="108"/>
        <v>6.982135875000002E-2</v>
      </c>
      <c r="AP110" s="8">
        <f t="shared" si="109"/>
        <v>1675.7126100000005</v>
      </c>
      <c r="AQ110" s="381"/>
      <c r="AR110" s="397"/>
      <c r="AS110" s="397"/>
    </row>
    <row r="111" spans="2:45" ht="15" thickBot="1" x14ac:dyDescent="0.35">
      <c r="B111" s="441"/>
      <c r="C111" s="428"/>
      <c r="D111" s="88" t="s">
        <v>15</v>
      </c>
      <c r="E111" s="25" t="s">
        <v>7</v>
      </c>
      <c r="F111" s="2"/>
      <c r="G111" s="49">
        <v>5.7</v>
      </c>
      <c r="H111" s="58" t="s">
        <v>51</v>
      </c>
      <c r="I111" s="51">
        <v>21</v>
      </c>
      <c r="J111" s="50" t="s">
        <v>32</v>
      </c>
      <c r="K111" s="51">
        <v>65</v>
      </c>
      <c r="L111" s="50" t="s">
        <v>52</v>
      </c>
      <c r="M111" s="51">
        <v>58</v>
      </c>
      <c r="N111" s="50"/>
      <c r="O111" s="50"/>
      <c r="P111" s="50"/>
      <c r="Q111" s="399" t="e">
        <f>O111/N111</f>
        <v>#DIV/0!</v>
      </c>
      <c r="R111" s="399"/>
      <c r="S111" s="12">
        <f>20*365</f>
        <v>7300</v>
      </c>
      <c r="T111" s="9">
        <f t="shared" si="104"/>
        <v>608.33333333333337</v>
      </c>
      <c r="U111" s="9">
        <f t="shared" si="105"/>
        <v>20</v>
      </c>
      <c r="V111" s="21">
        <f t="shared" si="101"/>
        <v>12.820512820512823</v>
      </c>
      <c r="W111" s="11">
        <f t="shared" si="96"/>
        <v>1533</v>
      </c>
      <c r="X111" s="424"/>
      <c r="Y111" s="11">
        <f t="shared" si="97"/>
        <v>996.45</v>
      </c>
      <c r="Z111" s="424"/>
      <c r="AA111" s="11">
        <f t="shared" si="102"/>
        <v>15.895659262278377</v>
      </c>
      <c r="AB111" s="431"/>
      <c r="AC111" s="409"/>
      <c r="AD111" s="412"/>
      <c r="AE111" s="409"/>
      <c r="AF111" s="45">
        <v>580</v>
      </c>
      <c r="AG111" s="8">
        <f t="shared" si="98"/>
        <v>577941</v>
      </c>
      <c r="AH111" s="8"/>
      <c r="AI111" s="8"/>
      <c r="AJ111" s="8">
        <f t="shared" si="99"/>
        <v>79.17</v>
      </c>
      <c r="AK111" s="8">
        <f t="shared" si="106"/>
        <v>1583.4</v>
      </c>
      <c r="AL111" s="8">
        <f t="shared" si="100"/>
        <v>918.37199999999996</v>
      </c>
      <c r="AM111" s="8">
        <f t="shared" si="103"/>
        <v>335205.77999999997</v>
      </c>
      <c r="AN111" s="8">
        <f t="shared" si="107"/>
        <v>33979.763999999996</v>
      </c>
      <c r="AO111" s="8">
        <f t="shared" si="108"/>
        <v>0.15338087916666665</v>
      </c>
      <c r="AP111" s="8">
        <f t="shared" si="109"/>
        <v>3681.1410999999998</v>
      </c>
      <c r="AQ111" s="381"/>
      <c r="AR111" s="397"/>
      <c r="AS111" s="397"/>
    </row>
    <row r="112" spans="2:45" ht="58.2" thickBot="1" x14ac:dyDescent="0.35">
      <c r="B112" s="441"/>
      <c r="C112" s="428"/>
      <c r="D112" s="88" t="s">
        <v>16</v>
      </c>
      <c r="E112" s="25" t="s">
        <v>53</v>
      </c>
      <c r="F112" s="2"/>
      <c r="G112" s="59"/>
      <c r="H112" s="60" t="s">
        <v>28</v>
      </c>
      <c r="I112" s="61">
        <v>16</v>
      </c>
      <c r="J112" s="60" t="s">
        <v>34</v>
      </c>
      <c r="K112" s="61">
        <v>85</v>
      </c>
      <c r="L112" s="60" t="s">
        <v>54</v>
      </c>
      <c r="M112" s="61">
        <v>52</v>
      </c>
      <c r="N112" s="60" t="s">
        <v>76</v>
      </c>
      <c r="O112" s="60"/>
      <c r="P112" s="60"/>
      <c r="Q112" s="427" t="e">
        <f>O112/N112</f>
        <v>#VALUE!</v>
      </c>
      <c r="R112" s="427"/>
      <c r="S112" s="14"/>
      <c r="T112" s="9">
        <f t="shared" si="104"/>
        <v>0</v>
      </c>
      <c r="U112" s="9">
        <f t="shared" si="105"/>
        <v>0</v>
      </c>
      <c r="V112" s="21">
        <f t="shared" si="101"/>
        <v>0</v>
      </c>
      <c r="W112" s="11">
        <f t="shared" si="96"/>
        <v>0</v>
      </c>
      <c r="X112" s="429"/>
      <c r="Y112" s="11">
        <f t="shared" si="97"/>
        <v>0</v>
      </c>
      <c r="Z112" s="429"/>
      <c r="AA112" s="11">
        <f t="shared" si="102"/>
        <v>0</v>
      </c>
      <c r="AB112" s="431"/>
      <c r="AC112" s="409"/>
      <c r="AD112" s="412"/>
      <c r="AE112" s="409"/>
      <c r="AF112" s="46">
        <v>700</v>
      </c>
      <c r="AG112" s="8">
        <f t="shared" si="98"/>
        <v>0</v>
      </c>
      <c r="AH112" s="8"/>
      <c r="AI112" s="8"/>
      <c r="AJ112" s="8">
        <f t="shared" si="99"/>
        <v>0</v>
      </c>
      <c r="AK112" s="8">
        <f t="shared" si="106"/>
        <v>0</v>
      </c>
      <c r="AL112" s="8">
        <f t="shared" si="100"/>
        <v>0</v>
      </c>
      <c r="AM112" s="8">
        <f t="shared" si="103"/>
        <v>0</v>
      </c>
      <c r="AN112" s="8">
        <f t="shared" si="107"/>
        <v>0</v>
      </c>
      <c r="AO112" s="8">
        <f t="shared" si="108"/>
        <v>0</v>
      </c>
      <c r="AP112" s="8">
        <f t="shared" si="109"/>
        <v>0</v>
      </c>
      <c r="AQ112" s="382"/>
      <c r="AR112" s="398"/>
      <c r="AS112" s="398"/>
    </row>
    <row r="113" spans="2:45" ht="18" x14ac:dyDescent="0.3">
      <c r="B113" s="441"/>
      <c r="S113" s="17">
        <f t="shared" ref="S113:W113" si="110">SUM(S101:S112)</f>
        <v>56940</v>
      </c>
      <c r="T113" s="17">
        <f t="shared" si="110"/>
        <v>4744.9999999999991</v>
      </c>
      <c r="U113" s="17">
        <f t="shared" si="110"/>
        <v>156</v>
      </c>
      <c r="V113" s="17">
        <f t="shared" si="110"/>
        <v>100.00000000000001</v>
      </c>
      <c r="W113" s="16">
        <f t="shared" si="110"/>
        <v>7902.25</v>
      </c>
      <c r="X113" s="16"/>
      <c r="Y113" s="16">
        <f>SUM(Y101:Y112)</f>
        <v>6268.6925000000001</v>
      </c>
      <c r="Z113" s="16"/>
      <c r="AA113" s="16">
        <f>SUM(AA101:AA112)</f>
        <v>99.999999999999986</v>
      </c>
      <c r="AB113" s="16"/>
      <c r="AC113" s="16"/>
      <c r="AD113" s="16"/>
      <c r="AE113" s="16"/>
      <c r="AF113" s="16"/>
      <c r="AG113" s="16">
        <f>SUM(AG101:AG112)</f>
        <v>1976120.95</v>
      </c>
      <c r="AH113" s="16"/>
      <c r="AI113" s="16"/>
      <c r="AJ113" s="16"/>
      <c r="AK113" s="16">
        <f t="shared" ref="AK113:AP113" si="111">SUM(AK101:AK112)</f>
        <v>5414.0300000000007</v>
      </c>
      <c r="AL113" s="18">
        <f t="shared" si="111"/>
        <v>3014.7156999999997</v>
      </c>
      <c r="AM113" s="18">
        <f t="shared" si="111"/>
        <v>1100371.2305000001</v>
      </c>
      <c r="AN113" s="16">
        <f t="shared" si="111"/>
        <v>111544.4809</v>
      </c>
      <c r="AO113" s="16">
        <f t="shared" si="111"/>
        <v>0.5034993929513889</v>
      </c>
      <c r="AP113" s="16">
        <f t="shared" si="111"/>
        <v>12083.985430833334</v>
      </c>
      <c r="AQ113" s="16"/>
      <c r="AR113" s="16"/>
    </row>
    <row r="114" spans="2:45" x14ac:dyDescent="0.3">
      <c r="B114" s="441"/>
      <c r="AL114" t="s">
        <v>92</v>
      </c>
      <c r="AO114" t="s">
        <v>91</v>
      </c>
    </row>
    <row r="115" spans="2:45" ht="15" thickBot="1" x14ac:dyDescent="0.35">
      <c r="B115" s="441"/>
    </row>
    <row r="116" spans="2:45" ht="15" thickBot="1" x14ac:dyDescent="0.35">
      <c r="B116" s="441"/>
      <c r="C116" s="428" t="s">
        <v>147</v>
      </c>
      <c r="D116" s="419" t="s">
        <v>9</v>
      </c>
      <c r="E116" s="25" t="s">
        <v>17</v>
      </c>
      <c r="F116" s="2"/>
      <c r="G116" s="62">
        <v>8.1</v>
      </c>
      <c r="H116" s="51" t="s">
        <v>42</v>
      </c>
      <c r="I116" s="51">
        <v>17</v>
      </c>
      <c r="J116" s="51" t="s">
        <v>43</v>
      </c>
      <c r="K116" s="51">
        <v>72</v>
      </c>
      <c r="L116" s="51">
        <v>58</v>
      </c>
      <c r="M116" s="51">
        <v>55</v>
      </c>
      <c r="N116" s="51">
        <v>1.77</v>
      </c>
      <c r="O116" s="51">
        <v>35.69</v>
      </c>
      <c r="P116" s="48"/>
      <c r="Q116" s="422">
        <f>O116/N116</f>
        <v>20.163841807909602</v>
      </c>
      <c r="R116" s="422"/>
      <c r="S116" s="29"/>
      <c r="T116" s="9">
        <f>S116/12</f>
        <v>0</v>
      </c>
      <c r="U116" s="9">
        <f>S116/365</f>
        <v>0</v>
      </c>
      <c r="V116" s="21">
        <f>(T116*100)/$T$128</f>
        <v>0</v>
      </c>
      <c r="W116" s="11">
        <f t="shared" ref="W116:W127" si="112">I116%*S116</f>
        <v>0</v>
      </c>
      <c r="X116" s="423">
        <f>W128/365</f>
        <v>15.919999999999998</v>
      </c>
      <c r="Y116" s="11">
        <f t="shared" ref="Y116:Y127" si="113">W116*K116%</f>
        <v>0</v>
      </c>
      <c r="Z116" s="423">
        <f>Y128/365</f>
        <v>12.830500000000002</v>
      </c>
      <c r="AA116" s="11">
        <f>(Y116*100)/$Y$128</f>
        <v>0</v>
      </c>
      <c r="AB116" s="430">
        <v>7</v>
      </c>
      <c r="AC116" s="408">
        <f>(X116-AB116)/X116</f>
        <v>0.56030150753768837</v>
      </c>
      <c r="AD116" s="411">
        <v>12</v>
      </c>
      <c r="AE116" s="408">
        <f>(Z116-AD116)/Z116</f>
        <v>6.472857643895423E-2</v>
      </c>
      <c r="AF116" s="47">
        <v>280</v>
      </c>
      <c r="AG116" s="8">
        <f t="shared" ref="AG116:AG127" si="114">Y116*AF116</f>
        <v>0</v>
      </c>
      <c r="AH116" s="8"/>
      <c r="AI116" s="8"/>
      <c r="AJ116" s="8">
        <f t="shared" ref="AJ116:AJ127" si="115">IFERROR(AG116/S116,0)</f>
        <v>0</v>
      </c>
      <c r="AK116" s="8">
        <f>AG116/365</f>
        <v>0</v>
      </c>
      <c r="AL116" s="8">
        <f t="shared" ref="AL116:AL127" si="116">IFERROR(AG116*M116%/365,0)</f>
        <v>0</v>
      </c>
      <c r="AM116" s="8">
        <f>AL116*365</f>
        <v>0</v>
      </c>
      <c r="AN116" s="8">
        <f>AL116*37</f>
        <v>0</v>
      </c>
      <c r="AO116" s="8">
        <f>AN116/3600/24*0.39</f>
        <v>0</v>
      </c>
      <c r="AP116" s="8">
        <f>AO116*1000*24</f>
        <v>0</v>
      </c>
      <c r="AQ116" s="414">
        <v>10000000</v>
      </c>
      <c r="AR116" s="396">
        <f>(Z116*1000)/3.7</f>
        <v>3467.7027027027029</v>
      </c>
      <c r="AS116" s="396">
        <f>AR116/U128</f>
        <v>32.714176440591537</v>
      </c>
    </row>
    <row r="117" spans="2:45" ht="29.4" thickBot="1" x14ac:dyDescent="0.35">
      <c r="B117" s="441"/>
      <c r="C117" s="428"/>
      <c r="D117" s="420"/>
      <c r="E117" s="25" t="s">
        <v>45</v>
      </c>
      <c r="F117" s="2"/>
      <c r="G117" s="49">
        <v>5.09</v>
      </c>
      <c r="H117" s="50" t="s">
        <v>46</v>
      </c>
      <c r="I117" s="51">
        <v>33</v>
      </c>
      <c r="J117" s="52" t="s">
        <v>47</v>
      </c>
      <c r="K117" s="51">
        <v>57</v>
      </c>
      <c r="L117" s="50">
        <v>55</v>
      </c>
      <c r="M117" s="51">
        <v>55</v>
      </c>
      <c r="N117" s="50">
        <v>4.33</v>
      </c>
      <c r="O117" s="50">
        <v>42.82</v>
      </c>
      <c r="P117" s="50"/>
      <c r="Q117" s="399">
        <f>O117/N117</f>
        <v>9.8891454965357966</v>
      </c>
      <c r="R117" s="399"/>
      <c r="S117" s="12">
        <f>5*365</f>
        <v>1825</v>
      </c>
      <c r="T117" s="9">
        <f>S117/12</f>
        <v>152.08333333333334</v>
      </c>
      <c r="U117" s="9">
        <f>S117/365</f>
        <v>5</v>
      </c>
      <c r="V117" s="21">
        <f t="shared" ref="V117:V127" si="117">(T117*100)/$T$128</f>
        <v>4.716981132075472</v>
      </c>
      <c r="W117" s="11">
        <f t="shared" si="112"/>
        <v>602.25</v>
      </c>
      <c r="X117" s="424"/>
      <c r="Y117" s="11">
        <f t="shared" si="113"/>
        <v>343.28249999999997</v>
      </c>
      <c r="Z117" s="424"/>
      <c r="AA117" s="11">
        <f t="shared" ref="AA117:AA127" si="118">(Y117*100)/$Y$128</f>
        <v>7.3301897821596969</v>
      </c>
      <c r="AB117" s="431"/>
      <c r="AC117" s="409"/>
      <c r="AD117" s="412"/>
      <c r="AE117" s="409"/>
      <c r="AF117" s="45">
        <v>300</v>
      </c>
      <c r="AG117" s="8">
        <f t="shared" si="114"/>
        <v>102984.74999999999</v>
      </c>
      <c r="AH117" s="8"/>
      <c r="AI117" s="8"/>
      <c r="AJ117" s="8">
        <f t="shared" si="115"/>
        <v>56.429999999999993</v>
      </c>
      <c r="AK117" s="8">
        <f>AG117/365</f>
        <v>282.14999999999998</v>
      </c>
      <c r="AL117" s="8">
        <f t="shared" si="116"/>
        <v>155.18249999999998</v>
      </c>
      <c r="AM117" s="8">
        <f t="shared" ref="AM117:AM127" si="119">AL117*365</f>
        <v>56641.612499999988</v>
      </c>
      <c r="AN117" s="8">
        <f>AL117*37</f>
        <v>5741.7524999999987</v>
      </c>
      <c r="AO117" s="8">
        <f>AN117/3600/24*0.39</f>
        <v>2.5917632812499994E-2</v>
      </c>
      <c r="AP117" s="8">
        <f>AO117*1000*24</f>
        <v>622.02318749999995</v>
      </c>
      <c r="AQ117" s="381"/>
      <c r="AR117" s="397"/>
      <c r="AS117" s="397"/>
    </row>
    <row r="118" spans="2:45" ht="15" thickBot="1" x14ac:dyDescent="0.35">
      <c r="B118" s="441"/>
      <c r="C118" s="428"/>
      <c r="D118" s="421"/>
      <c r="E118" s="25" t="s">
        <v>6</v>
      </c>
      <c r="F118" s="2"/>
      <c r="G118" s="49">
        <v>7.8</v>
      </c>
      <c r="H118" s="50" t="s">
        <v>48</v>
      </c>
      <c r="I118" s="51">
        <v>20</v>
      </c>
      <c r="J118" s="50" t="s">
        <v>154</v>
      </c>
      <c r="K118" s="51">
        <v>68</v>
      </c>
      <c r="L118" s="50">
        <v>58</v>
      </c>
      <c r="M118" s="51">
        <v>60</v>
      </c>
      <c r="N118" s="50">
        <v>2.15</v>
      </c>
      <c r="O118" s="50">
        <v>38.4</v>
      </c>
      <c r="P118" s="50"/>
      <c r="Q118" s="399">
        <f>O118/N118</f>
        <v>17.86046511627907</v>
      </c>
      <c r="R118" s="399"/>
      <c r="S118" s="12"/>
      <c r="T118" s="9">
        <f>S118/12</f>
        <v>0</v>
      </c>
      <c r="U118" s="9">
        <f>S118/365</f>
        <v>0</v>
      </c>
      <c r="V118" s="21">
        <f t="shared" si="117"/>
        <v>0</v>
      </c>
      <c r="W118" s="11">
        <f t="shared" si="112"/>
        <v>0</v>
      </c>
      <c r="X118" s="424"/>
      <c r="Y118" s="11">
        <f t="shared" si="113"/>
        <v>0</v>
      </c>
      <c r="Z118" s="424"/>
      <c r="AA118" s="11">
        <f t="shared" si="118"/>
        <v>0</v>
      </c>
      <c r="AB118" s="431"/>
      <c r="AC118" s="409"/>
      <c r="AD118" s="412"/>
      <c r="AE118" s="409"/>
      <c r="AF118" s="45">
        <v>280</v>
      </c>
      <c r="AG118" s="8">
        <f t="shared" si="114"/>
        <v>0</v>
      </c>
      <c r="AH118" s="8"/>
      <c r="AI118" s="8"/>
      <c r="AJ118" s="8">
        <f t="shared" si="115"/>
        <v>0</v>
      </c>
      <c r="AK118" s="8">
        <f>AG118/365</f>
        <v>0</v>
      </c>
      <c r="AL118" s="8">
        <f t="shared" si="116"/>
        <v>0</v>
      </c>
      <c r="AM118" s="8">
        <f t="shared" si="119"/>
        <v>0</v>
      </c>
      <c r="AN118" s="8">
        <f>AL118*37</f>
        <v>0</v>
      </c>
      <c r="AO118" s="8">
        <f>AN118/3600/24*0.39</f>
        <v>0</v>
      </c>
      <c r="AP118" s="8">
        <f>AO118*1000*24</f>
        <v>0</v>
      </c>
      <c r="AQ118" s="381"/>
      <c r="AR118" s="397"/>
      <c r="AS118" s="397"/>
    </row>
    <row r="119" spans="2:45" ht="15" thickBot="1" x14ac:dyDescent="0.35">
      <c r="B119" s="441"/>
      <c r="C119" s="428"/>
      <c r="D119" s="88" t="s">
        <v>10</v>
      </c>
      <c r="E119" s="25" t="s">
        <v>18</v>
      </c>
      <c r="F119" s="2"/>
      <c r="G119" s="53" t="s">
        <v>22</v>
      </c>
      <c r="H119" s="54" t="s">
        <v>20</v>
      </c>
      <c r="I119" s="51">
        <v>8</v>
      </c>
      <c r="J119" s="52" t="s">
        <v>23</v>
      </c>
      <c r="K119" s="51">
        <v>80</v>
      </c>
      <c r="L119" s="52" t="s">
        <v>44</v>
      </c>
      <c r="M119" s="51">
        <v>50</v>
      </c>
      <c r="N119" s="55" t="s">
        <v>24</v>
      </c>
      <c r="O119" s="50"/>
      <c r="P119" s="50"/>
      <c r="Q119" s="399">
        <f>O119/N119</f>
        <v>0</v>
      </c>
      <c r="R119" s="399"/>
      <c r="S119" s="12"/>
      <c r="T119" s="9">
        <f t="shared" ref="T119:T127" si="120">S119/12</f>
        <v>0</v>
      </c>
      <c r="U119" s="9">
        <f t="shared" ref="U119:U127" si="121">S119/365</f>
        <v>0</v>
      </c>
      <c r="V119" s="21">
        <f t="shared" si="117"/>
        <v>0</v>
      </c>
      <c r="W119" s="11">
        <f t="shared" si="112"/>
        <v>0</v>
      </c>
      <c r="X119" s="424"/>
      <c r="Y119" s="11">
        <f t="shared" si="113"/>
        <v>0</v>
      </c>
      <c r="Z119" s="424"/>
      <c r="AA119" s="11">
        <f t="shared" si="118"/>
        <v>0</v>
      </c>
      <c r="AB119" s="431"/>
      <c r="AC119" s="409"/>
      <c r="AD119" s="412"/>
      <c r="AE119" s="409"/>
      <c r="AF119" s="45">
        <v>200</v>
      </c>
      <c r="AG119" s="8">
        <f t="shared" si="114"/>
        <v>0</v>
      </c>
      <c r="AH119" s="8"/>
      <c r="AI119" s="8"/>
      <c r="AJ119" s="8">
        <f t="shared" si="115"/>
        <v>0</v>
      </c>
      <c r="AK119" s="8">
        <f t="shared" ref="AK119:AK127" si="122">AG119/365</f>
        <v>0</v>
      </c>
      <c r="AL119" s="8">
        <f t="shared" si="116"/>
        <v>0</v>
      </c>
      <c r="AM119" s="8">
        <f t="shared" si="119"/>
        <v>0</v>
      </c>
      <c r="AN119" s="8">
        <f t="shared" ref="AN119:AN127" si="123">AL119*37</f>
        <v>0</v>
      </c>
      <c r="AO119" s="8">
        <f t="shared" ref="AO119:AO127" si="124">AN119/3600/24*0.39</f>
        <v>0</v>
      </c>
      <c r="AP119" s="8">
        <f t="shared" ref="AP119:AP127" si="125">AO119*1000*24</f>
        <v>0</v>
      </c>
      <c r="AQ119" s="381"/>
      <c r="AR119" s="397"/>
      <c r="AS119" s="397"/>
    </row>
    <row r="120" spans="2:45" ht="28.95" customHeight="1" thickBot="1" x14ac:dyDescent="0.35">
      <c r="B120" s="441"/>
      <c r="C120" s="428"/>
      <c r="D120" s="88" t="s">
        <v>11</v>
      </c>
      <c r="E120" s="27" t="s">
        <v>58</v>
      </c>
      <c r="F120" s="24"/>
      <c r="G120" s="56" t="s">
        <v>67</v>
      </c>
      <c r="H120" s="50" t="s">
        <v>59</v>
      </c>
      <c r="I120" s="51">
        <v>12</v>
      </c>
      <c r="J120" s="50">
        <v>89</v>
      </c>
      <c r="K120" s="51">
        <v>89</v>
      </c>
      <c r="L120" s="50" t="s">
        <v>57</v>
      </c>
      <c r="M120" s="51">
        <v>51</v>
      </c>
      <c r="N120" s="50">
        <v>1.4</v>
      </c>
      <c r="O120" s="50"/>
      <c r="P120" s="50"/>
      <c r="Q120" s="399" t="s">
        <v>70</v>
      </c>
      <c r="R120" s="399"/>
      <c r="S120" s="12">
        <f>5*365</f>
        <v>1825</v>
      </c>
      <c r="T120" s="9">
        <f t="shared" si="120"/>
        <v>152.08333333333334</v>
      </c>
      <c r="U120" s="9">
        <f t="shared" si="121"/>
        <v>5</v>
      </c>
      <c r="V120" s="21">
        <f t="shared" si="117"/>
        <v>4.716981132075472</v>
      </c>
      <c r="W120" s="11">
        <f t="shared" si="112"/>
        <v>219</v>
      </c>
      <c r="X120" s="424"/>
      <c r="Y120" s="11">
        <f t="shared" si="113"/>
        <v>194.91</v>
      </c>
      <c r="Z120" s="424"/>
      <c r="AA120" s="11">
        <f t="shared" si="118"/>
        <v>4.1619578348466542</v>
      </c>
      <c r="AB120" s="431"/>
      <c r="AC120" s="409"/>
      <c r="AD120" s="412"/>
      <c r="AE120" s="409"/>
      <c r="AF120" s="45">
        <v>300</v>
      </c>
      <c r="AG120" s="8">
        <f t="shared" si="114"/>
        <v>58473</v>
      </c>
      <c r="AH120" s="8"/>
      <c r="AI120" s="8"/>
      <c r="AJ120" s="8">
        <f t="shared" si="115"/>
        <v>32.04</v>
      </c>
      <c r="AK120" s="8">
        <f t="shared" si="122"/>
        <v>160.19999999999999</v>
      </c>
      <c r="AL120" s="8">
        <f t="shared" si="116"/>
        <v>81.701999999999998</v>
      </c>
      <c r="AM120" s="8">
        <f t="shared" si="119"/>
        <v>29821.23</v>
      </c>
      <c r="AN120" s="8">
        <f t="shared" si="123"/>
        <v>3022.9740000000002</v>
      </c>
      <c r="AO120" s="8">
        <f t="shared" si="124"/>
        <v>1.3645368750000001E-2</v>
      </c>
      <c r="AP120" s="8">
        <f t="shared" si="125"/>
        <v>327.48885000000001</v>
      </c>
      <c r="AQ120" s="381"/>
      <c r="AR120" s="397"/>
      <c r="AS120" s="397"/>
    </row>
    <row r="121" spans="2:45" ht="29.4" thickBot="1" x14ac:dyDescent="0.35">
      <c r="B121" s="441"/>
      <c r="C121" s="428"/>
      <c r="D121" s="426" t="s">
        <v>12</v>
      </c>
      <c r="E121" s="25" t="s">
        <v>27</v>
      </c>
      <c r="F121" s="2"/>
      <c r="G121" s="57" t="s">
        <v>29</v>
      </c>
      <c r="H121" s="50" t="s">
        <v>28</v>
      </c>
      <c r="I121" s="51">
        <v>25</v>
      </c>
      <c r="J121" s="50" t="s">
        <v>60</v>
      </c>
      <c r="K121" s="51">
        <v>90</v>
      </c>
      <c r="L121" s="50">
        <v>65</v>
      </c>
      <c r="M121" s="51">
        <v>60</v>
      </c>
      <c r="N121" s="55" t="s">
        <v>61</v>
      </c>
      <c r="O121" s="50"/>
      <c r="P121" s="50"/>
      <c r="Q121" s="399">
        <v>35</v>
      </c>
      <c r="R121" s="399"/>
      <c r="S121" s="12">
        <f>5*365</f>
        <v>1825</v>
      </c>
      <c r="T121" s="9">
        <f t="shared" si="120"/>
        <v>152.08333333333334</v>
      </c>
      <c r="U121" s="9">
        <f t="shared" si="121"/>
        <v>5</v>
      </c>
      <c r="V121" s="21">
        <f t="shared" si="117"/>
        <v>4.716981132075472</v>
      </c>
      <c r="W121" s="11">
        <f t="shared" si="112"/>
        <v>456.25</v>
      </c>
      <c r="X121" s="424"/>
      <c r="Y121" s="11">
        <f t="shared" si="113"/>
        <v>410.625</v>
      </c>
      <c r="Z121" s="424"/>
      <c r="AA121" s="37">
        <f t="shared" si="118"/>
        <v>8.7681695958848049</v>
      </c>
      <c r="AB121" s="431"/>
      <c r="AC121" s="409"/>
      <c r="AD121" s="412"/>
      <c r="AE121" s="409"/>
      <c r="AF121" s="45">
        <v>590</v>
      </c>
      <c r="AG121" s="8">
        <f t="shared" si="114"/>
        <v>242268.75</v>
      </c>
      <c r="AH121" s="8"/>
      <c r="AI121" s="8"/>
      <c r="AJ121" s="8">
        <f t="shared" si="115"/>
        <v>132.75</v>
      </c>
      <c r="AK121" s="8">
        <f t="shared" si="122"/>
        <v>663.75</v>
      </c>
      <c r="AL121" s="8">
        <f t="shared" si="116"/>
        <v>398.25</v>
      </c>
      <c r="AM121" s="8">
        <f t="shared" si="119"/>
        <v>145361.25</v>
      </c>
      <c r="AN121" s="8">
        <f t="shared" si="123"/>
        <v>14735.25</v>
      </c>
      <c r="AO121" s="8">
        <f t="shared" si="124"/>
        <v>6.651328125E-2</v>
      </c>
      <c r="AP121" s="8">
        <f t="shared" si="125"/>
        <v>1596.3187500000001</v>
      </c>
      <c r="AQ121" s="381"/>
      <c r="AR121" s="397"/>
      <c r="AS121" s="397"/>
    </row>
    <row r="122" spans="2:45" ht="29.4" thickBot="1" x14ac:dyDescent="0.35">
      <c r="B122" s="441"/>
      <c r="C122" s="428"/>
      <c r="D122" s="426"/>
      <c r="E122" s="26" t="s">
        <v>158</v>
      </c>
      <c r="F122" s="24" t="s">
        <v>112</v>
      </c>
      <c r="G122" s="57" t="s">
        <v>75</v>
      </c>
      <c r="H122" s="50" t="s">
        <v>155</v>
      </c>
      <c r="I122" s="51">
        <v>12</v>
      </c>
      <c r="J122" s="50" t="s">
        <v>62</v>
      </c>
      <c r="K122" s="51">
        <v>85</v>
      </c>
      <c r="L122" s="50" t="s">
        <v>63</v>
      </c>
      <c r="M122" s="51">
        <v>55</v>
      </c>
      <c r="N122" s="50"/>
      <c r="O122" s="50"/>
      <c r="P122" s="50"/>
      <c r="Q122" s="400"/>
      <c r="R122" s="401"/>
      <c r="S122" s="13">
        <f>61*365</f>
        <v>22265</v>
      </c>
      <c r="T122" s="9">
        <f t="shared" si="120"/>
        <v>1855.4166666666667</v>
      </c>
      <c r="U122" s="9">
        <f t="shared" si="121"/>
        <v>61</v>
      </c>
      <c r="V122" s="21">
        <f t="shared" si="117"/>
        <v>57.547169811320764</v>
      </c>
      <c r="W122" s="11">
        <f t="shared" si="112"/>
        <v>2671.7999999999997</v>
      </c>
      <c r="X122" s="424"/>
      <c r="Y122" s="11">
        <f t="shared" si="113"/>
        <v>2271.0299999999997</v>
      </c>
      <c r="Z122" s="424"/>
      <c r="AA122" s="11">
        <f t="shared" si="118"/>
        <v>48.49382331164022</v>
      </c>
      <c r="AB122" s="431"/>
      <c r="AC122" s="409"/>
      <c r="AD122" s="412"/>
      <c r="AE122" s="409"/>
      <c r="AF122" s="45">
        <v>500</v>
      </c>
      <c r="AG122" s="8">
        <f t="shared" si="114"/>
        <v>1135514.9999999998</v>
      </c>
      <c r="AH122" s="8"/>
      <c r="AI122" s="8"/>
      <c r="AJ122" s="8">
        <f t="shared" si="115"/>
        <v>50.999999999999993</v>
      </c>
      <c r="AK122" s="8">
        <f t="shared" si="122"/>
        <v>3110.9999999999995</v>
      </c>
      <c r="AL122" s="8">
        <f t="shared" si="116"/>
        <v>1711.0499999999997</v>
      </c>
      <c r="AM122" s="8">
        <f t="shared" si="119"/>
        <v>624533.24999999988</v>
      </c>
      <c r="AN122" s="8">
        <f t="shared" si="123"/>
        <v>63308.849999999991</v>
      </c>
      <c r="AO122" s="8">
        <f t="shared" si="124"/>
        <v>0.28576911458333332</v>
      </c>
      <c r="AP122" s="8">
        <f t="shared" si="125"/>
        <v>6858.4587499999998</v>
      </c>
      <c r="AQ122" s="381"/>
      <c r="AR122" s="397"/>
      <c r="AS122" s="397"/>
    </row>
    <row r="123" spans="2:45" ht="29.4" thickBot="1" x14ac:dyDescent="0.35">
      <c r="B123" s="441"/>
      <c r="C123" s="428"/>
      <c r="D123" s="426"/>
      <c r="E123" s="27" t="s">
        <v>64</v>
      </c>
      <c r="F123" s="24"/>
      <c r="G123" s="57" t="s">
        <v>79</v>
      </c>
      <c r="H123" s="55" t="s">
        <v>21</v>
      </c>
      <c r="I123" s="51">
        <v>8</v>
      </c>
      <c r="J123" s="50" t="s">
        <v>65</v>
      </c>
      <c r="K123" s="51">
        <v>83</v>
      </c>
      <c r="L123" s="50" t="s">
        <v>66</v>
      </c>
      <c r="M123" s="51">
        <v>58</v>
      </c>
      <c r="N123" s="55" t="s">
        <v>73</v>
      </c>
      <c r="O123" s="50"/>
      <c r="P123" s="50"/>
      <c r="Q123" s="400"/>
      <c r="R123" s="401"/>
      <c r="S123" s="13">
        <f>10*365</f>
        <v>3650</v>
      </c>
      <c r="T123" s="9">
        <f t="shared" si="120"/>
        <v>304.16666666666669</v>
      </c>
      <c r="U123" s="9">
        <f t="shared" si="121"/>
        <v>10</v>
      </c>
      <c r="V123" s="21">
        <f t="shared" si="117"/>
        <v>9.433962264150944</v>
      </c>
      <c r="W123" s="11">
        <f t="shared" si="112"/>
        <v>292</v>
      </c>
      <c r="X123" s="424"/>
      <c r="Y123" s="11">
        <f t="shared" si="113"/>
        <v>242.35999999999999</v>
      </c>
      <c r="Z123" s="424"/>
      <c r="AA123" s="37">
        <f t="shared" si="118"/>
        <v>5.1751685437044532</v>
      </c>
      <c r="AB123" s="431"/>
      <c r="AC123" s="409"/>
      <c r="AD123" s="412"/>
      <c r="AE123" s="409"/>
      <c r="AF123" s="45">
        <v>400</v>
      </c>
      <c r="AG123" s="8">
        <f t="shared" si="114"/>
        <v>96944</v>
      </c>
      <c r="AH123" s="8"/>
      <c r="AI123" s="8"/>
      <c r="AJ123" s="8">
        <f t="shared" si="115"/>
        <v>26.56</v>
      </c>
      <c r="AK123" s="8">
        <f t="shared" si="122"/>
        <v>265.60000000000002</v>
      </c>
      <c r="AL123" s="8">
        <f t="shared" si="116"/>
        <v>154.048</v>
      </c>
      <c r="AM123" s="8">
        <f t="shared" si="119"/>
        <v>56227.520000000004</v>
      </c>
      <c r="AN123" s="8">
        <f t="shared" si="123"/>
        <v>5699.7759999999998</v>
      </c>
      <c r="AO123" s="8">
        <f t="shared" si="124"/>
        <v>2.5728155555555556E-2</v>
      </c>
      <c r="AP123" s="8">
        <f t="shared" si="125"/>
        <v>617.47573333333332</v>
      </c>
      <c r="AQ123" s="381"/>
      <c r="AR123" s="397"/>
      <c r="AS123" s="397"/>
    </row>
    <row r="124" spans="2:45" ht="33.450000000000003" customHeight="1" thickBot="1" x14ac:dyDescent="0.35">
      <c r="B124" s="441"/>
      <c r="C124" s="428"/>
      <c r="D124" s="88" t="s">
        <v>13</v>
      </c>
      <c r="E124" s="25" t="s">
        <v>156</v>
      </c>
      <c r="F124" s="24"/>
      <c r="G124" s="49" t="s">
        <v>37</v>
      </c>
      <c r="H124" s="50" t="s">
        <v>38</v>
      </c>
      <c r="I124" s="51">
        <v>40</v>
      </c>
      <c r="J124" s="50" t="s">
        <v>39</v>
      </c>
      <c r="K124" s="51">
        <v>97</v>
      </c>
      <c r="L124" s="50" t="s">
        <v>50</v>
      </c>
      <c r="M124" s="51">
        <v>69</v>
      </c>
      <c r="N124" s="50" t="s">
        <v>35</v>
      </c>
      <c r="O124" s="50"/>
      <c r="P124" s="50"/>
      <c r="Q124" s="399" t="s">
        <v>36</v>
      </c>
      <c r="R124" s="399"/>
      <c r="S124" s="12"/>
      <c r="T124" s="9">
        <f t="shared" si="120"/>
        <v>0</v>
      </c>
      <c r="U124" s="9">
        <f t="shared" si="121"/>
        <v>0</v>
      </c>
      <c r="V124" s="21">
        <f t="shared" si="117"/>
        <v>0</v>
      </c>
      <c r="W124" s="11">
        <f t="shared" si="112"/>
        <v>0</v>
      </c>
      <c r="X124" s="424"/>
      <c r="Y124" s="11">
        <f t="shared" si="113"/>
        <v>0</v>
      </c>
      <c r="Z124" s="424"/>
      <c r="AA124" s="11">
        <f t="shared" si="118"/>
        <v>0</v>
      </c>
      <c r="AB124" s="431"/>
      <c r="AC124" s="409"/>
      <c r="AD124" s="412"/>
      <c r="AE124" s="409"/>
      <c r="AF124" s="45">
        <v>500</v>
      </c>
      <c r="AG124" s="8">
        <f t="shared" si="114"/>
        <v>0</v>
      </c>
      <c r="AH124" s="8"/>
      <c r="AI124" s="8"/>
      <c r="AJ124" s="8">
        <f t="shared" si="115"/>
        <v>0</v>
      </c>
      <c r="AK124" s="8">
        <f t="shared" si="122"/>
        <v>0</v>
      </c>
      <c r="AL124" s="8">
        <f t="shared" si="116"/>
        <v>0</v>
      </c>
      <c r="AM124" s="8">
        <f t="shared" si="119"/>
        <v>0</v>
      </c>
      <c r="AN124" s="8">
        <f t="shared" si="123"/>
        <v>0</v>
      </c>
      <c r="AO124" s="8">
        <f t="shared" si="124"/>
        <v>0</v>
      </c>
      <c r="AP124" s="8">
        <f t="shared" si="125"/>
        <v>0</v>
      </c>
      <c r="AQ124" s="381"/>
      <c r="AR124" s="397"/>
      <c r="AS124" s="397"/>
    </row>
    <row r="125" spans="2:45" ht="29.4" thickBot="1" x14ac:dyDescent="0.35">
      <c r="B125" s="441"/>
      <c r="C125" s="428"/>
      <c r="D125" s="88" t="s">
        <v>14</v>
      </c>
      <c r="E125" s="25" t="s">
        <v>55</v>
      </c>
      <c r="F125" s="2"/>
      <c r="G125" s="49" t="s">
        <v>80</v>
      </c>
      <c r="H125" s="50" t="s">
        <v>56</v>
      </c>
      <c r="I125" s="51">
        <v>22</v>
      </c>
      <c r="J125" s="50" t="s">
        <v>30</v>
      </c>
      <c r="K125" s="51">
        <v>90</v>
      </c>
      <c r="L125" s="50" t="s">
        <v>57</v>
      </c>
      <c r="M125" s="51">
        <v>54</v>
      </c>
      <c r="N125" s="50">
        <v>1.5</v>
      </c>
      <c r="O125" s="50"/>
      <c r="P125" s="50"/>
      <c r="Q125" s="399" t="s">
        <v>72</v>
      </c>
      <c r="R125" s="399"/>
      <c r="S125" s="12">
        <f>10*365</f>
        <v>3650</v>
      </c>
      <c r="T125" s="9">
        <f t="shared" si="120"/>
        <v>304.16666666666669</v>
      </c>
      <c r="U125" s="9">
        <f t="shared" si="121"/>
        <v>10</v>
      </c>
      <c r="V125" s="21">
        <f t="shared" si="117"/>
        <v>9.433962264150944</v>
      </c>
      <c r="W125" s="11">
        <f t="shared" si="112"/>
        <v>803</v>
      </c>
      <c r="X125" s="424"/>
      <c r="Y125" s="11">
        <f t="shared" si="113"/>
        <v>722.7</v>
      </c>
      <c r="Z125" s="424"/>
      <c r="AA125" s="68">
        <f t="shared" si="118"/>
        <v>15.431978488757256</v>
      </c>
      <c r="AB125" s="431"/>
      <c r="AC125" s="409"/>
      <c r="AD125" s="412"/>
      <c r="AE125" s="409"/>
      <c r="AF125" s="45">
        <v>170</v>
      </c>
      <c r="AG125" s="8">
        <f t="shared" si="114"/>
        <v>122859.00000000001</v>
      </c>
      <c r="AH125" s="8"/>
      <c r="AI125" s="8"/>
      <c r="AJ125" s="8">
        <f t="shared" si="115"/>
        <v>33.660000000000004</v>
      </c>
      <c r="AK125" s="8">
        <f t="shared" si="122"/>
        <v>336.6</v>
      </c>
      <c r="AL125" s="8">
        <f t="shared" si="116"/>
        <v>181.76400000000004</v>
      </c>
      <c r="AM125" s="8">
        <f t="shared" si="119"/>
        <v>66343.860000000015</v>
      </c>
      <c r="AN125" s="8">
        <f t="shared" si="123"/>
        <v>6725.2680000000018</v>
      </c>
      <c r="AO125" s="8">
        <f t="shared" si="124"/>
        <v>3.0357112500000012E-2</v>
      </c>
      <c r="AP125" s="8">
        <f t="shared" si="125"/>
        <v>728.57070000000033</v>
      </c>
      <c r="AQ125" s="381"/>
      <c r="AR125" s="397"/>
      <c r="AS125" s="397"/>
    </row>
    <row r="126" spans="2:45" ht="15" thickBot="1" x14ac:dyDescent="0.35">
      <c r="B126" s="441"/>
      <c r="C126" s="428"/>
      <c r="D126" s="88" t="s">
        <v>15</v>
      </c>
      <c r="E126" s="25" t="s">
        <v>7</v>
      </c>
      <c r="F126" s="2"/>
      <c r="G126" s="49">
        <v>5.7</v>
      </c>
      <c r="H126" s="58" t="s">
        <v>51</v>
      </c>
      <c r="I126" s="51">
        <v>21</v>
      </c>
      <c r="J126" s="50" t="s">
        <v>32</v>
      </c>
      <c r="K126" s="51">
        <v>65</v>
      </c>
      <c r="L126" s="50" t="s">
        <v>52</v>
      </c>
      <c r="M126" s="51">
        <v>58</v>
      </c>
      <c r="N126" s="50"/>
      <c r="O126" s="50"/>
      <c r="P126" s="50"/>
      <c r="Q126" s="399" t="e">
        <f>O126/N126</f>
        <v>#DIV/0!</v>
      </c>
      <c r="R126" s="399"/>
      <c r="S126" s="12">
        <f>10*365</f>
        <v>3650</v>
      </c>
      <c r="T126" s="9">
        <f t="shared" si="120"/>
        <v>304.16666666666669</v>
      </c>
      <c r="U126" s="9">
        <f t="shared" si="121"/>
        <v>10</v>
      </c>
      <c r="V126" s="21">
        <f t="shared" si="117"/>
        <v>9.433962264150944</v>
      </c>
      <c r="W126" s="11">
        <f t="shared" si="112"/>
        <v>766.5</v>
      </c>
      <c r="X126" s="424"/>
      <c r="Y126" s="11">
        <f t="shared" si="113"/>
        <v>498.22500000000002</v>
      </c>
      <c r="Z126" s="424"/>
      <c r="AA126" s="11">
        <f t="shared" si="118"/>
        <v>10.638712443006897</v>
      </c>
      <c r="AB126" s="431"/>
      <c r="AC126" s="409"/>
      <c r="AD126" s="412"/>
      <c r="AE126" s="409"/>
      <c r="AF126" s="45">
        <v>580</v>
      </c>
      <c r="AG126" s="8">
        <f t="shared" si="114"/>
        <v>288970.5</v>
      </c>
      <c r="AH126" s="8"/>
      <c r="AI126" s="8"/>
      <c r="AJ126" s="8">
        <f t="shared" si="115"/>
        <v>79.17</v>
      </c>
      <c r="AK126" s="8">
        <f t="shared" si="122"/>
        <v>791.7</v>
      </c>
      <c r="AL126" s="8">
        <f t="shared" si="116"/>
        <v>459.18599999999998</v>
      </c>
      <c r="AM126" s="8">
        <f t="shared" si="119"/>
        <v>167602.88999999998</v>
      </c>
      <c r="AN126" s="8">
        <f t="shared" si="123"/>
        <v>16989.881999999998</v>
      </c>
      <c r="AO126" s="8">
        <f t="shared" si="124"/>
        <v>7.6690439583333325E-2</v>
      </c>
      <c r="AP126" s="8">
        <f t="shared" si="125"/>
        <v>1840.5705499999999</v>
      </c>
      <c r="AQ126" s="381"/>
      <c r="AR126" s="397"/>
      <c r="AS126" s="397"/>
    </row>
    <row r="127" spans="2:45" ht="58.2" thickBot="1" x14ac:dyDescent="0.35">
      <c r="B127" s="441"/>
      <c r="C127" s="428"/>
      <c r="D127" s="88" t="s">
        <v>16</v>
      </c>
      <c r="E127" s="25" t="s">
        <v>53</v>
      </c>
      <c r="F127" s="2"/>
      <c r="G127" s="59"/>
      <c r="H127" s="60" t="s">
        <v>28</v>
      </c>
      <c r="I127" s="61">
        <v>16</v>
      </c>
      <c r="J127" s="60" t="s">
        <v>34</v>
      </c>
      <c r="K127" s="61">
        <v>85</v>
      </c>
      <c r="L127" s="60" t="s">
        <v>54</v>
      </c>
      <c r="M127" s="61">
        <v>52</v>
      </c>
      <c r="N127" s="60" t="s">
        <v>76</v>
      </c>
      <c r="O127" s="60"/>
      <c r="P127" s="60"/>
      <c r="Q127" s="427" t="e">
        <f>O127/N127</f>
        <v>#VALUE!</v>
      </c>
      <c r="R127" s="427"/>
      <c r="S127" s="14"/>
      <c r="T127" s="9">
        <f t="shared" si="120"/>
        <v>0</v>
      </c>
      <c r="U127" s="9">
        <f t="shared" si="121"/>
        <v>0</v>
      </c>
      <c r="V127" s="21">
        <f t="shared" si="117"/>
        <v>0</v>
      </c>
      <c r="W127" s="11">
        <f t="shared" si="112"/>
        <v>0</v>
      </c>
      <c r="X127" s="429"/>
      <c r="Y127" s="11">
        <f t="shared" si="113"/>
        <v>0</v>
      </c>
      <c r="Z127" s="429"/>
      <c r="AA127" s="11">
        <f t="shared" si="118"/>
        <v>0</v>
      </c>
      <c r="AB127" s="431"/>
      <c r="AC127" s="409"/>
      <c r="AD127" s="412"/>
      <c r="AE127" s="409"/>
      <c r="AF127" s="46">
        <v>700</v>
      </c>
      <c r="AG127" s="8">
        <f t="shared" si="114"/>
        <v>0</v>
      </c>
      <c r="AH127" s="8"/>
      <c r="AI127" s="8"/>
      <c r="AJ127" s="8">
        <f t="shared" si="115"/>
        <v>0</v>
      </c>
      <c r="AK127" s="8">
        <f t="shared" si="122"/>
        <v>0</v>
      </c>
      <c r="AL127" s="8">
        <f t="shared" si="116"/>
        <v>0</v>
      </c>
      <c r="AM127" s="8">
        <f t="shared" si="119"/>
        <v>0</v>
      </c>
      <c r="AN127" s="8">
        <f t="shared" si="123"/>
        <v>0</v>
      </c>
      <c r="AO127" s="8">
        <f t="shared" si="124"/>
        <v>0</v>
      </c>
      <c r="AP127" s="8">
        <f t="shared" si="125"/>
        <v>0</v>
      </c>
      <c r="AQ127" s="382"/>
      <c r="AR127" s="398"/>
      <c r="AS127" s="398"/>
    </row>
    <row r="128" spans="2:45" ht="18" x14ac:dyDescent="0.3">
      <c r="B128" s="441"/>
      <c r="S128" s="17">
        <f t="shared" ref="S128:W128" si="126">SUM(S116:S127)</f>
        <v>38690</v>
      </c>
      <c r="T128" s="17">
        <f t="shared" si="126"/>
        <v>3224.1666666666665</v>
      </c>
      <c r="U128" s="17">
        <f t="shared" si="126"/>
        <v>106</v>
      </c>
      <c r="V128" s="17">
        <f t="shared" si="126"/>
        <v>100.00000000000003</v>
      </c>
      <c r="W128" s="16">
        <f t="shared" si="126"/>
        <v>5810.7999999999993</v>
      </c>
      <c r="X128" s="16"/>
      <c r="Y128" s="16">
        <f>SUM(Y116:Y127)</f>
        <v>4683.1325000000006</v>
      </c>
      <c r="Z128" s="16"/>
      <c r="AA128" s="16">
        <f>SUM(AA116:AA127)</f>
        <v>99.999999999999986</v>
      </c>
      <c r="AB128" s="16"/>
      <c r="AC128" s="16"/>
      <c r="AD128" s="16"/>
      <c r="AE128" s="16"/>
      <c r="AF128" s="16"/>
      <c r="AG128" s="16">
        <f>SUM(AG116:AG127)</f>
        <v>2048014.9999999998</v>
      </c>
      <c r="AH128" s="16"/>
      <c r="AI128" s="16"/>
      <c r="AJ128" s="16"/>
      <c r="AK128" s="16">
        <f t="shared" ref="AK128:AP128" si="127">SUM(AK116:AK127)</f>
        <v>5611</v>
      </c>
      <c r="AL128" s="18">
        <f t="shared" si="127"/>
        <v>3141.1825000000003</v>
      </c>
      <c r="AM128" s="18">
        <f t="shared" si="127"/>
        <v>1146531.6124999998</v>
      </c>
      <c r="AN128" s="16">
        <f t="shared" si="127"/>
        <v>116223.75249999999</v>
      </c>
      <c r="AO128" s="16">
        <f t="shared" si="127"/>
        <v>0.52462110503472226</v>
      </c>
      <c r="AP128" s="16">
        <f t="shared" si="127"/>
        <v>12590.906520833334</v>
      </c>
      <c r="AQ128" s="16"/>
      <c r="AR128" s="16"/>
    </row>
    <row r="129" spans="2:45" x14ac:dyDescent="0.3">
      <c r="B129" s="441"/>
    </row>
    <row r="130" spans="2:45" ht="15" thickBot="1" x14ac:dyDescent="0.35">
      <c r="B130" s="441"/>
    </row>
    <row r="131" spans="2:45" ht="15" thickBot="1" x14ac:dyDescent="0.35">
      <c r="B131" s="441"/>
      <c r="C131" s="416" t="s">
        <v>148</v>
      </c>
      <c r="D131" s="419" t="s">
        <v>9</v>
      </c>
      <c r="E131" s="25" t="s">
        <v>17</v>
      </c>
      <c r="F131" s="2"/>
      <c r="G131" s="62">
        <v>8.1</v>
      </c>
      <c r="H131" s="51" t="s">
        <v>42</v>
      </c>
      <c r="I131" s="51">
        <v>17</v>
      </c>
      <c r="J131" s="51" t="s">
        <v>43</v>
      </c>
      <c r="K131" s="51">
        <v>72</v>
      </c>
      <c r="L131" s="51">
        <v>58</v>
      </c>
      <c r="M131" s="51">
        <v>55</v>
      </c>
      <c r="N131" s="51">
        <v>1.77</v>
      </c>
      <c r="O131" s="51">
        <v>35.69</v>
      </c>
      <c r="P131" s="48"/>
      <c r="Q131" s="422">
        <f>O131/N131</f>
        <v>20.163841807909602</v>
      </c>
      <c r="R131" s="422"/>
      <c r="S131" s="29"/>
      <c r="T131" s="28">
        <f>S131/12</f>
        <v>0</v>
      </c>
      <c r="U131" s="31">
        <f>S131/365</f>
        <v>0</v>
      </c>
      <c r="V131" s="38">
        <f>(T131*100)/$T$143</f>
        <v>0</v>
      </c>
      <c r="W131" s="31">
        <f t="shared" ref="W131:W142" si="128">I131%*S131</f>
        <v>0</v>
      </c>
      <c r="X131" s="423">
        <f>W143/365</f>
        <v>9.93</v>
      </c>
      <c r="Y131" s="31">
        <f t="shared" ref="Y131:Y142" si="129">W131*K131%</f>
        <v>0</v>
      </c>
      <c r="Z131" s="402">
        <f>Y143/365</f>
        <v>9.4281999999999986</v>
      </c>
      <c r="AA131" s="41">
        <f>(Y131*100)/$Y$143</f>
        <v>0</v>
      </c>
      <c r="AB131" s="405">
        <v>5</v>
      </c>
      <c r="AC131" s="408">
        <f>(X131-AB131)/X131</f>
        <v>0.49647532729103727</v>
      </c>
      <c r="AD131" s="411">
        <v>8.5</v>
      </c>
      <c r="AE131" s="408">
        <f>(Z131-AD131)/Z131</f>
        <v>9.8449332852506177E-2</v>
      </c>
      <c r="AF131" s="47">
        <v>280</v>
      </c>
      <c r="AG131" s="32">
        <f t="shared" ref="AG131:AG142" si="130">Y131*AF131</f>
        <v>0</v>
      </c>
      <c r="AH131" s="32"/>
      <c r="AI131" s="32"/>
      <c r="AJ131" s="32">
        <f t="shared" ref="AJ131:AJ142" si="131">IFERROR(AG131/S131,0)</f>
        <v>0</v>
      </c>
      <c r="AK131" s="32">
        <f>AG131/365</f>
        <v>0</v>
      </c>
      <c r="AL131" s="32">
        <f t="shared" ref="AL131:AL142" si="132">IFERROR(AG131*M131%/365,0)</f>
        <v>0</v>
      </c>
      <c r="AM131" s="32">
        <f>AL131*365</f>
        <v>0</v>
      </c>
      <c r="AN131" s="32">
        <f>AL131*37</f>
        <v>0</v>
      </c>
      <c r="AO131" s="32">
        <f>AN131/3600/24*0.39</f>
        <v>0</v>
      </c>
      <c r="AP131" s="32">
        <f>AO131*1000*24</f>
        <v>0</v>
      </c>
      <c r="AQ131" s="414">
        <v>14000000</v>
      </c>
      <c r="AR131" s="396">
        <f>(Z131*1000)/3.7</f>
        <v>2548.1621621621616</v>
      </c>
      <c r="AS131" s="396">
        <f>AR131/U143</f>
        <v>77.217035217035203</v>
      </c>
    </row>
    <row r="132" spans="2:45" ht="29.4" thickBot="1" x14ac:dyDescent="0.35">
      <c r="B132" s="441"/>
      <c r="C132" s="417"/>
      <c r="D132" s="420"/>
      <c r="E132" s="25" t="s">
        <v>45</v>
      </c>
      <c r="F132" s="2"/>
      <c r="G132" s="49">
        <v>5.09</v>
      </c>
      <c r="H132" s="50" t="s">
        <v>46</v>
      </c>
      <c r="I132" s="51">
        <v>33</v>
      </c>
      <c r="J132" s="52" t="s">
        <v>47</v>
      </c>
      <c r="K132" s="51">
        <v>57</v>
      </c>
      <c r="L132" s="50">
        <v>55</v>
      </c>
      <c r="M132" s="51">
        <v>55</v>
      </c>
      <c r="N132" s="50">
        <v>4.33</v>
      </c>
      <c r="O132" s="50">
        <v>42.82</v>
      </c>
      <c r="P132" s="50"/>
      <c r="Q132" s="399">
        <f>O132/N132</f>
        <v>9.8891454965357966</v>
      </c>
      <c r="R132" s="399"/>
      <c r="S132" s="12"/>
      <c r="T132" s="9">
        <f>S132/12</f>
        <v>0</v>
      </c>
      <c r="U132" s="11">
        <f>S132/365</f>
        <v>0</v>
      </c>
      <c r="V132" s="39">
        <f t="shared" ref="V132:V141" si="133">(T132*100)/$T$143</f>
        <v>0</v>
      </c>
      <c r="W132" s="11">
        <f t="shared" si="128"/>
        <v>0</v>
      </c>
      <c r="X132" s="424"/>
      <c r="Y132" s="11">
        <f t="shared" si="129"/>
        <v>0</v>
      </c>
      <c r="Z132" s="403"/>
      <c r="AA132" s="42">
        <f t="shared" ref="AA132:AA142" si="134">(Y132*100)/$Y$143</f>
        <v>0</v>
      </c>
      <c r="AB132" s="406"/>
      <c r="AC132" s="409"/>
      <c r="AD132" s="412"/>
      <c r="AE132" s="409"/>
      <c r="AF132" s="45">
        <v>300</v>
      </c>
      <c r="AG132" s="8">
        <f t="shared" si="130"/>
        <v>0</v>
      </c>
      <c r="AH132" s="8"/>
      <c r="AI132" s="8"/>
      <c r="AJ132" s="8">
        <f t="shared" si="131"/>
        <v>0</v>
      </c>
      <c r="AK132" s="8">
        <f>AG132/365</f>
        <v>0</v>
      </c>
      <c r="AL132" s="8">
        <f t="shared" si="132"/>
        <v>0</v>
      </c>
      <c r="AM132" s="8">
        <f t="shared" ref="AM132:AM142" si="135">AL132*365</f>
        <v>0</v>
      </c>
      <c r="AN132" s="8">
        <f>AL132*37</f>
        <v>0</v>
      </c>
      <c r="AO132" s="8">
        <f>AN132/3600/24*0.39</f>
        <v>0</v>
      </c>
      <c r="AP132" s="8">
        <f>AO132*1000*24</f>
        <v>0</v>
      </c>
      <c r="AQ132" s="381"/>
      <c r="AR132" s="397"/>
      <c r="AS132" s="397"/>
    </row>
    <row r="133" spans="2:45" ht="15" thickBot="1" x14ac:dyDescent="0.35">
      <c r="B133" s="441"/>
      <c r="C133" s="417"/>
      <c r="D133" s="421"/>
      <c r="E133" s="25" t="s">
        <v>6</v>
      </c>
      <c r="F133" s="2"/>
      <c r="G133" s="49">
        <v>7.8</v>
      </c>
      <c r="H133" s="50" t="s">
        <v>48</v>
      </c>
      <c r="I133" s="51">
        <v>20</v>
      </c>
      <c r="J133" s="50" t="s">
        <v>154</v>
      </c>
      <c r="K133" s="51">
        <v>68</v>
      </c>
      <c r="L133" s="50">
        <v>58</v>
      </c>
      <c r="M133" s="51">
        <v>60</v>
      </c>
      <c r="N133" s="50">
        <v>2.15</v>
      </c>
      <c r="O133" s="50">
        <v>38.4</v>
      </c>
      <c r="P133" s="50"/>
      <c r="Q133" s="399">
        <f>O133/N133</f>
        <v>17.86046511627907</v>
      </c>
      <c r="R133" s="399"/>
      <c r="S133" s="12"/>
      <c r="T133" s="9">
        <f>S133/12</f>
        <v>0</v>
      </c>
      <c r="U133" s="11">
        <f>S133/365</f>
        <v>0</v>
      </c>
      <c r="V133" s="39">
        <f t="shared" si="133"/>
        <v>0</v>
      </c>
      <c r="W133" s="11">
        <f t="shared" si="128"/>
        <v>0</v>
      </c>
      <c r="X133" s="424"/>
      <c r="Y133" s="11">
        <f t="shared" si="129"/>
        <v>0</v>
      </c>
      <c r="Z133" s="403"/>
      <c r="AA133" s="42">
        <f t="shared" si="134"/>
        <v>0</v>
      </c>
      <c r="AB133" s="406"/>
      <c r="AC133" s="409"/>
      <c r="AD133" s="412"/>
      <c r="AE133" s="409"/>
      <c r="AF133" s="45">
        <v>280</v>
      </c>
      <c r="AG133" s="8">
        <f t="shared" si="130"/>
        <v>0</v>
      </c>
      <c r="AH133" s="8"/>
      <c r="AI133" s="8"/>
      <c r="AJ133" s="8">
        <f t="shared" si="131"/>
        <v>0</v>
      </c>
      <c r="AK133" s="8">
        <f>AG133/365</f>
        <v>0</v>
      </c>
      <c r="AL133" s="8">
        <f t="shared" si="132"/>
        <v>0</v>
      </c>
      <c r="AM133" s="8">
        <f t="shared" si="135"/>
        <v>0</v>
      </c>
      <c r="AN133" s="8">
        <f>AL133*37</f>
        <v>0</v>
      </c>
      <c r="AO133" s="8">
        <f>AN133/3600/24*0.39</f>
        <v>0</v>
      </c>
      <c r="AP133" s="8">
        <f>AO133*1000*24</f>
        <v>0</v>
      </c>
      <c r="AQ133" s="381"/>
      <c r="AR133" s="397"/>
      <c r="AS133" s="397"/>
    </row>
    <row r="134" spans="2:45" ht="15" thickBot="1" x14ac:dyDescent="0.35">
      <c r="B134" s="441"/>
      <c r="C134" s="417"/>
      <c r="D134" s="88" t="s">
        <v>10</v>
      </c>
      <c r="E134" s="25" t="s">
        <v>18</v>
      </c>
      <c r="F134" s="2"/>
      <c r="G134" s="53" t="s">
        <v>22</v>
      </c>
      <c r="H134" s="54" t="s">
        <v>20</v>
      </c>
      <c r="I134" s="51">
        <v>8</v>
      </c>
      <c r="J134" s="52" t="s">
        <v>23</v>
      </c>
      <c r="K134" s="51">
        <v>80</v>
      </c>
      <c r="L134" s="52" t="s">
        <v>44</v>
      </c>
      <c r="M134" s="51">
        <v>50</v>
      </c>
      <c r="N134" s="55" t="s">
        <v>24</v>
      </c>
      <c r="O134" s="50"/>
      <c r="P134" s="50"/>
      <c r="Q134" s="399">
        <f>O134/N134</f>
        <v>0</v>
      </c>
      <c r="R134" s="399"/>
      <c r="S134" s="12">
        <f>3*365</f>
        <v>1095</v>
      </c>
      <c r="T134" s="9">
        <f t="shared" ref="T134:T142" si="136">S134/12</f>
        <v>91.25</v>
      </c>
      <c r="U134" s="11">
        <f t="shared" ref="U134:U142" si="137">S134/365</f>
        <v>3</v>
      </c>
      <c r="V134" s="39">
        <f t="shared" si="133"/>
        <v>9.0909090909090917</v>
      </c>
      <c r="W134" s="11">
        <f t="shared" si="128"/>
        <v>87.600000000000009</v>
      </c>
      <c r="X134" s="424"/>
      <c r="Y134" s="11">
        <f t="shared" si="129"/>
        <v>70.080000000000013</v>
      </c>
      <c r="Z134" s="403"/>
      <c r="AA134" s="42">
        <f t="shared" si="134"/>
        <v>2.0364438599096331</v>
      </c>
      <c r="AB134" s="406"/>
      <c r="AC134" s="409"/>
      <c r="AD134" s="412"/>
      <c r="AE134" s="409"/>
      <c r="AF134" s="45">
        <v>200</v>
      </c>
      <c r="AG134" s="8">
        <f t="shared" si="130"/>
        <v>14016.000000000002</v>
      </c>
      <c r="AH134" s="8"/>
      <c r="AI134" s="8"/>
      <c r="AJ134" s="8">
        <f t="shared" si="131"/>
        <v>12.800000000000002</v>
      </c>
      <c r="AK134" s="8">
        <f t="shared" ref="AK134:AK142" si="138">AG134/365</f>
        <v>38.400000000000006</v>
      </c>
      <c r="AL134" s="8">
        <f t="shared" si="132"/>
        <v>19.200000000000003</v>
      </c>
      <c r="AM134" s="8">
        <f t="shared" si="135"/>
        <v>7008.0000000000009</v>
      </c>
      <c r="AN134" s="8">
        <f t="shared" ref="AN134:AN142" si="139">AL134*37</f>
        <v>710.40000000000009</v>
      </c>
      <c r="AO134" s="8">
        <f t="shared" ref="AO134:AO142" si="140">AN134/3600/24*0.39</f>
        <v>3.2066666666666671E-3</v>
      </c>
      <c r="AP134" s="8">
        <f t="shared" ref="AP134:AP142" si="141">AO134*1000*24</f>
        <v>76.960000000000008</v>
      </c>
      <c r="AQ134" s="381"/>
      <c r="AR134" s="397"/>
      <c r="AS134" s="397"/>
    </row>
    <row r="135" spans="2:45" ht="15" thickBot="1" x14ac:dyDescent="0.35">
      <c r="B135" s="441"/>
      <c r="C135" s="417"/>
      <c r="D135" s="88" t="s">
        <v>11</v>
      </c>
      <c r="E135" s="27" t="s">
        <v>58</v>
      </c>
      <c r="F135" s="24"/>
      <c r="G135" s="56" t="s">
        <v>67</v>
      </c>
      <c r="H135" s="50" t="s">
        <v>59</v>
      </c>
      <c r="I135" s="51">
        <v>12</v>
      </c>
      <c r="J135" s="50">
        <v>89</v>
      </c>
      <c r="K135" s="51">
        <v>89</v>
      </c>
      <c r="L135" s="50" t="s">
        <v>57</v>
      </c>
      <c r="M135" s="51">
        <v>51</v>
      </c>
      <c r="N135" s="50">
        <v>1.4</v>
      </c>
      <c r="O135" s="50"/>
      <c r="P135" s="50"/>
      <c r="Q135" s="399" t="s">
        <v>70</v>
      </c>
      <c r="R135" s="399"/>
      <c r="S135" s="12"/>
      <c r="T135" s="9">
        <f t="shared" si="136"/>
        <v>0</v>
      </c>
      <c r="U135" s="11">
        <f t="shared" si="137"/>
        <v>0</v>
      </c>
      <c r="V135" s="39">
        <f t="shared" si="133"/>
        <v>0</v>
      </c>
      <c r="W135" s="11">
        <f t="shared" si="128"/>
        <v>0</v>
      </c>
      <c r="X135" s="424"/>
      <c r="Y135" s="11">
        <f t="shared" si="129"/>
        <v>0</v>
      </c>
      <c r="Z135" s="403"/>
      <c r="AA135" s="42">
        <f t="shared" si="134"/>
        <v>0</v>
      </c>
      <c r="AB135" s="406"/>
      <c r="AC135" s="409"/>
      <c r="AD135" s="412"/>
      <c r="AE135" s="409"/>
      <c r="AF135" s="45">
        <v>300</v>
      </c>
      <c r="AG135" s="8">
        <f t="shared" si="130"/>
        <v>0</v>
      </c>
      <c r="AH135" s="8"/>
      <c r="AI135" s="8"/>
      <c r="AJ135" s="8">
        <f t="shared" si="131"/>
        <v>0</v>
      </c>
      <c r="AK135" s="8">
        <f t="shared" si="138"/>
        <v>0</v>
      </c>
      <c r="AL135" s="8">
        <f t="shared" si="132"/>
        <v>0</v>
      </c>
      <c r="AM135" s="8">
        <f t="shared" si="135"/>
        <v>0</v>
      </c>
      <c r="AN135" s="8">
        <f t="shared" si="139"/>
        <v>0</v>
      </c>
      <c r="AO135" s="8">
        <f t="shared" si="140"/>
        <v>0</v>
      </c>
      <c r="AP135" s="8">
        <f t="shared" si="141"/>
        <v>0</v>
      </c>
      <c r="AQ135" s="381"/>
      <c r="AR135" s="397"/>
      <c r="AS135" s="397"/>
    </row>
    <row r="136" spans="2:45" ht="29.4" thickBot="1" x14ac:dyDescent="0.35">
      <c r="B136" s="441"/>
      <c r="C136" s="417"/>
      <c r="D136" s="426" t="s">
        <v>12</v>
      </c>
      <c r="E136" s="27" t="s">
        <v>27</v>
      </c>
      <c r="F136" s="24"/>
      <c r="G136" s="57" t="s">
        <v>29</v>
      </c>
      <c r="H136" s="50" t="s">
        <v>28</v>
      </c>
      <c r="I136" s="51">
        <v>25</v>
      </c>
      <c r="J136" s="50" t="s">
        <v>60</v>
      </c>
      <c r="K136" s="51">
        <v>90</v>
      </c>
      <c r="L136" s="50">
        <v>65</v>
      </c>
      <c r="M136" s="51">
        <v>60</v>
      </c>
      <c r="N136" s="55" t="s">
        <v>61</v>
      </c>
      <c r="O136" s="50"/>
      <c r="P136" s="50"/>
      <c r="Q136" s="399">
        <v>35</v>
      </c>
      <c r="R136" s="399"/>
      <c r="S136" s="12">
        <f>3*365</f>
        <v>1095</v>
      </c>
      <c r="T136" s="9">
        <f t="shared" si="136"/>
        <v>91.25</v>
      </c>
      <c r="U136" s="11">
        <f t="shared" si="137"/>
        <v>3</v>
      </c>
      <c r="V136" s="39">
        <f t="shared" si="133"/>
        <v>9.0909090909090917</v>
      </c>
      <c r="W136" s="11">
        <f t="shared" si="128"/>
        <v>273.75</v>
      </c>
      <c r="X136" s="424"/>
      <c r="Y136" s="11">
        <f t="shared" si="129"/>
        <v>246.375</v>
      </c>
      <c r="Z136" s="403"/>
      <c r="AA136" s="67">
        <f t="shared" si="134"/>
        <v>7.1593729449948036</v>
      </c>
      <c r="AB136" s="406"/>
      <c r="AC136" s="409"/>
      <c r="AD136" s="412"/>
      <c r="AE136" s="409"/>
      <c r="AF136" s="45">
        <v>590</v>
      </c>
      <c r="AG136" s="8">
        <f t="shared" si="130"/>
        <v>145361.25</v>
      </c>
      <c r="AH136" s="8"/>
      <c r="AI136" s="8"/>
      <c r="AJ136" s="8">
        <f t="shared" si="131"/>
        <v>132.75</v>
      </c>
      <c r="AK136" s="8">
        <f t="shared" si="138"/>
        <v>398.25</v>
      </c>
      <c r="AL136" s="8">
        <f t="shared" si="132"/>
        <v>238.95</v>
      </c>
      <c r="AM136" s="8">
        <f t="shared" si="135"/>
        <v>87216.75</v>
      </c>
      <c r="AN136" s="8">
        <f t="shared" si="139"/>
        <v>8841.15</v>
      </c>
      <c r="AO136" s="8">
        <f t="shared" si="140"/>
        <v>3.9907968750000002E-2</v>
      </c>
      <c r="AP136" s="8">
        <f t="shared" si="141"/>
        <v>957.79124999999999</v>
      </c>
      <c r="AQ136" s="381"/>
      <c r="AR136" s="397"/>
      <c r="AS136" s="397"/>
    </row>
    <row r="137" spans="2:45" ht="29.4" thickBot="1" x14ac:dyDescent="0.35">
      <c r="B137" s="441"/>
      <c r="C137" s="417"/>
      <c r="D137" s="426"/>
      <c r="E137" s="27" t="s">
        <v>158</v>
      </c>
      <c r="F137" s="2"/>
      <c r="G137" s="57" t="s">
        <v>75</v>
      </c>
      <c r="H137" s="50" t="s">
        <v>155</v>
      </c>
      <c r="I137" s="51">
        <v>12</v>
      </c>
      <c r="J137" s="50" t="s">
        <v>62</v>
      </c>
      <c r="K137" s="51">
        <v>85</v>
      </c>
      <c r="L137" s="50" t="s">
        <v>63</v>
      </c>
      <c r="M137" s="51">
        <v>55</v>
      </c>
      <c r="N137" s="50"/>
      <c r="O137" s="50"/>
      <c r="P137" s="50"/>
      <c r="Q137" s="400"/>
      <c r="R137" s="401"/>
      <c r="S137" s="13"/>
      <c r="T137" s="9">
        <f t="shared" si="136"/>
        <v>0</v>
      </c>
      <c r="U137" s="11">
        <f t="shared" si="137"/>
        <v>0</v>
      </c>
      <c r="V137" s="39">
        <f t="shared" si="133"/>
        <v>0</v>
      </c>
      <c r="W137" s="11">
        <f t="shared" si="128"/>
        <v>0</v>
      </c>
      <c r="X137" s="424"/>
      <c r="Y137" s="11">
        <f t="shared" si="129"/>
        <v>0</v>
      </c>
      <c r="Z137" s="403"/>
      <c r="AA137" s="42">
        <f t="shared" si="134"/>
        <v>0</v>
      </c>
      <c r="AB137" s="406"/>
      <c r="AC137" s="409"/>
      <c r="AD137" s="412"/>
      <c r="AE137" s="409"/>
      <c r="AF137" s="45">
        <v>500</v>
      </c>
      <c r="AG137" s="8">
        <f t="shared" si="130"/>
        <v>0</v>
      </c>
      <c r="AH137" s="8"/>
      <c r="AI137" s="8"/>
      <c r="AJ137" s="8">
        <f t="shared" si="131"/>
        <v>0</v>
      </c>
      <c r="AK137" s="8">
        <f t="shared" si="138"/>
        <v>0</v>
      </c>
      <c r="AL137" s="8">
        <f t="shared" si="132"/>
        <v>0</v>
      </c>
      <c r="AM137" s="8">
        <f t="shared" si="135"/>
        <v>0</v>
      </c>
      <c r="AN137" s="8">
        <f t="shared" si="139"/>
        <v>0</v>
      </c>
      <c r="AO137" s="8">
        <f t="shared" si="140"/>
        <v>0</v>
      </c>
      <c r="AP137" s="8">
        <f t="shared" si="141"/>
        <v>0</v>
      </c>
      <c r="AQ137" s="381"/>
      <c r="AR137" s="397"/>
      <c r="AS137" s="397"/>
    </row>
    <row r="138" spans="2:45" ht="29.4" thickBot="1" x14ac:dyDescent="0.35">
      <c r="B138" s="441"/>
      <c r="C138" s="417"/>
      <c r="D138" s="426"/>
      <c r="E138" s="27" t="s">
        <v>64</v>
      </c>
      <c r="F138" s="24"/>
      <c r="G138" s="57" t="s">
        <v>79</v>
      </c>
      <c r="H138" s="55" t="s">
        <v>21</v>
      </c>
      <c r="I138" s="51">
        <v>8</v>
      </c>
      <c r="J138" s="50" t="s">
        <v>65</v>
      </c>
      <c r="K138" s="51">
        <v>83</v>
      </c>
      <c r="L138" s="50" t="s">
        <v>66</v>
      </c>
      <c r="M138" s="51">
        <v>58</v>
      </c>
      <c r="N138" s="55" t="s">
        <v>73</v>
      </c>
      <c r="O138" s="50"/>
      <c r="P138" s="50"/>
      <c r="Q138" s="400"/>
      <c r="R138" s="401"/>
      <c r="S138" s="13">
        <f>3*365</f>
        <v>1095</v>
      </c>
      <c r="T138" s="9">
        <f t="shared" si="136"/>
        <v>91.25</v>
      </c>
      <c r="U138" s="11">
        <f t="shared" si="137"/>
        <v>3</v>
      </c>
      <c r="V138" s="39">
        <f t="shared" si="133"/>
        <v>9.0909090909090917</v>
      </c>
      <c r="W138" s="11">
        <f t="shared" si="128"/>
        <v>87.600000000000009</v>
      </c>
      <c r="X138" s="424"/>
      <c r="Y138" s="11">
        <f t="shared" si="129"/>
        <v>72.707999999999998</v>
      </c>
      <c r="Z138" s="403"/>
      <c r="AA138" s="42">
        <f t="shared" si="134"/>
        <v>2.1128105046562444</v>
      </c>
      <c r="AB138" s="406"/>
      <c r="AC138" s="409"/>
      <c r="AD138" s="412"/>
      <c r="AE138" s="409"/>
      <c r="AF138" s="45">
        <v>400</v>
      </c>
      <c r="AG138" s="8">
        <f t="shared" si="130"/>
        <v>29083.200000000001</v>
      </c>
      <c r="AH138" s="8"/>
      <c r="AI138" s="8"/>
      <c r="AJ138" s="8">
        <f t="shared" si="131"/>
        <v>26.560000000000002</v>
      </c>
      <c r="AK138" s="8">
        <f t="shared" si="138"/>
        <v>79.680000000000007</v>
      </c>
      <c r="AL138" s="8">
        <f t="shared" si="132"/>
        <v>46.214399999999991</v>
      </c>
      <c r="AM138" s="8">
        <f t="shared" si="135"/>
        <v>16868.255999999998</v>
      </c>
      <c r="AN138" s="8">
        <f t="shared" si="139"/>
        <v>1709.9327999999996</v>
      </c>
      <c r="AO138" s="8">
        <f t="shared" si="140"/>
        <v>7.718446666666664E-3</v>
      </c>
      <c r="AP138" s="8">
        <f t="shared" si="141"/>
        <v>185.24271999999993</v>
      </c>
      <c r="AQ138" s="381"/>
      <c r="AR138" s="397"/>
      <c r="AS138" s="397"/>
    </row>
    <row r="139" spans="2:45" ht="29.4" thickBot="1" x14ac:dyDescent="0.35">
      <c r="B139" s="441"/>
      <c r="C139" s="417"/>
      <c r="D139" s="88" t="s">
        <v>13</v>
      </c>
      <c r="E139" s="26" t="s">
        <v>156</v>
      </c>
      <c r="F139" s="24" t="s">
        <v>112</v>
      </c>
      <c r="G139" s="49" t="s">
        <v>37</v>
      </c>
      <c r="H139" s="50" t="s">
        <v>38</v>
      </c>
      <c r="I139" s="51">
        <v>40</v>
      </c>
      <c r="J139" s="50" t="s">
        <v>39</v>
      </c>
      <c r="K139" s="51">
        <v>97</v>
      </c>
      <c r="L139" s="50" t="s">
        <v>50</v>
      </c>
      <c r="M139" s="51">
        <v>69</v>
      </c>
      <c r="N139" s="50" t="s">
        <v>35</v>
      </c>
      <c r="O139" s="50"/>
      <c r="P139" s="50"/>
      <c r="Q139" s="399" t="s">
        <v>36</v>
      </c>
      <c r="R139" s="399"/>
      <c r="S139" s="12">
        <f>19*365</f>
        <v>6935</v>
      </c>
      <c r="T139" s="9">
        <f t="shared" si="136"/>
        <v>577.91666666666663</v>
      </c>
      <c r="U139" s="11">
        <f t="shared" si="137"/>
        <v>19</v>
      </c>
      <c r="V139" s="39">
        <f t="shared" si="133"/>
        <v>57.575757575757571</v>
      </c>
      <c r="W139" s="11">
        <f t="shared" si="128"/>
        <v>2774</v>
      </c>
      <c r="X139" s="424"/>
      <c r="Y139" s="11">
        <f t="shared" si="129"/>
        <v>2690.7799999999997</v>
      </c>
      <c r="Z139" s="403"/>
      <c r="AA139" s="42">
        <f t="shared" si="134"/>
        <v>78.190959037780289</v>
      </c>
      <c r="AB139" s="406"/>
      <c r="AC139" s="409"/>
      <c r="AD139" s="412"/>
      <c r="AE139" s="409"/>
      <c r="AF139" s="45">
        <v>500</v>
      </c>
      <c r="AG139" s="8">
        <f t="shared" si="130"/>
        <v>1345389.9999999998</v>
      </c>
      <c r="AH139" s="8"/>
      <c r="AI139" s="8"/>
      <c r="AJ139" s="8">
        <f t="shared" si="131"/>
        <v>193.99999999999997</v>
      </c>
      <c r="AK139" s="8">
        <f t="shared" si="138"/>
        <v>3685.9999999999995</v>
      </c>
      <c r="AL139" s="8">
        <f t="shared" si="132"/>
        <v>2543.3399999999992</v>
      </c>
      <c r="AM139" s="8">
        <f t="shared" si="135"/>
        <v>928319.09999999974</v>
      </c>
      <c r="AN139" s="8">
        <f t="shared" si="139"/>
        <v>94103.579999999973</v>
      </c>
      <c r="AO139" s="8">
        <f t="shared" si="140"/>
        <v>0.42477310416666653</v>
      </c>
      <c r="AP139" s="8">
        <f t="shared" si="141"/>
        <v>10194.554499999997</v>
      </c>
      <c r="AQ139" s="381"/>
      <c r="AR139" s="397"/>
      <c r="AS139" s="397"/>
    </row>
    <row r="140" spans="2:45" ht="29.4" thickBot="1" x14ac:dyDescent="0.35">
      <c r="B140" s="441"/>
      <c r="C140" s="417"/>
      <c r="D140" s="88" t="s">
        <v>14</v>
      </c>
      <c r="E140" s="25" t="s">
        <v>55</v>
      </c>
      <c r="F140" s="2"/>
      <c r="G140" s="49" t="s">
        <v>80</v>
      </c>
      <c r="H140" s="50" t="s">
        <v>56</v>
      </c>
      <c r="I140" s="51">
        <v>22</v>
      </c>
      <c r="J140" s="50" t="s">
        <v>30</v>
      </c>
      <c r="K140" s="51">
        <v>90</v>
      </c>
      <c r="L140" s="50" t="s">
        <v>57</v>
      </c>
      <c r="M140" s="51">
        <v>54</v>
      </c>
      <c r="N140" s="50">
        <v>1.5</v>
      </c>
      <c r="O140" s="50"/>
      <c r="P140" s="50"/>
      <c r="Q140" s="399" t="s">
        <v>72</v>
      </c>
      <c r="R140" s="399"/>
      <c r="S140" s="12">
        <f>5*365</f>
        <v>1825</v>
      </c>
      <c r="T140" s="9">
        <f t="shared" si="136"/>
        <v>152.08333333333334</v>
      </c>
      <c r="U140" s="11">
        <f t="shared" si="137"/>
        <v>5</v>
      </c>
      <c r="V140" s="39">
        <f t="shared" si="133"/>
        <v>15.151515151515152</v>
      </c>
      <c r="W140" s="11">
        <f t="shared" si="128"/>
        <v>401.5</v>
      </c>
      <c r="X140" s="424"/>
      <c r="Y140" s="11">
        <f t="shared" si="129"/>
        <v>361.35</v>
      </c>
      <c r="Z140" s="403"/>
      <c r="AA140" s="42">
        <f t="shared" si="134"/>
        <v>10.500413652659045</v>
      </c>
      <c r="AB140" s="406"/>
      <c r="AC140" s="409"/>
      <c r="AD140" s="412"/>
      <c r="AE140" s="409"/>
      <c r="AF140" s="45">
        <v>170</v>
      </c>
      <c r="AG140" s="8">
        <f t="shared" si="130"/>
        <v>61429.500000000007</v>
      </c>
      <c r="AH140" s="8"/>
      <c r="AI140" s="8"/>
      <c r="AJ140" s="8">
        <f t="shared" si="131"/>
        <v>33.660000000000004</v>
      </c>
      <c r="AK140" s="8">
        <f t="shared" si="138"/>
        <v>168.3</v>
      </c>
      <c r="AL140" s="8">
        <f t="shared" si="132"/>
        <v>90.882000000000019</v>
      </c>
      <c r="AM140" s="8">
        <f t="shared" si="135"/>
        <v>33171.930000000008</v>
      </c>
      <c r="AN140" s="8">
        <f t="shared" si="139"/>
        <v>3362.6340000000009</v>
      </c>
      <c r="AO140" s="8">
        <f t="shared" si="140"/>
        <v>1.5178556250000006E-2</v>
      </c>
      <c r="AP140" s="8">
        <f t="shared" si="141"/>
        <v>364.28535000000016</v>
      </c>
      <c r="AQ140" s="381"/>
      <c r="AR140" s="397"/>
      <c r="AS140" s="397"/>
    </row>
    <row r="141" spans="2:45" ht="15" thickBot="1" x14ac:dyDescent="0.35">
      <c r="B141" s="441"/>
      <c r="C141" s="417"/>
      <c r="D141" s="88" t="s">
        <v>15</v>
      </c>
      <c r="E141" s="25" t="s">
        <v>7</v>
      </c>
      <c r="F141" s="2"/>
      <c r="G141" s="49">
        <v>5.7</v>
      </c>
      <c r="H141" s="58" t="s">
        <v>51</v>
      </c>
      <c r="I141" s="51">
        <v>21</v>
      </c>
      <c r="J141" s="50" t="s">
        <v>32</v>
      </c>
      <c r="K141" s="51">
        <v>65</v>
      </c>
      <c r="L141" s="50" t="s">
        <v>52</v>
      </c>
      <c r="M141" s="51">
        <v>58</v>
      </c>
      <c r="N141" s="50"/>
      <c r="O141" s="50"/>
      <c r="P141" s="50"/>
      <c r="Q141" s="399" t="e">
        <f>O141/N141</f>
        <v>#DIV/0!</v>
      </c>
      <c r="R141" s="399"/>
      <c r="S141" s="12"/>
      <c r="T141" s="9">
        <f t="shared" si="136"/>
        <v>0</v>
      </c>
      <c r="U141" s="11">
        <f t="shared" si="137"/>
        <v>0</v>
      </c>
      <c r="V141" s="39">
        <f t="shared" si="133"/>
        <v>0</v>
      </c>
      <c r="W141" s="11">
        <f t="shared" si="128"/>
        <v>0</v>
      </c>
      <c r="X141" s="424"/>
      <c r="Y141" s="11">
        <f t="shared" si="129"/>
        <v>0</v>
      </c>
      <c r="Z141" s="403"/>
      <c r="AA141" s="42">
        <f t="shared" si="134"/>
        <v>0</v>
      </c>
      <c r="AB141" s="406"/>
      <c r="AC141" s="409"/>
      <c r="AD141" s="412"/>
      <c r="AE141" s="409"/>
      <c r="AF141" s="45">
        <v>580</v>
      </c>
      <c r="AG141" s="8">
        <f t="shared" si="130"/>
        <v>0</v>
      </c>
      <c r="AH141" s="8"/>
      <c r="AI141" s="8"/>
      <c r="AJ141" s="8">
        <f t="shared" si="131"/>
        <v>0</v>
      </c>
      <c r="AK141" s="8">
        <f t="shared" si="138"/>
        <v>0</v>
      </c>
      <c r="AL141" s="8">
        <f t="shared" si="132"/>
        <v>0</v>
      </c>
      <c r="AM141" s="8">
        <f t="shared" si="135"/>
        <v>0</v>
      </c>
      <c r="AN141" s="8">
        <f t="shared" si="139"/>
        <v>0</v>
      </c>
      <c r="AO141" s="8">
        <f t="shared" si="140"/>
        <v>0</v>
      </c>
      <c r="AP141" s="8">
        <f t="shared" si="141"/>
        <v>0</v>
      </c>
      <c r="AQ141" s="381"/>
      <c r="AR141" s="397"/>
      <c r="AS141" s="397"/>
    </row>
    <row r="142" spans="2:45" ht="58.2" thickBot="1" x14ac:dyDescent="0.35">
      <c r="B142" s="441"/>
      <c r="C142" s="418"/>
      <c r="D142" s="88" t="s">
        <v>16</v>
      </c>
      <c r="E142" s="25" t="s">
        <v>53</v>
      </c>
      <c r="F142" s="2"/>
      <c r="G142" s="59"/>
      <c r="H142" s="60" t="s">
        <v>28</v>
      </c>
      <c r="I142" s="61">
        <v>16</v>
      </c>
      <c r="J142" s="60" t="s">
        <v>34</v>
      </c>
      <c r="K142" s="61">
        <v>85</v>
      </c>
      <c r="L142" s="60" t="s">
        <v>54</v>
      </c>
      <c r="M142" s="61">
        <v>52</v>
      </c>
      <c r="N142" s="60" t="s">
        <v>76</v>
      </c>
      <c r="O142" s="60"/>
      <c r="P142" s="60"/>
      <c r="Q142" s="427" t="e">
        <f>O142/N142</f>
        <v>#VALUE!</v>
      </c>
      <c r="R142" s="427"/>
      <c r="S142" s="14"/>
      <c r="T142" s="9">
        <f t="shared" si="136"/>
        <v>0</v>
      </c>
      <c r="U142" s="9">
        <f t="shared" si="137"/>
        <v>0</v>
      </c>
      <c r="V142" s="21">
        <f t="shared" ref="V142" si="142">(T142*100)/$T$128</f>
        <v>0</v>
      </c>
      <c r="W142" s="11">
        <f t="shared" si="128"/>
        <v>0</v>
      </c>
      <c r="X142" s="425"/>
      <c r="Y142" s="35">
        <f t="shared" si="129"/>
        <v>0</v>
      </c>
      <c r="Z142" s="404"/>
      <c r="AA142" s="43">
        <f t="shared" si="134"/>
        <v>0</v>
      </c>
      <c r="AB142" s="407"/>
      <c r="AC142" s="410"/>
      <c r="AD142" s="413"/>
      <c r="AE142" s="410"/>
      <c r="AF142" s="46">
        <v>700</v>
      </c>
      <c r="AG142" s="36">
        <f t="shared" si="130"/>
        <v>0</v>
      </c>
      <c r="AH142" s="36"/>
      <c r="AI142" s="36"/>
      <c r="AJ142" s="36">
        <f t="shared" si="131"/>
        <v>0</v>
      </c>
      <c r="AK142" s="36">
        <f t="shared" si="138"/>
        <v>0</v>
      </c>
      <c r="AL142" s="36">
        <f t="shared" si="132"/>
        <v>0</v>
      </c>
      <c r="AM142" s="36">
        <f t="shared" si="135"/>
        <v>0</v>
      </c>
      <c r="AN142" s="36">
        <f t="shared" si="139"/>
        <v>0</v>
      </c>
      <c r="AO142" s="36">
        <f t="shared" si="140"/>
        <v>0</v>
      </c>
      <c r="AP142" s="36">
        <f t="shared" si="141"/>
        <v>0</v>
      </c>
      <c r="AQ142" s="415"/>
      <c r="AR142" s="398"/>
      <c r="AS142" s="398"/>
    </row>
    <row r="143" spans="2:45" ht="18" x14ac:dyDescent="0.3">
      <c r="B143" s="441"/>
      <c r="S143" s="17">
        <f t="shared" ref="S143:W143" si="143">SUM(S131:S142)</f>
        <v>12045</v>
      </c>
      <c r="T143" s="17">
        <f t="shared" si="143"/>
        <v>1003.75</v>
      </c>
      <c r="U143" s="17">
        <f t="shared" si="143"/>
        <v>33</v>
      </c>
      <c r="V143" s="17">
        <f t="shared" si="143"/>
        <v>100</v>
      </c>
      <c r="W143" s="16">
        <f t="shared" si="143"/>
        <v>3624.45</v>
      </c>
      <c r="X143" s="16"/>
      <c r="Y143" s="16">
        <f>SUM(Y131:Y142)</f>
        <v>3441.2929999999997</v>
      </c>
      <c r="Z143" s="16"/>
      <c r="AA143" s="16">
        <f>SUM(AA131:AA142)</f>
        <v>100.00000000000001</v>
      </c>
      <c r="AB143" s="16"/>
      <c r="AC143" s="16"/>
      <c r="AD143" s="16"/>
      <c r="AE143" s="16"/>
      <c r="AF143" s="16"/>
      <c r="AG143" s="16">
        <f>SUM(AG131:AG142)</f>
        <v>1595279.9499999997</v>
      </c>
      <c r="AH143" s="16"/>
      <c r="AI143" s="16"/>
      <c r="AJ143" s="16"/>
      <c r="AK143" s="16">
        <f t="shared" ref="AK143:AP143" si="144">SUM(AK131:AK142)</f>
        <v>4370.63</v>
      </c>
      <c r="AL143" s="18">
        <f t="shared" si="144"/>
        <v>2938.5863999999992</v>
      </c>
      <c r="AM143" s="18">
        <f t="shared" si="144"/>
        <v>1072584.0359999996</v>
      </c>
      <c r="AN143" s="16">
        <f t="shared" si="144"/>
        <v>108727.69679999998</v>
      </c>
      <c r="AO143" s="16">
        <f t="shared" si="144"/>
        <v>0.49078474249999987</v>
      </c>
      <c r="AP143" s="16">
        <f t="shared" si="144"/>
        <v>11778.833819999996</v>
      </c>
      <c r="AQ143" s="16"/>
      <c r="AR143" s="16"/>
    </row>
    <row r="144" spans="2:45" x14ac:dyDescent="0.3">
      <c r="B144" s="441"/>
    </row>
    <row r="145" spans="2:45" ht="15" thickBot="1" x14ac:dyDescent="0.35">
      <c r="B145" s="441"/>
    </row>
    <row r="146" spans="2:45" ht="15" thickBot="1" x14ac:dyDescent="0.35">
      <c r="B146" s="441"/>
      <c r="C146" s="416" t="s">
        <v>149</v>
      </c>
      <c r="D146" s="419" t="s">
        <v>9</v>
      </c>
      <c r="E146" s="25" t="s">
        <v>17</v>
      </c>
      <c r="F146" s="2"/>
      <c r="G146" s="62">
        <v>8.1</v>
      </c>
      <c r="H146" s="51" t="s">
        <v>42</v>
      </c>
      <c r="I146" s="51">
        <v>17</v>
      </c>
      <c r="J146" s="51" t="s">
        <v>43</v>
      </c>
      <c r="K146" s="51">
        <v>72</v>
      </c>
      <c r="L146" s="51">
        <v>58</v>
      </c>
      <c r="M146" s="51">
        <v>55</v>
      </c>
      <c r="N146" s="51">
        <v>1.77</v>
      </c>
      <c r="O146" s="51">
        <v>35.69</v>
      </c>
      <c r="P146" s="48"/>
      <c r="Q146" s="422">
        <f>O146/N146</f>
        <v>20.163841807909602</v>
      </c>
      <c r="R146" s="422"/>
      <c r="S146" s="29"/>
      <c r="T146" s="28">
        <f>S146/12</f>
        <v>0</v>
      </c>
      <c r="U146" s="31">
        <f>S146/365</f>
        <v>0</v>
      </c>
      <c r="V146" s="38">
        <f>(T146*100)/$T$158</f>
        <v>0</v>
      </c>
      <c r="W146" s="31">
        <f t="shared" ref="W146:W157" si="145">I146%*S146</f>
        <v>0</v>
      </c>
      <c r="X146" s="423">
        <f>W158/365</f>
        <v>19.52</v>
      </c>
      <c r="Y146" s="31">
        <f t="shared" ref="Y146:Y157" si="146">W146*K146%</f>
        <v>0</v>
      </c>
      <c r="Z146" s="402">
        <f>Y158/365</f>
        <v>16.627999999999997</v>
      </c>
      <c r="AA146" s="41">
        <f>(Y146*100)/$Y$158</f>
        <v>0</v>
      </c>
      <c r="AB146" s="405">
        <v>5.5</v>
      </c>
      <c r="AC146" s="408">
        <f>(X146-AB146)/X146</f>
        <v>0.71823770491803274</v>
      </c>
      <c r="AD146" s="411">
        <v>11</v>
      </c>
      <c r="AE146" s="408">
        <f>(Z146-AD146)/Z146</f>
        <v>0.33846523935530415</v>
      </c>
      <c r="AF146" s="47">
        <v>280</v>
      </c>
      <c r="AG146" s="32">
        <f t="shared" ref="AG146:AG157" si="147">Y146*AF146</f>
        <v>0</v>
      </c>
      <c r="AH146" s="32"/>
      <c r="AI146" s="32"/>
      <c r="AJ146" s="32">
        <f t="shared" ref="AJ146:AJ157" si="148">IFERROR(AG146/S146,0)</f>
        <v>0</v>
      </c>
      <c r="AK146" s="32">
        <f>AG146/365</f>
        <v>0</v>
      </c>
      <c r="AL146" s="32">
        <f t="shared" ref="AL146:AL157" si="149">IFERROR(AG146*M146%/365,0)</f>
        <v>0</v>
      </c>
      <c r="AM146" s="32">
        <f>AL146*365</f>
        <v>0</v>
      </c>
      <c r="AN146" s="32">
        <f>AL146*37</f>
        <v>0</v>
      </c>
      <c r="AO146" s="32">
        <f>AN146/3600/24*0.39</f>
        <v>0</v>
      </c>
      <c r="AP146" s="32">
        <f>AO146*1000*24</f>
        <v>0</v>
      </c>
      <c r="AQ146" s="414">
        <v>10000000</v>
      </c>
      <c r="AR146" s="396">
        <f>(Z146*1000)/3.7</f>
        <v>4494.0540540540533</v>
      </c>
      <c r="AS146" s="396">
        <f>AR146/U158</f>
        <v>51.655793724759235</v>
      </c>
    </row>
    <row r="147" spans="2:45" ht="29.4" thickBot="1" x14ac:dyDescent="0.35">
      <c r="B147" s="441"/>
      <c r="C147" s="417"/>
      <c r="D147" s="420"/>
      <c r="E147" s="25" t="s">
        <v>45</v>
      </c>
      <c r="F147" s="2"/>
      <c r="G147" s="49">
        <v>5.09</v>
      </c>
      <c r="H147" s="50" t="s">
        <v>46</v>
      </c>
      <c r="I147" s="51">
        <v>33</v>
      </c>
      <c r="J147" s="52" t="s">
        <v>47</v>
      </c>
      <c r="K147" s="51">
        <v>57</v>
      </c>
      <c r="L147" s="50">
        <v>55</v>
      </c>
      <c r="M147" s="51">
        <v>55</v>
      </c>
      <c r="N147" s="50">
        <v>4.33</v>
      </c>
      <c r="O147" s="50">
        <v>42.82</v>
      </c>
      <c r="P147" s="50"/>
      <c r="Q147" s="399">
        <f>O147/N147</f>
        <v>9.8891454965357966</v>
      </c>
      <c r="R147" s="399"/>
      <c r="S147" s="12">
        <f>5*365</f>
        <v>1825</v>
      </c>
      <c r="T147" s="9">
        <f>S147/12</f>
        <v>152.08333333333334</v>
      </c>
      <c r="U147" s="11">
        <f>S147/365</f>
        <v>5</v>
      </c>
      <c r="V147" s="39">
        <f t="shared" ref="V147:V157" si="150">(T147*100)/$T$158</f>
        <v>5.7471264367816097</v>
      </c>
      <c r="W147" s="11">
        <f t="shared" si="145"/>
        <v>602.25</v>
      </c>
      <c r="X147" s="424"/>
      <c r="Y147" s="11">
        <f t="shared" si="146"/>
        <v>343.28249999999997</v>
      </c>
      <c r="Z147" s="403"/>
      <c r="AA147" s="42">
        <f t="shared" ref="AA147:AA157" si="151">(Y147*100)/$Y$158</f>
        <v>5.6561222035121492</v>
      </c>
      <c r="AB147" s="406"/>
      <c r="AC147" s="409"/>
      <c r="AD147" s="412"/>
      <c r="AE147" s="409"/>
      <c r="AF147" s="45">
        <v>300</v>
      </c>
      <c r="AG147" s="8">
        <f t="shared" si="147"/>
        <v>102984.74999999999</v>
      </c>
      <c r="AH147" s="8"/>
      <c r="AI147" s="8"/>
      <c r="AJ147" s="8">
        <f t="shared" si="148"/>
        <v>56.429999999999993</v>
      </c>
      <c r="AK147" s="8">
        <f>AG147/365</f>
        <v>282.14999999999998</v>
      </c>
      <c r="AL147" s="8">
        <f t="shared" si="149"/>
        <v>155.18249999999998</v>
      </c>
      <c r="AM147" s="8">
        <f t="shared" ref="AM147:AM157" si="152">AL147*365</f>
        <v>56641.612499999988</v>
      </c>
      <c r="AN147" s="8">
        <f>AL147*37</f>
        <v>5741.7524999999987</v>
      </c>
      <c r="AO147" s="8">
        <f>AN147/3600/24*0.39</f>
        <v>2.5917632812499994E-2</v>
      </c>
      <c r="AP147" s="8">
        <f>AO147*1000*24</f>
        <v>622.02318749999995</v>
      </c>
      <c r="AQ147" s="381"/>
      <c r="AR147" s="397"/>
      <c r="AS147" s="397"/>
    </row>
    <row r="148" spans="2:45" ht="15" thickBot="1" x14ac:dyDescent="0.35">
      <c r="B148" s="441"/>
      <c r="C148" s="417"/>
      <c r="D148" s="421"/>
      <c r="E148" s="25" t="s">
        <v>6</v>
      </c>
      <c r="F148" s="2"/>
      <c r="G148" s="49">
        <v>7.8</v>
      </c>
      <c r="H148" s="50" t="s">
        <v>48</v>
      </c>
      <c r="I148" s="51">
        <v>20</v>
      </c>
      <c r="J148" s="50" t="s">
        <v>154</v>
      </c>
      <c r="K148" s="51">
        <v>68</v>
      </c>
      <c r="L148" s="50">
        <v>58</v>
      </c>
      <c r="M148" s="51">
        <v>60</v>
      </c>
      <c r="N148" s="50">
        <v>2.15</v>
      </c>
      <c r="O148" s="50">
        <v>38.4</v>
      </c>
      <c r="P148" s="50"/>
      <c r="Q148" s="399">
        <f>O148/N148</f>
        <v>17.86046511627907</v>
      </c>
      <c r="R148" s="399"/>
      <c r="S148" s="12"/>
      <c r="T148" s="9">
        <f>S148/12</f>
        <v>0</v>
      </c>
      <c r="U148" s="11">
        <f>S148/365</f>
        <v>0</v>
      </c>
      <c r="V148" s="39">
        <f t="shared" si="150"/>
        <v>0</v>
      </c>
      <c r="W148" s="11">
        <f t="shared" si="145"/>
        <v>0</v>
      </c>
      <c r="X148" s="424"/>
      <c r="Y148" s="11">
        <f t="shared" si="146"/>
        <v>0</v>
      </c>
      <c r="Z148" s="403"/>
      <c r="AA148" s="42">
        <f t="shared" si="151"/>
        <v>0</v>
      </c>
      <c r="AB148" s="406"/>
      <c r="AC148" s="409"/>
      <c r="AD148" s="412"/>
      <c r="AE148" s="409"/>
      <c r="AF148" s="45">
        <v>280</v>
      </c>
      <c r="AG148" s="8">
        <f t="shared" si="147"/>
        <v>0</v>
      </c>
      <c r="AH148" s="8"/>
      <c r="AI148" s="8"/>
      <c r="AJ148" s="8">
        <f t="shared" si="148"/>
        <v>0</v>
      </c>
      <c r="AK148" s="8">
        <f>AG148/365</f>
        <v>0</v>
      </c>
      <c r="AL148" s="8">
        <f t="shared" si="149"/>
        <v>0</v>
      </c>
      <c r="AM148" s="8">
        <f t="shared" si="152"/>
        <v>0</v>
      </c>
      <c r="AN148" s="8">
        <f>AL148*37</f>
        <v>0</v>
      </c>
      <c r="AO148" s="8">
        <f>AN148/3600/24*0.39</f>
        <v>0</v>
      </c>
      <c r="AP148" s="8">
        <f>AO148*1000*24</f>
        <v>0</v>
      </c>
      <c r="AQ148" s="381"/>
      <c r="AR148" s="397"/>
      <c r="AS148" s="397"/>
    </row>
    <row r="149" spans="2:45" ht="15" thickBot="1" x14ac:dyDescent="0.35">
      <c r="B149" s="441"/>
      <c r="C149" s="417"/>
      <c r="D149" s="88" t="s">
        <v>10</v>
      </c>
      <c r="E149" s="25" t="s">
        <v>18</v>
      </c>
      <c r="F149" s="2"/>
      <c r="G149" s="53" t="s">
        <v>22</v>
      </c>
      <c r="H149" s="54" t="s">
        <v>20</v>
      </c>
      <c r="I149" s="51">
        <v>8</v>
      </c>
      <c r="J149" s="52" t="s">
        <v>23</v>
      </c>
      <c r="K149" s="51">
        <v>80</v>
      </c>
      <c r="L149" s="52" t="s">
        <v>44</v>
      </c>
      <c r="M149" s="51">
        <v>50</v>
      </c>
      <c r="N149" s="55" t="s">
        <v>24</v>
      </c>
      <c r="O149" s="50"/>
      <c r="P149" s="50"/>
      <c r="Q149" s="399">
        <f>O149/N149</f>
        <v>0</v>
      </c>
      <c r="R149" s="399"/>
      <c r="S149" s="12"/>
      <c r="T149" s="9">
        <f t="shared" ref="T149:T157" si="153">S149/12</f>
        <v>0</v>
      </c>
      <c r="U149" s="11">
        <f t="shared" ref="U149:U157" si="154">S149/365</f>
        <v>0</v>
      </c>
      <c r="V149" s="39">
        <f t="shared" si="150"/>
        <v>0</v>
      </c>
      <c r="W149" s="11">
        <f t="shared" si="145"/>
        <v>0</v>
      </c>
      <c r="X149" s="424"/>
      <c r="Y149" s="11">
        <f t="shared" si="146"/>
        <v>0</v>
      </c>
      <c r="Z149" s="403"/>
      <c r="AA149" s="42">
        <f t="shared" si="151"/>
        <v>0</v>
      </c>
      <c r="AB149" s="406"/>
      <c r="AC149" s="409"/>
      <c r="AD149" s="412"/>
      <c r="AE149" s="409"/>
      <c r="AF149" s="45">
        <v>200</v>
      </c>
      <c r="AG149" s="8">
        <f t="shared" si="147"/>
        <v>0</v>
      </c>
      <c r="AH149" s="8"/>
      <c r="AI149" s="8"/>
      <c r="AJ149" s="8">
        <f t="shared" si="148"/>
        <v>0</v>
      </c>
      <c r="AK149" s="8">
        <f t="shared" ref="AK149:AK157" si="155">AG149/365</f>
        <v>0</v>
      </c>
      <c r="AL149" s="8">
        <f t="shared" si="149"/>
        <v>0</v>
      </c>
      <c r="AM149" s="8">
        <f t="shared" si="152"/>
        <v>0</v>
      </c>
      <c r="AN149" s="8">
        <f t="shared" ref="AN149:AN157" si="156">AL149*37</f>
        <v>0</v>
      </c>
      <c r="AO149" s="8">
        <f t="shared" ref="AO149:AO157" si="157">AN149/3600/24*0.39</f>
        <v>0</v>
      </c>
      <c r="AP149" s="8">
        <f t="shared" ref="AP149:AP157" si="158">AO149*1000*24</f>
        <v>0</v>
      </c>
      <c r="AQ149" s="381"/>
      <c r="AR149" s="397"/>
      <c r="AS149" s="397"/>
    </row>
    <row r="150" spans="2:45" ht="30.45" customHeight="1" thickBot="1" x14ac:dyDescent="0.35">
      <c r="B150" s="441"/>
      <c r="C150" s="417"/>
      <c r="D150" s="88" t="s">
        <v>11</v>
      </c>
      <c r="E150" s="27" t="s">
        <v>58</v>
      </c>
      <c r="F150" s="24"/>
      <c r="G150" s="56" t="s">
        <v>67</v>
      </c>
      <c r="H150" s="50" t="s">
        <v>59</v>
      </c>
      <c r="I150" s="51">
        <v>12</v>
      </c>
      <c r="J150" s="50">
        <v>89</v>
      </c>
      <c r="K150" s="51">
        <v>89</v>
      </c>
      <c r="L150" s="50" t="s">
        <v>57</v>
      </c>
      <c r="M150" s="51">
        <v>51</v>
      </c>
      <c r="N150" s="50">
        <v>1.4</v>
      </c>
      <c r="O150" s="50"/>
      <c r="P150" s="50"/>
      <c r="Q150" s="399" t="s">
        <v>70</v>
      </c>
      <c r="R150" s="399"/>
      <c r="S150" s="12"/>
      <c r="T150" s="9">
        <f t="shared" si="153"/>
        <v>0</v>
      </c>
      <c r="U150" s="11">
        <f t="shared" si="154"/>
        <v>0</v>
      </c>
      <c r="V150" s="39">
        <f t="shared" si="150"/>
        <v>0</v>
      </c>
      <c r="W150" s="11">
        <f t="shared" si="145"/>
        <v>0</v>
      </c>
      <c r="X150" s="424"/>
      <c r="Y150" s="11">
        <f t="shared" si="146"/>
        <v>0</v>
      </c>
      <c r="Z150" s="403"/>
      <c r="AA150" s="42">
        <f t="shared" si="151"/>
        <v>0</v>
      </c>
      <c r="AB150" s="406"/>
      <c r="AC150" s="409"/>
      <c r="AD150" s="412"/>
      <c r="AE150" s="409"/>
      <c r="AF150" s="45">
        <v>300</v>
      </c>
      <c r="AG150" s="8">
        <f t="shared" si="147"/>
        <v>0</v>
      </c>
      <c r="AH150" s="8"/>
      <c r="AI150" s="8"/>
      <c r="AJ150" s="8">
        <f t="shared" si="148"/>
        <v>0</v>
      </c>
      <c r="AK150" s="8">
        <f t="shared" si="155"/>
        <v>0</v>
      </c>
      <c r="AL150" s="8">
        <f t="shared" si="149"/>
        <v>0</v>
      </c>
      <c r="AM150" s="8">
        <f t="shared" si="152"/>
        <v>0</v>
      </c>
      <c r="AN150" s="8">
        <f t="shared" si="156"/>
        <v>0</v>
      </c>
      <c r="AO150" s="8">
        <f t="shared" si="157"/>
        <v>0</v>
      </c>
      <c r="AP150" s="8">
        <f t="shared" si="158"/>
        <v>0</v>
      </c>
      <c r="AQ150" s="381"/>
      <c r="AR150" s="397"/>
      <c r="AS150" s="397"/>
    </row>
    <row r="151" spans="2:45" ht="29.4" thickBot="1" x14ac:dyDescent="0.35">
      <c r="B151" s="441"/>
      <c r="C151" s="417"/>
      <c r="D151" s="426" t="s">
        <v>12</v>
      </c>
      <c r="E151" s="27" t="s">
        <v>27</v>
      </c>
      <c r="F151" s="24"/>
      <c r="G151" s="57" t="s">
        <v>29</v>
      </c>
      <c r="H151" s="50" t="s">
        <v>28</v>
      </c>
      <c r="I151" s="51">
        <v>25</v>
      </c>
      <c r="J151" s="50" t="s">
        <v>60</v>
      </c>
      <c r="K151" s="51">
        <v>90</v>
      </c>
      <c r="L151" s="50">
        <v>65</v>
      </c>
      <c r="M151" s="51">
        <v>60</v>
      </c>
      <c r="N151" s="55" t="s">
        <v>61</v>
      </c>
      <c r="O151" s="50"/>
      <c r="P151" s="50"/>
      <c r="Q151" s="399">
        <v>35</v>
      </c>
      <c r="R151" s="399"/>
      <c r="S151" s="12">
        <f>20*365</f>
        <v>7300</v>
      </c>
      <c r="T151" s="9">
        <f t="shared" si="153"/>
        <v>608.33333333333337</v>
      </c>
      <c r="U151" s="11">
        <f t="shared" si="154"/>
        <v>20</v>
      </c>
      <c r="V151" s="39">
        <f t="shared" si="150"/>
        <v>22.988505747126439</v>
      </c>
      <c r="W151" s="11">
        <f t="shared" si="145"/>
        <v>1825</v>
      </c>
      <c r="X151" s="424"/>
      <c r="Y151" s="11">
        <f t="shared" si="146"/>
        <v>1642.5</v>
      </c>
      <c r="Z151" s="403"/>
      <c r="AA151" s="42">
        <f t="shared" si="151"/>
        <v>27.062785662737554</v>
      </c>
      <c r="AB151" s="406"/>
      <c r="AC151" s="409"/>
      <c r="AD151" s="412"/>
      <c r="AE151" s="409"/>
      <c r="AF151" s="45">
        <v>590</v>
      </c>
      <c r="AG151" s="8">
        <f t="shared" si="147"/>
        <v>969075</v>
      </c>
      <c r="AH151" s="8"/>
      <c r="AI151" s="8"/>
      <c r="AJ151" s="8">
        <f t="shared" si="148"/>
        <v>132.75</v>
      </c>
      <c r="AK151" s="8">
        <f t="shared" si="155"/>
        <v>2655</v>
      </c>
      <c r="AL151" s="8">
        <f t="shared" si="149"/>
        <v>1593</v>
      </c>
      <c r="AM151" s="8">
        <f t="shared" si="152"/>
        <v>581445</v>
      </c>
      <c r="AN151" s="8">
        <f t="shared" si="156"/>
        <v>58941</v>
      </c>
      <c r="AO151" s="8">
        <f t="shared" si="157"/>
        <v>0.266053125</v>
      </c>
      <c r="AP151" s="8">
        <f t="shared" si="158"/>
        <v>6385.2750000000005</v>
      </c>
      <c r="AQ151" s="381"/>
      <c r="AR151" s="397"/>
      <c r="AS151" s="397"/>
    </row>
    <row r="152" spans="2:45" ht="29.4" thickBot="1" x14ac:dyDescent="0.35">
      <c r="B152" s="441"/>
      <c r="C152" s="417"/>
      <c r="D152" s="426"/>
      <c r="E152" s="27" t="s">
        <v>158</v>
      </c>
      <c r="F152" s="2"/>
      <c r="G152" s="57" t="s">
        <v>75</v>
      </c>
      <c r="H152" s="50" t="s">
        <v>155</v>
      </c>
      <c r="I152" s="51">
        <v>12</v>
      </c>
      <c r="J152" s="50" t="s">
        <v>62</v>
      </c>
      <c r="K152" s="51">
        <v>85</v>
      </c>
      <c r="L152" s="50" t="s">
        <v>63</v>
      </c>
      <c r="M152" s="51">
        <v>55</v>
      </c>
      <c r="N152" s="50"/>
      <c r="O152" s="50"/>
      <c r="P152" s="50"/>
      <c r="Q152" s="400"/>
      <c r="R152" s="401"/>
      <c r="S152" s="13"/>
      <c r="T152" s="9">
        <f t="shared" si="153"/>
        <v>0</v>
      </c>
      <c r="U152" s="11">
        <f t="shared" si="154"/>
        <v>0</v>
      </c>
      <c r="V152" s="39">
        <f t="shared" si="150"/>
        <v>0</v>
      </c>
      <c r="W152" s="11">
        <f t="shared" si="145"/>
        <v>0</v>
      </c>
      <c r="X152" s="424"/>
      <c r="Y152" s="11">
        <f t="shared" si="146"/>
        <v>0</v>
      </c>
      <c r="Z152" s="403"/>
      <c r="AA152" s="42">
        <f t="shared" si="151"/>
        <v>0</v>
      </c>
      <c r="AB152" s="406"/>
      <c r="AC152" s="409"/>
      <c r="AD152" s="412"/>
      <c r="AE152" s="409"/>
      <c r="AF152" s="45">
        <v>500</v>
      </c>
      <c r="AG152" s="8">
        <f t="shared" si="147"/>
        <v>0</v>
      </c>
      <c r="AH152" s="8"/>
      <c r="AI152" s="8"/>
      <c r="AJ152" s="8">
        <f t="shared" si="148"/>
        <v>0</v>
      </c>
      <c r="AK152" s="8">
        <f t="shared" si="155"/>
        <v>0</v>
      </c>
      <c r="AL152" s="8">
        <f t="shared" si="149"/>
        <v>0</v>
      </c>
      <c r="AM152" s="8">
        <f t="shared" si="152"/>
        <v>0</v>
      </c>
      <c r="AN152" s="8">
        <f t="shared" si="156"/>
        <v>0</v>
      </c>
      <c r="AO152" s="8">
        <f t="shared" si="157"/>
        <v>0</v>
      </c>
      <c r="AP152" s="8">
        <f t="shared" si="158"/>
        <v>0</v>
      </c>
      <c r="AQ152" s="381"/>
      <c r="AR152" s="397"/>
      <c r="AS152" s="397"/>
    </row>
    <row r="153" spans="2:45" ht="29.4" thickBot="1" x14ac:dyDescent="0.35">
      <c r="B153" s="441"/>
      <c r="C153" s="417"/>
      <c r="D153" s="426"/>
      <c r="E153" s="27" t="s">
        <v>64</v>
      </c>
      <c r="F153" s="24"/>
      <c r="G153" s="57" t="s">
        <v>79</v>
      </c>
      <c r="H153" s="55" t="s">
        <v>21</v>
      </c>
      <c r="I153" s="51">
        <v>8</v>
      </c>
      <c r="J153" s="50" t="s">
        <v>65</v>
      </c>
      <c r="K153" s="51">
        <v>83</v>
      </c>
      <c r="L153" s="50" t="s">
        <v>66</v>
      </c>
      <c r="M153" s="51">
        <v>58</v>
      </c>
      <c r="N153" s="55" t="s">
        <v>73</v>
      </c>
      <c r="O153" s="50"/>
      <c r="P153" s="50"/>
      <c r="Q153" s="400"/>
      <c r="R153" s="401"/>
      <c r="S153" s="13">
        <f>5*365</f>
        <v>1825</v>
      </c>
      <c r="T153" s="9">
        <f t="shared" si="153"/>
        <v>152.08333333333334</v>
      </c>
      <c r="U153" s="11">
        <f t="shared" si="154"/>
        <v>5</v>
      </c>
      <c r="V153" s="39">
        <f t="shared" si="150"/>
        <v>5.7471264367816097</v>
      </c>
      <c r="W153" s="11">
        <f t="shared" si="145"/>
        <v>146</v>
      </c>
      <c r="X153" s="424"/>
      <c r="Y153" s="11">
        <f t="shared" si="146"/>
        <v>121.17999999999999</v>
      </c>
      <c r="Z153" s="403"/>
      <c r="AA153" s="42">
        <f t="shared" si="151"/>
        <v>1.9966321866730818</v>
      </c>
      <c r="AB153" s="406"/>
      <c r="AC153" s="409"/>
      <c r="AD153" s="412"/>
      <c r="AE153" s="409"/>
      <c r="AF153" s="45">
        <v>400</v>
      </c>
      <c r="AG153" s="8">
        <f t="shared" si="147"/>
        <v>48472</v>
      </c>
      <c r="AH153" s="8"/>
      <c r="AI153" s="8"/>
      <c r="AJ153" s="8">
        <f t="shared" si="148"/>
        <v>26.56</v>
      </c>
      <c r="AK153" s="8">
        <f t="shared" si="155"/>
        <v>132.80000000000001</v>
      </c>
      <c r="AL153" s="8">
        <f t="shared" si="149"/>
        <v>77.024000000000001</v>
      </c>
      <c r="AM153" s="8">
        <f t="shared" si="152"/>
        <v>28113.760000000002</v>
      </c>
      <c r="AN153" s="8">
        <f t="shared" si="156"/>
        <v>2849.8879999999999</v>
      </c>
      <c r="AO153" s="8">
        <f t="shared" si="157"/>
        <v>1.2864077777777778E-2</v>
      </c>
      <c r="AP153" s="8">
        <f t="shared" si="158"/>
        <v>308.73786666666666</v>
      </c>
      <c r="AQ153" s="381"/>
      <c r="AR153" s="397"/>
      <c r="AS153" s="397"/>
    </row>
    <row r="154" spans="2:45" ht="29.4" thickBot="1" x14ac:dyDescent="0.35">
      <c r="B154" s="441"/>
      <c r="C154" s="417"/>
      <c r="D154" s="88" t="s">
        <v>13</v>
      </c>
      <c r="E154" s="25" t="s">
        <v>78</v>
      </c>
      <c r="F154" s="24"/>
      <c r="G154" s="49" t="s">
        <v>37</v>
      </c>
      <c r="H154" s="50" t="s">
        <v>38</v>
      </c>
      <c r="I154" s="51">
        <v>40</v>
      </c>
      <c r="J154" s="50" t="s">
        <v>39</v>
      </c>
      <c r="K154" s="51">
        <v>97</v>
      </c>
      <c r="L154" s="50" t="s">
        <v>50</v>
      </c>
      <c r="M154" s="51">
        <v>69</v>
      </c>
      <c r="N154" s="50" t="s">
        <v>35</v>
      </c>
      <c r="O154" s="50"/>
      <c r="P154" s="50"/>
      <c r="Q154" s="399" t="s">
        <v>36</v>
      </c>
      <c r="R154" s="399"/>
      <c r="S154" s="12"/>
      <c r="T154" s="9">
        <f t="shared" si="153"/>
        <v>0</v>
      </c>
      <c r="U154" s="11">
        <f t="shared" si="154"/>
        <v>0</v>
      </c>
      <c r="V154" s="39">
        <f t="shared" si="150"/>
        <v>0</v>
      </c>
      <c r="W154" s="11">
        <f t="shared" si="145"/>
        <v>0</v>
      </c>
      <c r="X154" s="424"/>
      <c r="Y154" s="11">
        <f t="shared" si="146"/>
        <v>0</v>
      </c>
      <c r="Z154" s="403"/>
      <c r="AA154" s="42">
        <f t="shared" si="151"/>
        <v>0</v>
      </c>
      <c r="AB154" s="406"/>
      <c r="AC154" s="409"/>
      <c r="AD154" s="412"/>
      <c r="AE154" s="409"/>
      <c r="AF154" s="45">
        <v>500</v>
      </c>
      <c r="AG154" s="8">
        <f t="shared" si="147"/>
        <v>0</v>
      </c>
      <c r="AH154" s="8"/>
      <c r="AI154" s="8"/>
      <c r="AJ154" s="8">
        <f t="shared" si="148"/>
        <v>0</v>
      </c>
      <c r="AK154" s="8">
        <f t="shared" si="155"/>
        <v>0</v>
      </c>
      <c r="AL154" s="8">
        <f t="shared" si="149"/>
        <v>0</v>
      </c>
      <c r="AM154" s="8">
        <f t="shared" si="152"/>
        <v>0</v>
      </c>
      <c r="AN154" s="8">
        <f t="shared" si="156"/>
        <v>0</v>
      </c>
      <c r="AO154" s="8">
        <f t="shared" si="157"/>
        <v>0</v>
      </c>
      <c r="AP154" s="8">
        <f t="shared" si="158"/>
        <v>0</v>
      </c>
      <c r="AQ154" s="381"/>
      <c r="AR154" s="397"/>
      <c r="AS154" s="397"/>
    </row>
    <row r="155" spans="2:45" ht="29.4" thickBot="1" x14ac:dyDescent="0.35">
      <c r="B155" s="441"/>
      <c r="C155" s="417"/>
      <c r="D155" s="88" t="s">
        <v>14</v>
      </c>
      <c r="E155" s="26" t="s">
        <v>55</v>
      </c>
      <c r="F155" s="24" t="s">
        <v>112</v>
      </c>
      <c r="G155" s="49" t="s">
        <v>80</v>
      </c>
      <c r="H155" s="50" t="s">
        <v>56</v>
      </c>
      <c r="I155" s="51">
        <v>22</v>
      </c>
      <c r="J155" s="50" t="s">
        <v>30</v>
      </c>
      <c r="K155" s="51">
        <v>90</v>
      </c>
      <c r="L155" s="50" t="s">
        <v>57</v>
      </c>
      <c r="M155" s="51">
        <v>54</v>
      </c>
      <c r="N155" s="50">
        <v>1.5</v>
      </c>
      <c r="O155" s="50"/>
      <c r="P155" s="50"/>
      <c r="Q155" s="399" t="s">
        <v>72</v>
      </c>
      <c r="R155" s="399"/>
      <c r="S155" s="12">
        <f>50*365</f>
        <v>18250</v>
      </c>
      <c r="T155" s="9">
        <f t="shared" si="153"/>
        <v>1520.8333333333333</v>
      </c>
      <c r="U155" s="11">
        <f t="shared" si="154"/>
        <v>50</v>
      </c>
      <c r="V155" s="39">
        <f t="shared" si="150"/>
        <v>57.471264367816083</v>
      </c>
      <c r="W155" s="11">
        <f t="shared" si="145"/>
        <v>4015</v>
      </c>
      <c r="X155" s="424"/>
      <c r="Y155" s="11">
        <f t="shared" si="146"/>
        <v>3613.5</v>
      </c>
      <c r="Z155" s="403"/>
      <c r="AA155" s="42">
        <f t="shared" si="151"/>
        <v>59.538128458022619</v>
      </c>
      <c r="AB155" s="406"/>
      <c r="AC155" s="409"/>
      <c r="AD155" s="412"/>
      <c r="AE155" s="409"/>
      <c r="AF155" s="45">
        <v>170</v>
      </c>
      <c r="AG155" s="8">
        <f t="shared" si="147"/>
        <v>614295</v>
      </c>
      <c r="AH155" s="8"/>
      <c r="AI155" s="8"/>
      <c r="AJ155" s="8">
        <f t="shared" si="148"/>
        <v>33.659999999999997</v>
      </c>
      <c r="AK155" s="8">
        <f t="shared" si="155"/>
        <v>1683</v>
      </c>
      <c r="AL155" s="8">
        <f t="shared" si="149"/>
        <v>908.82000000000016</v>
      </c>
      <c r="AM155" s="8">
        <f t="shared" si="152"/>
        <v>331719.30000000005</v>
      </c>
      <c r="AN155" s="8">
        <f t="shared" si="156"/>
        <v>33626.340000000004</v>
      </c>
      <c r="AO155" s="8">
        <f t="shared" si="157"/>
        <v>0.15178556250000003</v>
      </c>
      <c r="AP155" s="8">
        <f t="shared" si="158"/>
        <v>3642.8535000000006</v>
      </c>
      <c r="AQ155" s="381"/>
      <c r="AR155" s="397"/>
      <c r="AS155" s="397"/>
    </row>
    <row r="156" spans="2:45" ht="15" thickBot="1" x14ac:dyDescent="0.35">
      <c r="B156" s="441"/>
      <c r="C156" s="417"/>
      <c r="D156" s="88" t="s">
        <v>15</v>
      </c>
      <c r="E156" s="25" t="s">
        <v>7</v>
      </c>
      <c r="F156" s="2"/>
      <c r="G156" s="49">
        <v>5.7</v>
      </c>
      <c r="H156" s="58" t="s">
        <v>51</v>
      </c>
      <c r="I156" s="51">
        <v>21</v>
      </c>
      <c r="J156" s="50" t="s">
        <v>32</v>
      </c>
      <c r="K156" s="51">
        <v>65</v>
      </c>
      <c r="L156" s="50" t="s">
        <v>52</v>
      </c>
      <c r="M156" s="51">
        <v>58</v>
      </c>
      <c r="N156" s="50"/>
      <c r="O156" s="50"/>
      <c r="P156" s="50"/>
      <c r="Q156" s="399" t="e">
        <f>O156/N156</f>
        <v>#DIV/0!</v>
      </c>
      <c r="R156" s="399"/>
      <c r="S156" s="12">
        <f>7*365</f>
        <v>2555</v>
      </c>
      <c r="T156" s="9">
        <f t="shared" si="153"/>
        <v>212.91666666666666</v>
      </c>
      <c r="U156" s="11">
        <f t="shared" si="154"/>
        <v>7</v>
      </c>
      <c r="V156" s="39">
        <f t="shared" si="150"/>
        <v>8.0459770114942515</v>
      </c>
      <c r="W156" s="11">
        <f t="shared" si="145"/>
        <v>536.54999999999995</v>
      </c>
      <c r="X156" s="424"/>
      <c r="Y156" s="11">
        <f t="shared" si="146"/>
        <v>348.75749999999999</v>
      </c>
      <c r="Z156" s="403"/>
      <c r="AA156" s="42">
        <f t="shared" si="151"/>
        <v>5.7463314890546071</v>
      </c>
      <c r="AB156" s="406"/>
      <c r="AC156" s="409"/>
      <c r="AD156" s="412"/>
      <c r="AE156" s="409"/>
      <c r="AF156" s="45">
        <v>580</v>
      </c>
      <c r="AG156" s="8">
        <f t="shared" si="147"/>
        <v>202279.35</v>
      </c>
      <c r="AH156" s="8"/>
      <c r="AI156" s="8"/>
      <c r="AJ156" s="8">
        <f t="shared" si="148"/>
        <v>79.17</v>
      </c>
      <c r="AK156" s="8">
        <f t="shared" si="155"/>
        <v>554.19000000000005</v>
      </c>
      <c r="AL156" s="8">
        <f t="shared" si="149"/>
        <v>321.43020000000001</v>
      </c>
      <c r="AM156" s="8">
        <f t="shared" si="152"/>
        <v>117322.023</v>
      </c>
      <c r="AN156" s="8">
        <f t="shared" si="156"/>
        <v>11892.9174</v>
      </c>
      <c r="AO156" s="8">
        <f t="shared" si="157"/>
        <v>5.3683307708333336E-2</v>
      </c>
      <c r="AP156" s="8">
        <f t="shared" si="158"/>
        <v>1288.3993850000002</v>
      </c>
      <c r="AQ156" s="381"/>
      <c r="AR156" s="397"/>
      <c r="AS156" s="397"/>
    </row>
    <row r="157" spans="2:45" ht="58.2" thickBot="1" x14ac:dyDescent="0.35">
      <c r="B157" s="441"/>
      <c r="C157" s="418"/>
      <c r="D157" s="88" t="s">
        <v>16</v>
      </c>
      <c r="E157" s="25" t="s">
        <v>53</v>
      </c>
      <c r="F157" s="2"/>
      <c r="G157" s="59"/>
      <c r="H157" s="60" t="s">
        <v>28</v>
      </c>
      <c r="I157" s="61">
        <v>16</v>
      </c>
      <c r="J157" s="60" t="s">
        <v>34</v>
      </c>
      <c r="K157" s="61">
        <v>85</v>
      </c>
      <c r="L157" s="60" t="s">
        <v>54</v>
      </c>
      <c r="M157" s="61">
        <v>52</v>
      </c>
      <c r="N157" s="60" t="s">
        <v>76</v>
      </c>
      <c r="O157" s="60"/>
      <c r="P157" s="60"/>
      <c r="Q157" s="427" t="e">
        <f>O157/N157</f>
        <v>#VALUE!</v>
      </c>
      <c r="R157" s="427"/>
      <c r="S157" s="14"/>
      <c r="T157" s="9">
        <f t="shared" si="153"/>
        <v>0</v>
      </c>
      <c r="U157" s="9">
        <f t="shared" si="154"/>
        <v>0</v>
      </c>
      <c r="V157" s="39">
        <f t="shared" si="150"/>
        <v>0</v>
      </c>
      <c r="W157" s="11">
        <f t="shared" si="145"/>
        <v>0</v>
      </c>
      <c r="X157" s="425"/>
      <c r="Y157" s="35">
        <f t="shared" si="146"/>
        <v>0</v>
      </c>
      <c r="Z157" s="404"/>
      <c r="AA157" s="42">
        <f t="shared" si="151"/>
        <v>0</v>
      </c>
      <c r="AB157" s="407"/>
      <c r="AC157" s="410"/>
      <c r="AD157" s="413"/>
      <c r="AE157" s="410"/>
      <c r="AF157" s="46">
        <v>700</v>
      </c>
      <c r="AG157" s="36">
        <f t="shared" si="147"/>
        <v>0</v>
      </c>
      <c r="AH157" s="36"/>
      <c r="AI157" s="36"/>
      <c r="AJ157" s="36">
        <f t="shared" si="148"/>
        <v>0</v>
      </c>
      <c r="AK157" s="36">
        <f t="shared" si="155"/>
        <v>0</v>
      </c>
      <c r="AL157" s="36">
        <f t="shared" si="149"/>
        <v>0</v>
      </c>
      <c r="AM157" s="36">
        <f t="shared" si="152"/>
        <v>0</v>
      </c>
      <c r="AN157" s="36">
        <f t="shared" si="156"/>
        <v>0</v>
      </c>
      <c r="AO157" s="36">
        <f t="shared" si="157"/>
        <v>0</v>
      </c>
      <c r="AP157" s="36">
        <f t="shared" si="158"/>
        <v>0</v>
      </c>
      <c r="AQ157" s="415"/>
      <c r="AR157" s="398"/>
      <c r="AS157" s="398"/>
    </row>
    <row r="158" spans="2:45" ht="18" x14ac:dyDescent="0.3">
      <c r="B158" s="441"/>
      <c r="S158" s="17">
        <f t="shared" ref="S158:W158" si="159">SUM(S146:S157)</f>
        <v>31755</v>
      </c>
      <c r="T158" s="17">
        <f t="shared" si="159"/>
        <v>2646.25</v>
      </c>
      <c r="U158" s="17">
        <f t="shared" si="159"/>
        <v>87</v>
      </c>
      <c r="V158" s="17">
        <f t="shared" si="159"/>
        <v>100</v>
      </c>
      <c r="W158" s="16">
        <f t="shared" si="159"/>
        <v>7124.8</v>
      </c>
      <c r="X158" s="16"/>
      <c r="Y158" s="16">
        <f>SUM(Y146:Y157)</f>
        <v>6069.2199999999993</v>
      </c>
      <c r="Z158" s="16"/>
      <c r="AA158" s="16">
        <f>SUM(AA146:AA157)</f>
        <v>100.00000000000001</v>
      </c>
      <c r="AB158" s="16"/>
      <c r="AC158" s="16"/>
      <c r="AD158" s="16"/>
      <c r="AE158" s="16"/>
      <c r="AF158" s="16"/>
      <c r="AG158" s="16">
        <f>SUM(AG146:AG157)</f>
        <v>1937106.1</v>
      </c>
      <c r="AH158" s="16"/>
      <c r="AI158" s="16"/>
      <c r="AJ158" s="16"/>
      <c r="AK158" s="16">
        <f t="shared" ref="AK158:AP158" si="160">SUM(AK146:AK157)</f>
        <v>5307.1400000000012</v>
      </c>
      <c r="AL158" s="18">
        <f t="shared" si="160"/>
        <v>3055.4566999999997</v>
      </c>
      <c r="AM158" s="18">
        <f t="shared" si="160"/>
        <v>1115241.6955000001</v>
      </c>
      <c r="AN158" s="16">
        <f t="shared" si="160"/>
        <v>113051.89790000001</v>
      </c>
      <c r="AO158" s="16">
        <f t="shared" si="160"/>
        <v>0.51030370579861106</v>
      </c>
      <c r="AP158" s="16">
        <f t="shared" si="160"/>
        <v>12247.288939166669</v>
      </c>
      <c r="AQ158" s="16"/>
      <c r="AR158" s="16"/>
    </row>
    <row r="159" spans="2:45" x14ac:dyDescent="0.3">
      <c r="B159" s="441"/>
    </row>
    <row r="160" spans="2:45" ht="15" thickBot="1" x14ac:dyDescent="0.35">
      <c r="B160" s="441"/>
    </row>
    <row r="161" spans="2:45" ht="15" thickBot="1" x14ac:dyDescent="0.35">
      <c r="B161" s="441"/>
      <c r="C161" s="416" t="s">
        <v>150</v>
      </c>
      <c r="D161" s="419" t="s">
        <v>9</v>
      </c>
      <c r="E161" s="25" t="s">
        <v>17</v>
      </c>
      <c r="F161" s="2"/>
      <c r="G161" s="62">
        <v>8.1</v>
      </c>
      <c r="H161" s="51" t="s">
        <v>42</v>
      </c>
      <c r="I161" s="51">
        <v>17</v>
      </c>
      <c r="J161" s="51" t="s">
        <v>43</v>
      </c>
      <c r="K161" s="51">
        <v>72</v>
      </c>
      <c r="L161" s="51">
        <v>58</v>
      </c>
      <c r="M161" s="51">
        <v>55</v>
      </c>
      <c r="N161" s="51">
        <v>1.77</v>
      </c>
      <c r="O161" s="51">
        <v>35.69</v>
      </c>
      <c r="P161" s="48"/>
      <c r="Q161" s="422">
        <f>O161/N161</f>
        <v>20.163841807909602</v>
      </c>
      <c r="R161" s="422"/>
      <c r="S161" s="29"/>
      <c r="T161" s="28">
        <f>S161/12</f>
        <v>0</v>
      </c>
      <c r="U161" s="31">
        <f>S161/365</f>
        <v>0</v>
      </c>
      <c r="V161" s="38">
        <f>(T161*100)/$T$173</f>
        <v>0</v>
      </c>
      <c r="W161" s="31">
        <f t="shared" ref="W161:W172" si="161">I161%*S161</f>
        <v>0</v>
      </c>
      <c r="X161" s="423">
        <f>W173/365</f>
        <v>14.49</v>
      </c>
      <c r="Y161" s="31">
        <f t="shared" ref="Y161:Y172" si="162">W161*K161%</f>
        <v>0</v>
      </c>
      <c r="Z161" s="402">
        <f>Y173/365</f>
        <v>10.368500000000001</v>
      </c>
      <c r="AA161" s="41">
        <f>(Y161*100)/$Y$173</f>
        <v>0</v>
      </c>
      <c r="AB161" s="405">
        <v>5.5</v>
      </c>
      <c r="AC161" s="408">
        <f>(X161-AB161)/X161</f>
        <v>0.62042788129744653</v>
      </c>
      <c r="AD161" s="411">
        <v>6.5</v>
      </c>
      <c r="AE161" s="408">
        <f>(Z161-AD161)/Z161</f>
        <v>0.37310122004147184</v>
      </c>
      <c r="AF161" s="47">
        <v>280</v>
      </c>
      <c r="AG161" s="32">
        <f t="shared" ref="AG161:AG172" si="163">Y161*AF161</f>
        <v>0</v>
      </c>
      <c r="AH161" s="32"/>
      <c r="AI161" s="32"/>
      <c r="AJ161" s="32">
        <f t="shared" ref="AJ161:AJ172" si="164">IFERROR(AG161/S161,0)</f>
        <v>0</v>
      </c>
      <c r="AK161" s="32">
        <f>AG161/365</f>
        <v>0</v>
      </c>
      <c r="AL161" s="32">
        <f t="shared" ref="AL161:AL172" si="165">IFERROR(AG161*M161%/365,0)</f>
        <v>0</v>
      </c>
      <c r="AM161" s="32">
        <f>AL161*365</f>
        <v>0</v>
      </c>
      <c r="AN161" s="32">
        <f>AL161*37</f>
        <v>0</v>
      </c>
      <c r="AO161" s="32">
        <f>AN161/3600/24*0.39</f>
        <v>0</v>
      </c>
      <c r="AP161" s="32">
        <f>AO161*1000*24</f>
        <v>0</v>
      </c>
      <c r="AQ161" s="414">
        <v>10000000</v>
      </c>
      <c r="AR161" s="396">
        <f>(Z161*1000)/3.7</f>
        <v>2802.2972972972975</v>
      </c>
      <c r="AS161" s="396">
        <f>AR161/U173</f>
        <v>41.825332795482055</v>
      </c>
    </row>
    <row r="162" spans="2:45" ht="29.4" thickBot="1" x14ac:dyDescent="0.35">
      <c r="B162" s="441"/>
      <c r="C162" s="417"/>
      <c r="D162" s="420"/>
      <c r="E162" s="25" t="s">
        <v>45</v>
      </c>
      <c r="F162" s="2"/>
      <c r="G162" s="49">
        <v>5.09</v>
      </c>
      <c r="H162" s="50" t="s">
        <v>46</v>
      </c>
      <c r="I162" s="51">
        <v>33</v>
      </c>
      <c r="J162" s="52" t="s">
        <v>47</v>
      </c>
      <c r="K162" s="51">
        <v>57</v>
      </c>
      <c r="L162" s="50">
        <v>55</v>
      </c>
      <c r="M162" s="51">
        <v>55</v>
      </c>
      <c r="N162" s="50">
        <v>4.33</v>
      </c>
      <c r="O162" s="50">
        <v>42.82</v>
      </c>
      <c r="P162" s="50"/>
      <c r="Q162" s="399">
        <f>O162/N162</f>
        <v>9.8891454965357966</v>
      </c>
      <c r="R162" s="399"/>
      <c r="S162" s="12">
        <f>5*365</f>
        <v>1825</v>
      </c>
      <c r="T162" s="9">
        <f>S162/12</f>
        <v>152.08333333333334</v>
      </c>
      <c r="U162" s="11">
        <f>S162/365</f>
        <v>5</v>
      </c>
      <c r="V162" s="39">
        <f t="shared" ref="V162:V172" si="166">(T162*100)/$T$173</f>
        <v>7.4626865671641793</v>
      </c>
      <c r="W162" s="11">
        <f t="shared" si="161"/>
        <v>602.25</v>
      </c>
      <c r="X162" s="424"/>
      <c r="Y162" s="11">
        <f t="shared" si="162"/>
        <v>343.28249999999997</v>
      </c>
      <c r="Z162" s="403"/>
      <c r="AA162" s="42">
        <f t="shared" ref="AA162:AA172" si="167">(Y162*100)/$Y$173</f>
        <v>9.0707431161691652</v>
      </c>
      <c r="AB162" s="406"/>
      <c r="AC162" s="409"/>
      <c r="AD162" s="412"/>
      <c r="AE162" s="409"/>
      <c r="AF162" s="45">
        <v>300</v>
      </c>
      <c r="AG162" s="8">
        <f t="shared" si="163"/>
        <v>102984.74999999999</v>
      </c>
      <c r="AH162" s="8"/>
      <c r="AI162" s="8"/>
      <c r="AJ162" s="8">
        <f t="shared" si="164"/>
        <v>56.429999999999993</v>
      </c>
      <c r="AK162" s="8">
        <f>AG162/365</f>
        <v>282.14999999999998</v>
      </c>
      <c r="AL162" s="8">
        <f t="shared" si="165"/>
        <v>155.18249999999998</v>
      </c>
      <c r="AM162" s="8">
        <f t="shared" ref="AM162:AM172" si="168">AL162*365</f>
        <v>56641.612499999988</v>
      </c>
      <c r="AN162" s="8">
        <f>AL162*37</f>
        <v>5741.7524999999987</v>
      </c>
      <c r="AO162" s="8">
        <f>AN162/3600/24*0.39</f>
        <v>2.5917632812499994E-2</v>
      </c>
      <c r="AP162" s="8">
        <f>AO162*1000*24</f>
        <v>622.02318749999995</v>
      </c>
      <c r="AQ162" s="381"/>
      <c r="AR162" s="397"/>
      <c r="AS162" s="397"/>
    </row>
    <row r="163" spans="2:45" ht="15" thickBot="1" x14ac:dyDescent="0.35">
      <c r="B163" s="441"/>
      <c r="C163" s="417"/>
      <c r="D163" s="421"/>
      <c r="E163" s="25" t="s">
        <v>6</v>
      </c>
      <c r="F163" s="2"/>
      <c r="G163" s="49">
        <v>7.8</v>
      </c>
      <c r="H163" s="50" t="s">
        <v>48</v>
      </c>
      <c r="I163" s="51">
        <v>20</v>
      </c>
      <c r="J163" s="50" t="s">
        <v>154</v>
      </c>
      <c r="K163" s="51">
        <v>68</v>
      </c>
      <c r="L163" s="50">
        <v>58</v>
      </c>
      <c r="M163" s="51">
        <v>60</v>
      </c>
      <c r="N163" s="50">
        <v>2.15</v>
      </c>
      <c r="O163" s="50">
        <v>38.4</v>
      </c>
      <c r="P163" s="50"/>
      <c r="Q163" s="399">
        <f>O163/N163</f>
        <v>17.86046511627907</v>
      </c>
      <c r="R163" s="399"/>
      <c r="S163" s="12"/>
      <c r="T163" s="9">
        <f>S163/12</f>
        <v>0</v>
      </c>
      <c r="U163" s="11">
        <f>S163/365</f>
        <v>0</v>
      </c>
      <c r="V163" s="39">
        <f t="shared" si="166"/>
        <v>0</v>
      </c>
      <c r="W163" s="11">
        <f t="shared" si="161"/>
        <v>0</v>
      </c>
      <c r="X163" s="424"/>
      <c r="Y163" s="11">
        <f t="shared" si="162"/>
        <v>0</v>
      </c>
      <c r="Z163" s="403"/>
      <c r="AA163" s="42">
        <f t="shared" si="167"/>
        <v>0</v>
      </c>
      <c r="AB163" s="406"/>
      <c r="AC163" s="409"/>
      <c r="AD163" s="412"/>
      <c r="AE163" s="409"/>
      <c r="AF163" s="45">
        <v>280</v>
      </c>
      <c r="AG163" s="8">
        <f t="shared" si="163"/>
        <v>0</v>
      </c>
      <c r="AH163" s="8"/>
      <c r="AI163" s="8"/>
      <c r="AJ163" s="8">
        <f t="shared" si="164"/>
        <v>0</v>
      </c>
      <c r="AK163" s="8">
        <f>AG163/365</f>
        <v>0</v>
      </c>
      <c r="AL163" s="8">
        <f t="shared" si="165"/>
        <v>0</v>
      </c>
      <c r="AM163" s="8">
        <f t="shared" si="168"/>
        <v>0</v>
      </c>
      <c r="AN163" s="8">
        <f>AL163*37</f>
        <v>0</v>
      </c>
      <c r="AO163" s="8">
        <f>AN163/3600/24*0.39</f>
        <v>0</v>
      </c>
      <c r="AP163" s="8">
        <f>AO163*1000*24</f>
        <v>0</v>
      </c>
      <c r="AQ163" s="381"/>
      <c r="AR163" s="397"/>
      <c r="AS163" s="397"/>
    </row>
    <row r="164" spans="2:45" ht="15" thickBot="1" x14ac:dyDescent="0.35">
      <c r="B164" s="441"/>
      <c r="C164" s="417"/>
      <c r="D164" s="88" t="s">
        <v>10</v>
      </c>
      <c r="E164" s="25" t="s">
        <v>18</v>
      </c>
      <c r="F164" s="2"/>
      <c r="G164" s="53" t="s">
        <v>22</v>
      </c>
      <c r="H164" s="54" t="s">
        <v>20</v>
      </c>
      <c r="I164" s="51">
        <v>8</v>
      </c>
      <c r="J164" s="52" t="s">
        <v>23</v>
      </c>
      <c r="K164" s="51">
        <v>80</v>
      </c>
      <c r="L164" s="52" t="s">
        <v>44</v>
      </c>
      <c r="M164" s="51">
        <v>50</v>
      </c>
      <c r="N164" s="55" t="s">
        <v>24</v>
      </c>
      <c r="O164" s="50"/>
      <c r="P164" s="50"/>
      <c r="Q164" s="399">
        <f>O164/N164</f>
        <v>0</v>
      </c>
      <c r="R164" s="399"/>
      <c r="S164" s="12"/>
      <c r="T164" s="9">
        <f t="shared" ref="T164:T172" si="169">S164/12</f>
        <v>0</v>
      </c>
      <c r="U164" s="11">
        <f t="shared" ref="U164:U172" si="170">S164/365</f>
        <v>0</v>
      </c>
      <c r="V164" s="39">
        <f t="shared" si="166"/>
        <v>0</v>
      </c>
      <c r="W164" s="11">
        <f t="shared" si="161"/>
        <v>0</v>
      </c>
      <c r="X164" s="424"/>
      <c r="Y164" s="11">
        <f t="shared" si="162"/>
        <v>0</v>
      </c>
      <c r="Z164" s="403"/>
      <c r="AA164" s="42">
        <f t="shared" si="167"/>
        <v>0</v>
      </c>
      <c r="AB164" s="406"/>
      <c r="AC164" s="409"/>
      <c r="AD164" s="412"/>
      <c r="AE164" s="409"/>
      <c r="AF164" s="45">
        <v>200</v>
      </c>
      <c r="AG164" s="8">
        <f t="shared" si="163"/>
        <v>0</v>
      </c>
      <c r="AH164" s="8"/>
      <c r="AI164" s="8"/>
      <c r="AJ164" s="8">
        <f t="shared" si="164"/>
        <v>0</v>
      </c>
      <c r="AK164" s="8">
        <f t="shared" ref="AK164:AK172" si="171">AG164/365</f>
        <v>0</v>
      </c>
      <c r="AL164" s="8">
        <f t="shared" si="165"/>
        <v>0</v>
      </c>
      <c r="AM164" s="8">
        <f t="shared" si="168"/>
        <v>0</v>
      </c>
      <c r="AN164" s="8">
        <f t="shared" ref="AN164:AN172" si="172">AL164*37</f>
        <v>0</v>
      </c>
      <c r="AO164" s="8">
        <f t="shared" ref="AO164:AO172" si="173">AN164/3600/24*0.39</f>
        <v>0</v>
      </c>
      <c r="AP164" s="8">
        <f t="shared" ref="AP164:AP172" si="174">AO164*1000*24</f>
        <v>0</v>
      </c>
      <c r="AQ164" s="381"/>
      <c r="AR164" s="397"/>
      <c r="AS164" s="397"/>
    </row>
    <row r="165" spans="2:45" ht="15" thickBot="1" x14ac:dyDescent="0.35">
      <c r="B165" s="441"/>
      <c r="C165" s="417"/>
      <c r="D165" s="88" t="s">
        <v>11</v>
      </c>
      <c r="E165" s="27" t="s">
        <v>58</v>
      </c>
      <c r="F165" s="24"/>
      <c r="G165" s="56" t="s">
        <v>67</v>
      </c>
      <c r="H165" s="50" t="s">
        <v>59</v>
      </c>
      <c r="I165" s="51">
        <v>12</v>
      </c>
      <c r="J165" s="50">
        <v>89</v>
      </c>
      <c r="K165" s="51">
        <v>89</v>
      </c>
      <c r="L165" s="50" t="s">
        <v>57</v>
      </c>
      <c r="M165" s="51">
        <v>51</v>
      </c>
      <c r="N165" s="50">
        <v>1.4</v>
      </c>
      <c r="O165" s="50"/>
      <c r="P165" s="50"/>
      <c r="Q165" s="399" t="s">
        <v>70</v>
      </c>
      <c r="R165" s="399"/>
      <c r="S165" s="12"/>
      <c r="T165" s="9">
        <f t="shared" si="169"/>
        <v>0</v>
      </c>
      <c r="U165" s="11">
        <f t="shared" si="170"/>
        <v>0</v>
      </c>
      <c r="V165" s="39">
        <f t="shared" si="166"/>
        <v>0</v>
      </c>
      <c r="W165" s="11">
        <f t="shared" si="161"/>
        <v>0</v>
      </c>
      <c r="X165" s="424"/>
      <c r="Y165" s="11">
        <f t="shared" si="162"/>
        <v>0</v>
      </c>
      <c r="Z165" s="403"/>
      <c r="AA165" s="42">
        <f t="shared" si="167"/>
        <v>0</v>
      </c>
      <c r="AB165" s="406"/>
      <c r="AC165" s="409"/>
      <c r="AD165" s="412"/>
      <c r="AE165" s="409"/>
      <c r="AF165" s="45">
        <v>300</v>
      </c>
      <c r="AG165" s="8">
        <f t="shared" si="163"/>
        <v>0</v>
      </c>
      <c r="AH165" s="8"/>
      <c r="AI165" s="8"/>
      <c r="AJ165" s="8">
        <f t="shared" si="164"/>
        <v>0</v>
      </c>
      <c r="AK165" s="8">
        <f t="shared" si="171"/>
        <v>0</v>
      </c>
      <c r="AL165" s="8">
        <f t="shared" si="165"/>
        <v>0</v>
      </c>
      <c r="AM165" s="8">
        <f t="shared" si="168"/>
        <v>0</v>
      </c>
      <c r="AN165" s="8">
        <f t="shared" si="172"/>
        <v>0</v>
      </c>
      <c r="AO165" s="8">
        <f t="shared" si="173"/>
        <v>0</v>
      </c>
      <c r="AP165" s="8">
        <f t="shared" si="174"/>
        <v>0</v>
      </c>
      <c r="AQ165" s="381"/>
      <c r="AR165" s="397"/>
      <c r="AS165" s="397"/>
    </row>
    <row r="166" spans="2:45" ht="29.4" thickBot="1" x14ac:dyDescent="0.35">
      <c r="B166" s="441"/>
      <c r="C166" s="417"/>
      <c r="D166" s="426" t="s">
        <v>12</v>
      </c>
      <c r="E166" s="27" t="s">
        <v>27</v>
      </c>
      <c r="F166" s="24"/>
      <c r="G166" s="57" t="s">
        <v>29</v>
      </c>
      <c r="H166" s="50" t="s">
        <v>28</v>
      </c>
      <c r="I166" s="51">
        <v>25</v>
      </c>
      <c r="J166" s="50" t="s">
        <v>60</v>
      </c>
      <c r="K166" s="51">
        <v>90</v>
      </c>
      <c r="L166" s="50">
        <v>65</v>
      </c>
      <c r="M166" s="51">
        <v>60</v>
      </c>
      <c r="N166" s="55" t="s">
        <v>61</v>
      </c>
      <c r="O166" s="50"/>
      <c r="P166" s="50"/>
      <c r="Q166" s="399">
        <v>35</v>
      </c>
      <c r="R166" s="399"/>
      <c r="S166" s="12">
        <f>10*365</f>
        <v>3650</v>
      </c>
      <c r="T166" s="9">
        <f t="shared" si="169"/>
        <v>304.16666666666669</v>
      </c>
      <c r="U166" s="11">
        <f t="shared" si="170"/>
        <v>10</v>
      </c>
      <c r="V166" s="39">
        <f t="shared" si="166"/>
        <v>14.925373134328359</v>
      </c>
      <c r="W166" s="11">
        <f t="shared" si="161"/>
        <v>912.5</v>
      </c>
      <c r="X166" s="424"/>
      <c r="Y166" s="11">
        <f t="shared" si="162"/>
        <v>821.25</v>
      </c>
      <c r="Z166" s="403"/>
      <c r="AA166" s="42">
        <f t="shared" si="167"/>
        <v>21.700342383179819</v>
      </c>
      <c r="AB166" s="406"/>
      <c r="AC166" s="409"/>
      <c r="AD166" s="412"/>
      <c r="AE166" s="409"/>
      <c r="AF166" s="45">
        <v>590</v>
      </c>
      <c r="AG166" s="8">
        <f t="shared" si="163"/>
        <v>484537.5</v>
      </c>
      <c r="AH166" s="8"/>
      <c r="AI166" s="8"/>
      <c r="AJ166" s="8">
        <f t="shared" si="164"/>
        <v>132.75</v>
      </c>
      <c r="AK166" s="8">
        <f t="shared" si="171"/>
        <v>1327.5</v>
      </c>
      <c r="AL166" s="8">
        <f t="shared" si="165"/>
        <v>796.5</v>
      </c>
      <c r="AM166" s="8">
        <f t="shared" si="168"/>
        <v>290722.5</v>
      </c>
      <c r="AN166" s="8">
        <f t="shared" si="172"/>
        <v>29470.5</v>
      </c>
      <c r="AO166" s="8">
        <f t="shared" si="173"/>
        <v>0.1330265625</v>
      </c>
      <c r="AP166" s="8">
        <f t="shared" si="174"/>
        <v>3192.6375000000003</v>
      </c>
      <c r="AQ166" s="381"/>
      <c r="AR166" s="397"/>
      <c r="AS166" s="397"/>
    </row>
    <row r="167" spans="2:45" ht="29.4" thickBot="1" x14ac:dyDescent="0.35">
      <c r="B167" s="441"/>
      <c r="C167" s="417"/>
      <c r="D167" s="426"/>
      <c r="E167" s="27" t="s">
        <v>158</v>
      </c>
      <c r="F167" s="2"/>
      <c r="G167" s="57" t="s">
        <v>75</v>
      </c>
      <c r="H167" s="50" t="s">
        <v>155</v>
      </c>
      <c r="I167" s="51">
        <v>12</v>
      </c>
      <c r="J167" s="50" t="s">
        <v>62</v>
      </c>
      <c r="K167" s="51">
        <v>85</v>
      </c>
      <c r="L167" s="50" t="s">
        <v>63</v>
      </c>
      <c r="M167" s="51">
        <v>55</v>
      </c>
      <c r="N167" s="50"/>
      <c r="O167" s="50"/>
      <c r="P167" s="50"/>
      <c r="Q167" s="400"/>
      <c r="R167" s="401"/>
      <c r="S167" s="13"/>
      <c r="T167" s="9">
        <f t="shared" si="169"/>
        <v>0</v>
      </c>
      <c r="U167" s="11">
        <f t="shared" si="170"/>
        <v>0</v>
      </c>
      <c r="V167" s="39">
        <f t="shared" si="166"/>
        <v>0</v>
      </c>
      <c r="W167" s="11">
        <f t="shared" si="161"/>
        <v>0</v>
      </c>
      <c r="X167" s="424"/>
      <c r="Y167" s="11">
        <f t="shared" si="162"/>
        <v>0</v>
      </c>
      <c r="Z167" s="403"/>
      <c r="AA167" s="42">
        <f t="shared" si="167"/>
        <v>0</v>
      </c>
      <c r="AB167" s="406"/>
      <c r="AC167" s="409"/>
      <c r="AD167" s="412"/>
      <c r="AE167" s="409"/>
      <c r="AF167" s="45">
        <v>500</v>
      </c>
      <c r="AG167" s="8">
        <f t="shared" si="163"/>
        <v>0</v>
      </c>
      <c r="AH167" s="8"/>
      <c r="AI167" s="8"/>
      <c r="AJ167" s="8">
        <f t="shared" si="164"/>
        <v>0</v>
      </c>
      <c r="AK167" s="8">
        <f t="shared" si="171"/>
        <v>0</v>
      </c>
      <c r="AL167" s="8">
        <f t="shared" si="165"/>
        <v>0</v>
      </c>
      <c r="AM167" s="8">
        <f t="shared" si="168"/>
        <v>0</v>
      </c>
      <c r="AN167" s="8">
        <f t="shared" si="172"/>
        <v>0</v>
      </c>
      <c r="AO167" s="8">
        <f t="shared" si="173"/>
        <v>0</v>
      </c>
      <c r="AP167" s="8">
        <f t="shared" si="174"/>
        <v>0</v>
      </c>
      <c r="AQ167" s="381"/>
      <c r="AR167" s="397"/>
      <c r="AS167" s="397"/>
    </row>
    <row r="168" spans="2:45" ht="29.4" thickBot="1" x14ac:dyDescent="0.35">
      <c r="B168" s="441"/>
      <c r="C168" s="417"/>
      <c r="D168" s="426"/>
      <c r="E168" s="27" t="s">
        <v>64</v>
      </c>
      <c r="F168" s="24"/>
      <c r="G168" s="57" t="s">
        <v>79</v>
      </c>
      <c r="H168" s="55" t="s">
        <v>21</v>
      </c>
      <c r="I168" s="51">
        <v>8</v>
      </c>
      <c r="J168" s="50" t="s">
        <v>65</v>
      </c>
      <c r="K168" s="51">
        <v>83</v>
      </c>
      <c r="L168" s="50" t="s">
        <v>66</v>
      </c>
      <c r="M168" s="51">
        <v>58</v>
      </c>
      <c r="N168" s="55" t="s">
        <v>73</v>
      </c>
      <c r="O168" s="50"/>
      <c r="P168" s="50"/>
      <c r="Q168" s="400"/>
      <c r="R168" s="401"/>
      <c r="S168" s="13">
        <f>5*365</f>
        <v>1825</v>
      </c>
      <c r="T168" s="9">
        <f t="shared" si="169"/>
        <v>152.08333333333334</v>
      </c>
      <c r="U168" s="11">
        <f t="shared" si="170"/>
        <v>5</v>
      </c>
      <c r="V168" s="39">
        <f t="shared" si="166"/>
        <v>7.4626865671641793</v>
      </c>
      <c r="W168" s="11">
        <f t="shared" si="161"/>
        <v>146</v>
      </c>
      <c r="X168" s="424"/>
      <c r="Y168" s="11">
        <f t="shared" si="162"/>
        <v>121.17999999999999</v>
      </c>
      <c r="Z168" s="403"/>
      <c r="AA168" s="42">
        <f t="shared" si="167"/>
        <v>3.2020060760958668</v>
      </c>
      <c r="AB168" s="406"/>
      <c r="AC168" s="409"/>
      <c r="AD168" s="412"/>
      <c r="AE168" s="409"/>
      <c r="AF168" s="45">
        <v>400</v>
      </c>
      <c r="AG168" s="8">
        <f t="shared" si="163"/>
        <v>48472</v>
      </c>
      <c r="AH168" s="8"/>
      <c r="AI168" s="8"/>
      <c r="AJ168" s="8">
        <f t="shared" si="164"/>
        <v>26.56</v>
      </c>
      <c r="AK168" s="8">
        <f t="shared" si="171"/>
        <v>132.80000000000001</v>
      </c>
      <c r="AL168" s="8">
        <f t="shared" si="165"/>
        <v>77.024000000000001</v>
      </c>
      <c r="AM168" s="8">
        <f t="shared" si="168"/>
        <v>28113.760000000002</v>
      </c>
      <c r="AN168" s="8">
        <f t="shared" si="172"/>
        <v>2849.8879999999999</v>
      </c>
      <c r="AO168" s="8">
        <f t="shared" si="173"/>
        <v>1.2864077777777778E-2</v>
      </c>
      <c r="AP168" s="8">
        <f t="shared" si="174"/>
        <v>308.73786666666666</v>
      </c>
      <c r="AQ168" s="381"/>
      <c r="AR168" s="397"/>
      <c r="AS168" s="397"/>
    </row>
    <row r="169" spans="2:45" ht="29.4" thickBot="1" x14ac:dyDescent="0.35">
      <c r="B169" s="441"/>
      <c r="C169" s="417"/>
      <c r="D169" s="88" t="s">
        <v>13</v>
      </c>
      <c r="E169" s="25" t="s">
        <v>78</v>
      </c>
      <c r="F169" s="24"/>
      <c r="G169" s="49" t="s">
        <v>37</v>
      </c>
      <c r="H169" s="50" t="s">
        <v>38</v>
      </c>
      <c r="I169" s="51">
        <v>40</v>
      </c>
      <c r="J169" s="50" t="s">
        <v>39</v>
      </c>
      <c r="K169" s="51">
        <v>97</v>
      </c>
      <c r="L169" s="50" t="s">
        <v>50</v>
      </c>
      <c r="M169" s="51">
        <v>69</v>
      </c>
      <c r="N169" s="50" t="s">
        <v>35</v>
      </c>
      <c r="O169" s="50"/>
      <c r="P169" s="50"/>
      <c r="Q169" s="399" t="s">
        <v>36</v>
      </c>
      <c r="R169" s="399"/>
      <c r="S169" s="12"/>
      <c r="T169" s="9">
        <f t="shared" si="169"/>
        <v>0</v>
      </c>
      <c r="U169" s="11">
        <f t="shared" si="170"/>
        <v>0</v>
      </c>
      <c r="V169" s="39">
        <f t="shared" si="166"/>
        <v>0</v>
      </c>
      <c r="W169" s="11">
        <f t="shared" si="161"/>
        <v>0</v>
      </c>
      <c r="X169" s="424"/>
      <c r="Y169" s="11">
        <f t="shared" si="162"/>
        <v>0</v>
      </c>
      <c r="Z169" s="403"/>
      <c r="AA169" s="42">
        <f t="shared" si="167"/>
        <v>0</v>
      </c>
      <c r="AB169" s="406"/>
      <c r="AC169" s="409"/>
      <c r="AD169" s="412"/>
      <c r="AE169" s="409"/>
      <c r="AF169" s="45">
        <v>500</v>
      </c>
      <c r="AG169" s="8">
        <f t="shared" si="163"/>
        <v>0</v>
      </c>
      <c r="AH169" s="8"/>
      <c r="AI169" s="8"/>
      <c r="AJ169" s="8">
        <f t="shared" si="164"/>
        <v>0</v>
      </c>
      <c r="AK169" s="8">
        <f t="shared" si="171"/>
        <v>0</v>
      </c>
      <c r="AL169" s="8">
        <f t="shared" si="165"/>
        <v>0</v>
      </c>
      <c r="AM169" s="8">
        <f t="shared" si="168"/>
        <v>0</v>
      </c>
      <c r="AN169" s="8">
        <f t="shared" si="172"/>
        <v>0</v>
      </c>
      <c r="AO169" s="8">
        <f t="shared" si="173"/>
        <v>0</v>
      </c>
      <c r="AP169" s="8">
        <f t="shared" si="174"/>
        <v>0</v>
      </c>
      <c r="AQ169" s="381"/>
      <c r="AR169" s="397"/>
      <c r="AS169" s="397"/>
    </row>
    <row r="170" spans="2:45" ht="29.4" thickBot="1" x14ac:dyDescent="0.35">
      <c r="B170" s="441"/>
      <c r="C170" s="417"/>
      <c r="D170" s="88" t="s">
        <v>14</v>
      </c>
      <c r="E170" s="25" t="s">
        <v>55</v>
      </c>
      <c r="F170" s="2"/>
      <c r="G170" s="49" t="s">
        <v>80</v>
      </c>
      <c r="H170" s="50" t="s">
        <v>56</v>
      </c>
      <c r="I170" s="51">
        <v>22</v>
      </c>
      <c r="J170" s="50" t="s">
        <v>30</v>
      </c>
      <c r="K170" s="51">
        <v>90</v>
      </c>
      <c r="L170" s="50" t="s">
        <v>57</v>
      </c>
      <c r="M170" s="51">
        <v>54</v>
      </c>
      <c r="N170" s="50">
        <v>1.5</v>
      </c>
      <c r="O170" s="50"/>
      <c r="P170" s="50"/>
      <c r="Q170" s="399" t="s">
        <v>72</v>
      </c>
      <c r="R170" s="399"/>
      <c r="S170" s="12">
        <f>7*365</f>
        <v>2555</v>
      </c>
      <c r="T170" s="9">
        <f t="shared" si="169"/>
        <v>212.91666666666666</v>
      </c>
      <c r="U170" s="11">
        <f t="shared" si="170"/>
        <v>7</v>
      </c>
      <c r="V170" s="39">
        <f t="shared" si="166"/>
        <v>10.44776119402985</v>
      </c>
      <c r="W170" s="11">
        <f t="shared" si="161"/>
        <v>562.1</v>
      </c>
      <c r="X170" s="424"/>
      <c r="Y170" s="11">
        <f t="shared" si="162"/>
        <v>505.89000000000004</v>
      </c>
      <c r="Z170" s="403"/>
      <c r="AA170" s="42">
        <f t="shared" si="167"/>
        <v>13.367410908038771</v>
      </c>
      <c r="AB170" s="406"/>
      <c r="AC170" s="409"/>
      <c r="AD170" s="412"/>
      <c r="AE170" s="409"/>
      <c r="AF170" s="45">
        <v>170</v>
      </c>
      <c r="AG170" s="8">
        <f t="shared" si="163"/>
        <v>86001.3</v>
      </c>
      <c r="AH170" s="8"/>
      <c r="AI170" s="8"/>
      <c r="AJ170" s="8">
        <f t="shared" si="164"/>
        <v>33.660000000000004</v>
      </c>
      <c r="AK170" s="8">
        <f t="shared" si="171"/>
        <v>235.62</v>
      </c>
      <c r="AL170" s="8">
        <f t="shared" si="165"/>
        <v>127.23480000000001</v>
      </c>
      <c r="AM170" s="8">
        <f t="shared" si="168"/>
        <v>46440.702000000005</v>
      </c>
      <c r="AN170" s="8">
        <f t="shared" si="172"/>
        <v>4707.6876000000002</v>
      </c>
      <c r="AO170" s="8">
        <f t="shared" si="173"/>
        <v>2.1249978750000002E-2</v>
      </c>
      <c r="AP170" s="8">
        <f t="shared" si="174"/>
        <v>509.99949000000009</v>
      </c>
      <c r="AQ170" s="381"/>
      <c r="AR170" s="397"/>
      <c r="AS170" s="397"/>
    </row>
    <row r="171" spans="2:45" ht="15" thickBot="1" x14ac:dyDescent="0.35">
      <c r="B171" s="441"/>
      <c r="C171" s="417"/>
      <c r="D171" s="88" t="s">
        <v>15</v>
      </c>
      <c r="E171" s="26" t="s">
        <v>7</v>
      </c>
      <c r="F171" s="24" t="s">
        <v>112</v>
      </c>
      <c r="G171" s="49">
        <v>5.7</v>
      </c>
      <c r="H171" s="58" t="s">
        <v>51</v>
      </c>
      <c r="I171" s="51">
        <v>21</v>
      </c>
      <c r="J171" s="50" t="s">
        <v>32</v>
      </c>
      <c r="K171" s="51">
        <v>65</v>
      </c>
      <c r="L171" s="50" t="s">
        <v>52</v>
      </c>
      <c r="M171" s="51">
        <v>58</v>
      </c>
      <c r="N171" s="50"/>
      <c r="O171" s="50"/>
      <c r="P171" s="50"/>
      <c r="Q171" s="399" t="e">
        <f>O171/N171</f>
        <v>#DIV/0!</v>
      </c>
      <c r="R171" s="399"/>
      <c r="S171" s="12">
        <f>40*365</f>
        <v>14600</v>
      </c>
      <c r="T171" s="9">
        <f t="shared" si="169"/>
        <v>1216.6666666666667</v>
      </c>
      <c r="U171" s="11">
        <f t="shared" si="170"/>
        <v>40</v>
      </c>
      <c r="V171" s="39">
        <f t="shared" si="166"/>
        <v>59.701492537313435</v>
      </c>
      <c r="W171" s="11">
        <f t="shared" si="161"/>
        <v>3066</v>
      </c>
      <c r="X171" s="424"/>
      <c r="Y171" s="11">
        <f t="shared" si="162"/>
        <v>1992.9</v>
      </c>
      <c r="Z171" s="403"/>
      <c r="AA171" s="42">
        <f t="shared" si="167"/>
        <v>52.659497516516367</v>
      </c>
      <c r="AB171" s="406"/>
      <c r="AC171" s="409"/>
      <c r="AD171" s="412"/>
      <c r="AE171" s="409"/>
      <c r="AF171" s="45">
        <v>580</v>
      </c>
      <c r="AG171" s="8">
        <f t="shared" si="163"/>
        <v>1155882</v>
      </c>
      <c r="AH171" s="8"/>
      <c r="AI171" s="8"/>
      <c r="AJ171" s="8">
        <f t="shared" si="164"/>
        <v>79.17</v>
      </c>
      <c r="AK171" s="8">
        <f t="shared" si="171"/>
        <v>3166.8</v>
      </c>
      <c r="AL171" s="8">
        <f t="shared" si="165"/>
        <v>1836.7439999999999</v>
      </c>
      <c r="AM171" s="8">
        <f t="shared" si="168"/>
        <v>670411.55999999994</v>
      </c>
      <c r="AN171" s="8">
        <f t="shared" si="172"/>
        <v>67959.527999999991</v>
      </c>
      <c r="AO171" s="8">
        <f t="shared" si="173"/>
        <v>0.3067617583333333</v>
      </c>
      <c r="AP171" s="8">
        <f t="shared" si="174"/>
        <v>7362.2821999999996</v>
      </c>
      <c r="AQ171" s="381"/>
      <c r="AR171" s="397"/>
      <c r="AS171" s="397"/>
    </row>
    <row r="172" spans="2:45" ht="58.2" thickBot="1" x14ac:dyDescent="0.35">
      <c r="B172" s="441"/>
      <c r="C172" s="418"/>
      <c r="D172" s="88" t="s">
        <v>16</v>
      </c>
      <c r="E172" s="25" t="s">
        <v>53</v>
      </c>
      <c r="F172" s="2"/>
      <c r="G172" s="59"/>
      <c r="H172" s="60" t="s">
        <v>28</v>
      </c>
      <c r="I172" s="61">
        <v>16</v>
      </c>
      <c r="J172" s="60" t="s">
        <v>34</v>
      </c>
      <c r="K172" s="61">
        <v>85</v>
      </c>
      <c r="L172" s="60" t="s">
        <v>54</v>
      </c>
      <c r="M172" s="61">
        <v>52</v>
      </c>
      <c r="N172" s="60" t="s">
        <v>76</v>
      </c>
      <c r="O172" s="60"/>
      <c r="P172" s="60"/>
      <c r="Q172" s="427" t="e">
        <f>O172/N172</f>
        <v>#VALUE!</v>
      </c>
      <c r="R172" s="427"/>
      <c r="S172" s="14"/>
      <c r="T172" s="9">
        <f t="shared" si="169"/>
        <v>0</v>
      </c>
      <c r="U172" s="9">
        <f t="shared" si="170"/>
        <v>0</v>
      </c>
      <c r="V172" s="39">
        <f t="shared" si="166"/>
        <v>0</v>
      </c>
      <c r="W172" s="11">
        <f t="shared" si="161"/>
        <v>0</v>
      </c>
      <c r="X172" s="425"/>
      <c r="Y172" s="35">
        <f t="shared" si="162"/>
        <v>0</v>
      </c>
      <c r="Z172" s="404"/>
      <c r="AA172" s="42">
        <f t="shared" si="167"/>
        <v>0</v>
      </c>
      <c r="AB172" s="407"/>
      <c r="AC172" s="410"/>
      <c r="AD172" s="413"/>
      <c r="AE172" s="410"/>
      <c r="AF172" s="46">
        <v>700</v>
      </c>
      <c r="AG172" s="36">
        <f t="shared" si="163"/>
        <v>0</v>
      </c>
      <c r="AH172" s="36"/>
      <c r="AI172" s="36"/>
      <c r="AJ172" s="36">
        <f t="shared" si="164"/>
        <v>0</v>
      </c>
      <c r="AK172" s="36">
        <f t="shared" si="171"/>
        <v>0</v>
      </c>
      <c r="AL172" s="36">
        <f t="shared" si="165"/>
        <v>0</v>
      </c>
      <c r="AM172" s="36">
        <f t="shared" si="168"/>
        <v>0</v>
      </c>
      <c r="AN172" s="36">
        <f t="shared" si="172"/>
        <v>0</v>
      </c>
      <c r="AO172" s="36">
        <f t="shared" si="173"/>
        <v>0</v>
      </c>
      <c r="AP172" s="36">
        <f t="shared" si="174"/>
        <v>0</v>
      </c>
      <c r="AQ172" s="415"/>
      <c r="AR172" s="398"/>
      <c r="AS172" s="398"/>
    </row>
    <row r="173" spans="2:45" ht="18" x14ac:dyDescent="0.3">
      <c r="S173" s="17">
        <f t="shared" ref="S173:W173" si="175">SUM(S161:S172)</f>
        <v>24455</v>
      </c>
      <c r="T173" s="17">
        <f t="shared" si="175"/>
        <v>2037.9166666666667</v>
      </c>
      <c r="U173" s="17">
        <f t="shared" si="175"/>
        <v>67</v>
      </c>
      <c r="V173" s="17">
        <f t="shared" si="175"/>
        <v>100</v>
      </c>
      <c r="W173" s="16">
        <f t="shared" si="175"/>
        <v>5288.85</v>
      </c>
      <c r="X173" s="16"/>
      <c r="Y173" s="16">
        <f>SUM(Y161:Y172)</f>
        <v>3784.5025000000005</v>
      </c>
      <c r="Z173" s="16"/>
      <c r="AA173" s="16">
        <f>SUM(AA161:AA172)</f>
        <v>100</v>
      </c>
      <c r="AB173" s="16"/>
      <c r="AC173" s="16"/>
      <c r="AD173" s="16"/>
      <c r="AE173" s="16"/>
      <c r="AF173" s="16"/>
      <c r="AG173" s="16">
        <f>SUM(AG161:AG172)</f>
        <v>1877877.55</v>
      </c>
      <c r="AH173" s="16"/>
      <c r="AI173" s="16"/>
      <c r="AJ173" s="16"/>
      <c r="AK173" s="16">
        <f t="shared" ref="AK173:AP173" si="176">SUM(AK161:AK172)</f>
        <v>5144.8700000000008</v>
      </c>
      <c r="AL173" s="18">
        <f t="shared" si="176"/>
        <v>2992.6853000000001</v>
      </c>
      <c r="AM173" s="18">
        <f t="shared" si="176"/>
        <v>1092330.1344999999</v>
      </c>
      <c r="AN173" s="16">
        <f t="shared" si="176"/>
        <v>110729.35609999999</v>
      </c>
      <c r="AO173" s="16">
        <f t="shared" si="176"/>
        <v>0.49982001017361111</v>
      </c>
      <c r="AP173" s="16">
        <f t="shared" si="176"/>
        <v>11995.680244166666</v>
      </c>
      <c r="AQ173" s="16"/>
      <c r="AR173" s="16"/>
    </row>
    <row r="177" spans="37:48" ht="18.600000000000001" thickBot="1" x14ac:dyDescent="0.4">
      <c r="AL177" s="75"/>
    </row>
    <row r="178" spans="37:48" ht="34.200000000000003" thickBot="1" x14ac:dyDescent="0.7">
      <c r="AL178" s="388" t="str">
        <f>B7</f>
        <v>Firma X</v>
      </c>
      <c r="AM178" s="389"/>
      <c r="AN178" s="389"/>
      <c r="AO178" s="389"/>
      <c r="AP178" s="389"/>
      <c r="AQ178" s="389"/>
      <c r="AR178" s="389"/>
      <c r="AS178" s="389"/>
      <c r="AT178" s="389"/>
      <c r="AU178" s="389"/>
      <c r="AV178" s="390"/>
    </row>
    <row r="179" spans="37:48" ht="26.4" thickBot="1" x14ac:dyDescent="0.55000000000000004">
      <c r="AL179" s="391" t="s">
        <v>159</v>
      </c>
      <c r="AM179" s="392"/>
      <c r="AN179" s="392"/>
      <c r="AO179" s="392"/>
      <c r="AP179" s="392"/>
      <c r="AQ179" s="392"/>
      <c r="AR179" s="392"/>
      <c r="AS179" s="392"/>
      <c r="AT179" s="392"/>
      <c r="AU179" s="392"/>
      <c r="AV179" s="393"/>
    </row>
    <row r="180" spans="37:48" ht="18.600000000000001" thickBot="1" x14ac:dyDescent="0.35">
      <c r="AK180" s="69" t="s">
        <v>120</v>
      </c>
      <c r="AL180" s="72" t="s">
        <v>114</v>
      </c>
      <c r="AM180" s="73" t="s">
        <v>113</v>
      </c>
      <c r="AN180" s="74" t="s">
        <v>115</v>
      </c>
      <c r="AO180" s="72" t="s">
        <v>143</v>
      </c>
      <c r="AP180" s="73" t="s">
        <v>144</v>
      </c>
      <c r="AQ180" s="74" t="s">
        <v>145</v>
      </c>
      <c r="AR180" s="72" t="s">
        <v>146</v>
      </c>
      <c r="AS180" s="73" t="s">
        <v>147</v>
      </c>
      <c r="AT180" s="74" t="s">
        <v>148</v>
      </c>
      <c r="AU180" s="74" t="s">
        <v>149</v>
      </c>
      <c r="AV180" s="74" t="s">
        <v>150</v>
      </c>
    </row>
    <row r="181" spans="37:48" ht="75" customHeight="1" thickBot="1" x14ac:dyDescent="0.35">
      <c r="AK181" s="70" t="s">
        <v>121</v>
      </c>
      <c r="AL181" s="96" t="str">
        <f>E11</f>
        <v>Słoma zbóż po zakiszeniu, trawy</v>
      </c>
      <c r="AM181" s="97" t="str">
        <f>E29</f>
        <v>Odpady z produkcji spożywczej - wywar zbożowy</v>
      </c>
      <c r="AN181" s="98" t="str">
        <f>E42</f>
        <v>Odpady z produkcji spożywczej - odpady owocowo warzywne</v>
      </c>
      <c r="AO181" s="96" t="str">
        <f>E56</f>
        <v>Trzoda chlewna obornik</v>
      </c>
      <c r="AP181" s="97" t="str">
        <f>E70</f>
        <v>Obornik drobiowy/pomiot drobiowy</v>
      </c>
      <c r="AQ181" s="98" t="str">
        <f>E95</f>
        <v xml:space="preserve">Odpady biodegradowalne w tym gospodarstwa domowe - odpady kuchenne, przeterminowana żywność, usł. komunalne, </v>
      </c>
      <c r="AR181" s="96" t="str">
        <f>E104</f>
        <v>Gnojowica bydlęca</v>
      </c>
      <c r="AS181" s="97" t="str">
        <f>E122</f>
        <v>Odpady z produkcji spożywczej - wytłoki, wycierki, łupiny</v>
      </c>
      <c r="AT181" s="98" t="str">
        <f>E139</f>
        <v>Odpady poubojowe (KII +KIII) bydło</v>
      </c>
      <c r="AU181" s="98" t="str">
        <f>E155</f>
        <v>Trwałe Użytki Zielone (TUZ) - zieleń miejska</v>
      </c>
      <c r="AV181" s="98" t="str">
        <f>E171</f>
        <v>Browary odpady (młóto)</v>
      </c>
    </row>
    <row r="182" spans="37:48" ht="58.2" thickBot="1" x14ac:dyDescent="0.35">
      <c r="AK182" s="70" t="s">
        <v>122</v>
      </c>
      <c r="AL182" s="100">
        <f>V11</f>
        <v>53.278688524590166</v>
      </c>
      <c r="AM182" s="101">
        <f>V29</f>
        <v>59.016393442622956</v>
      </c>
      <c r="AN182" s="102">
        <f>V42</f>
        <v>55</v>
      </c>
      <c r="AO182" s="103">
        <f>V54+V56</f>
        <v>50.877192982456137</v>
      </c>
      <c r="AP182" s="101">
        <f>V70</f>
        <v>49.999999999999986</v>
      </c>
      <c r="AQ182" s="102">
        <f>V95</f>
        <v>60</v>
      </c>
      <c r="AR182" s="103">
        <f>V104</f>
        <v>56.410256410256416</v>
      </c>
      <c r="AS182" s="101">
        <f>V122</f>
        <v>57.547169811320764</v>
      </c>
      <c r="AT182" s="102">
        <f>V139</f>
        <v>57.575757575757571</v>
      </c>
      <c r="AU182" s="102">
        <f>V155</f>
        <v>57.471264367816083</v>
      </c>
      <c r="AV182" s="104">
        <f>V171</f>
        <v>59.701492537313435</v>
      </c>
    </row>
    <row r="183" spans="37:48" ht="58.2" thickBot="1" x14ac:dyDescent="0.35">
      <c r="AK183" s="70" t="s">
        <v>123</v>
      </c>
      <c r="AL183" s="100">
        <f>AA11</f>
        <v>41.146555709662508</v>
      </c>
      <c r="AM183" s="101">
        <f>AA29</f>
        <v>33.655044244049748</v>
      </c>
      <c r="AN183" s="102">
        <f>AA42</f>
        <v>67.274934763699619</v>
      </c>
      <c r="AO183" s="103">
        <f>AA54+AA56</f>
        <v>44.937244013744561</v>
      </c>
      <c r="AP183" s="101">
        <f>AA70</f>
        <v>59.814926702070139</v>
      </c>
      <c r="AQ183" s="102">
        <f>AA95</f>
        <v>59.538865648409377</v>
      </c>
      <c r="AR183" s="103">
        <f>AA104</f>
        <v>32.79280328393839</v>
      </c>
      <c r="AS183" s="101">
        <f>AA122</f>
        <v>48.49382331164022</v>
      </c>
      <c r="AT183" s="102">
        <f>AA139</f>
        <v>78.190959037780289</v>
      </c>
      <c r="AU183" s="102">
        <f>AA155</f>
        <v>59.538128458022619</v>
      </c>
      <c r="AV183" s="104">
        <f>AA171</f>
        <v>52.659497516516367</v>
      </c>
    </row>
    <row r="184" spans="37:48" ht="29.4" thickBot="1" x14ac:dyDescent="0.35">
      <c r="AK184" s="70" t="s">
        <v>160</v>
      </c>
      <c r="AL184" s="100">
        <f>U19</f>
        <v>122</v>
      </c>
      <c r="AM184" s="101">
        <f>U34</f>
        <v>122</v>
      </c>
      <c r="AN184" s="102">
        <f>U49</f>
        <v>60</v>
      </c>
      <c r="AO184" s="103">
        <f>U66</f>
        <v>114</v>
      </c>
      <c r="AP184" s="101">
        <f>U81</f>
        <v>100</v>
      </c>
      <c r="AQ184" s="102">
        <f>U96</f>
        <v>75</v>
      </c>
      <c r="AR184" s="103">
        <f>U113</f>
        <v>156</v>
      </c>
      <c r="AS184" s="101">
        <f>U128</f>
        <v>106</v>
      </c>
      <c r="AT184" s="102">
        <f>U143</f>
        <v>33</v>
      </c>
      <c r="AU184" s="102">
        <f>U158</f>
        <v>87</v>
      </c>
      <c r="AV184" s="104">
        <f>U173</f>
        <v>67</v>
      </c>
    </row>
    <row r="185" spans="37:48" ht="29.4" thickBot="1" x14ac:dyDescent="0.35">
      <c r="AK185" s="70" t="s">
        <v>124</v>
      </c>
      <c r="AL185" s="100">
        <f>X7</f>
        <v>22.240000000000002</v>
      </c>
      <c r="AM185" s="101">
        <f>X22</f>
        <v>17.420000000000002</v>
      </c>
      <c r="AN185" s="102">
        <f>X37</f>
        <v>13.209999999999999</v>
      </c>
      <c r="AO185" s="103">
        <f>X54</f>
        <v>24.1</v>
      </c>
      <c r="AP185" s="101">
        <f>X69</f>
        <v>23.95</v>
      </c>
      <c r="AQ185" s="102">
        <f>X84</f>
        <v>13</v>
      </c>
      <c r="AR185" s="103">
        <f>X101</f>
        <v>21.65</v>
      </c>
      <c r="AS185" s="101">
        <f>X116</f>
        <v>15.919999999999998</v>
      </c>
      <c r="AT185" s="102">
        <f>X131</f>
        <v>9.93</v>
      </c>
      <c r="AU185" s="102">
        <f>X146</f>
        <v>19.52</v>
      </c>
      <c r="AV185" s="104">
        <f>X161</f>
        <v>14.49</v>
      </c>
    </row>
    <row r="186" spans="37:48" ht="29.4" thickBot="1" x14ac:dyDescent="0.35">
      <c r="AK186" s="70" t="s">
        <v>125</v>
      </c>
      <c r="AL186" s="100">
        <f>AB7</f>
        <v>9</v>
      </c>
      <c r="AM186" s="101">
        <f>AB22</f>
        <v>10</v>
      </c>
      <c r="AN186" s="102">
        <f>AB37</f>
        <v>7</v>
      </c>
      <c r="AO186" s="103">
        <f>AB54</f>
        <v>10</v>
      </c>
      <c r="AP186" s="101">
        <f>AB69</f>
        <v>5</v>
      </c>
      <c r="AQ186" s="102">
        <f>AB84</f>
        <v>3.5</v>
      </c>
      <c r="AR186" s="103">
        <f>AB101</f>
        <v>9</v>
      </c>
      <c r="AS186" s="101">
        <f>AB116</f>
        <v>7</v>
      </c>
      <c r="AT186" s="102">
        <f>AB131</f>
        <v>5</v>
      </c>
      <c r="AU186" s="102">
        <f>AB146</f>
        <v>5.5</v>
      </c>
      <c r="AV186" s="104">
        <f>AB161</f>
        <v>5.5</v>
      </c>
    </row>
    <row r="187" spans="37:48" ht="15" thickBot="1" x14ac:dyDescent="0.35">
      <c r="AK187" s="70" t="s">
        <v>126</v>
      </c>
      <c r="AL187" s="105">
        <f>AC7</f>
        <v>0.59532374100719432</v>
      </c>
      <c r="AM187" s="106">
        <f>AC22</f>
        <v>0.42594718714121704</v>
      </c>
      <c r="AN187" s="107">
        <f>AC37</f>
        <v>0.47009841029523086</v>
      </c>
      <c r="AO187" s="108">
        <f>AC54</f>
        <v>0.58506224066390045</v>
      </c>
      <c r="AP187" s="106">
        <f>AC69</f>
        <v>0.79123173277661796</v>
      </c>
      <c r="AQ187" s="107">
        <f>AC84</f>
        <v>0.73076923076923073</v>
      </c>
      <c r="AR187" s="108">
        <f>AC101</f>
        <v>0.58429561200923785</v>
      </c>
      <c r="AS187" s="106">
        <f>AC116</f>
        <v>0.56030150753768837</v>
      </c>
      <c r="AT187" s="107">
        <f>AC131</f>
        <v>0.49647532729103727</v>
      </c>
      <c r="AU187" s="107">
        <f>AC146</f>
        <v>0.71823770491803274</v>
      </c>
      <c r="AV187" s="109">
        <f>AC161</f>
        <v>0.62042788129744653</v>
      </c>
    </row>
    <row r="188" spans="37:48" ht="29.4" thickBot="1" x14ac:dyDescent="0.35">
      <c r="AK188" s="70" t="s">
        <v>127</v>
      </c>
      <c r="AL188" s="100">
        <f>Z7</f>
        <v>16.871399999999998</v>
      </c>
      <c r="AM188" s="101">
        <f>Z22</f>
        <v>14.205300000000001</v>
      </c>
      <c r="AN188" s="102">
        <f>Z37</f>
        <v>11.036800000000001</v>
      </c>
      <c r="AO188" s="103">
        <f>Z54</f>
        <v>16.675699999999999</v>
      </c>
      <c r="AP188" s="101">
        <f>Z69</f>
        <v>15.723500000000003</v>
      </c>
      <c r="AQ188" s="102">
        <f>Z84</f>
        <v>10.278999999999998</v>
      </c>
      <c r="AR188" s="103">
        <f>Z101</f>
        <v>17.174500000000002</v>
      </c>
      <c r="AS188" s="101">
        <f>Z116</f>
        <v>12.830500000000002</v>
      </c>
      <c r="AT188" s="102">
        <f>Z131</f>
        <v>9.4281999999999986</v>
      </c>
      <c r="AU188" s="102">
        <f>Z146</f>
        <v>16.627999999999997</v>
      </c>
      <c r="AV188" s="104">
        <f>Z161</f>
        <v>10.368500000000001</v>
      </c>
    </row>
    <row r="189" spans="37:48" ht="29.4" thickBot="1" x14ac:dyDescent="0.35">
      <c r="AK189" s="70" t="s">
        <v>128</v>
      </c>
      <c r="AL189" s="110">
        <f>AD7</f>
        <v>11</v>
      </c>
      <c r="AM189" s="111">
        <f>AD22</f>
        <v>7</v>
      </c>
      <c r="AN189" s="112">
        <f>AD37</f>
        <v>8</v>
      </c>
      <c r="AO189" s="113">
        <f>AD54</f>
        <v>12</v>
      </c>
      <c r="AP189" s="111">
        <f>AD69</f>
        <v>10</v>
      </c>
      <c r="AQ189" s="112">
        <f>AD84</f>
        <v>6.5</v>
      </c>
      <c r="AR189" s="113">
        <f>AD101</f>
        <v>13</v>
      </c>
      <c r="AS189" s="111">
        <f>AD116</f>
        <v>12</v>
      </c>
      <c r="AT189" s="112">
        <f>AD131</f>
        <v>8.5</v>
      </c>
      <c r="AU189" s="112">
        <f>AD146</f>
        <v>11</v>
      </c>
      <c r="AV189" s="114">
        <f>AD161</f>
        <v>6.5</v>
      </c>
    </row>
    <row r="190" spans="37:48" ht="15" thickBot="1" x14ac:dyDescent="0.35">
      <c r="AK190" s="70" t="s">
        <v>129</v>
      </c>
      <c r="AL190" s="105">
        <f>AE7</f>
        <v>0.34800905674692073</v>
      </c>
      <c r="AM190" s="106">
        <f>AE22</f>
        <v>0.50722617614552323</v>
      </c>
      <c r="AN190" s="107">
        <f>AE37</f>
        <v>0.27515221803421291</v>
      </c>
      <c r="AO190" s="108">
        <f>AE54</f>
        <v>0.2803900286044963</v>
      </c>
      <c r="AP190" s="106">
        <f>AE69</f>
        <v>0.36400928546443234</v>
      </c>
      <c r="AQ190" s="107">
        <f>AE84</f>
        <v>0.36764276680610941</v>
      </c>
      <c r="AR190" s="108">
        <f>AE101</f>
        <v>0.24306384465341066</v>
      </c>
      <c r="AS190" s="106">
        <f>AE116</f>
        <v>6.472857643895423E-2</v>
      </c>
      <c r="AT190" s="107">
        <f>AE131</f>
        <v>9.8449332852506177E-2</v>
      </c>
      <c r="AU190" s="107">
        <f>AE146</f>
        <v>0.33846523935530415</v>
      </c>
      <c r="AV190" s="109">
        <f>AE161</f>
        <v>0.37310122004147184</v>
      </c>
    </row>
    <row r="191" spans="37:48" ht="31.2" thickBot="1" x14ac:dyDescent="0.35">
      <c r="AK191" s="70" t="s">
        <v>131</v>
      </c>
      <c r="AL191" s="115">
        <f>AM19</f>
        <v>1047412.9425000001</v>
      </c>
      <c r="AM191" s="116">
        <f>AM34</f>
        <v>1018351.2044999999</v>
      </c>
      <c r="AN191" s="116">
        <f>AM49</f>
        <v>1202179.7315</v>
      </c>
      <c r="AO191" s="116">
        <f>AM66</f>
        <v>1097290.959</v>
      </c>
      <c r="AP191" s="116">
        <f>AM81</f>
        <v>1146209.5</v>
      </c>
      <c r="AQ191" s="116">
        <f>AM96</f>
        <v>1086350.7774999999</v>
      </c>
      <c r="AR191" s="116">
        <f>AM113</f>
        <v>1100371.2305000001</v>
      </c>
      <c r="AS191" s="116">
        <f>AM128</f>
        <v>1146531.6124999998</v>
      </c>
      <c r="AT191" s="116">
        <f>AM143</f>
        <v>1072584.0359999996</v>
      </c>
      <c r="AU191" s="116">
        <f>AM158</f>
        <v>1115241.6955000001</v>
      </c>
      <c r="AV191" s="117">
        <f>AM173</f>
        <v>1092330.1344999999</v>
      </c>
    </row>
    <row r="192" spans="37:48" ht="29.4" thickBot="1" x14ac:dyDescent="0.35">
      <c r="AK192" s="70" t="s">
        <v>130</v>
      </c>
      <c r="AL192" s="100">
        <f>AO19</f>
        <v>0.47926714739583332</v>
      </c>
      <c r="AM192" s="101">
        <f>AO34</f>
        <v>0.46596930114583335</v>
      </c>
      <c r="AN192" s="102">
        <f>AO49</f>
        <v>0.55008414274305562</v>
      </c>
      <c r="AO192" s="103">
        <f>AO66</f>
        <v>0.50208994604166668</v>
      </c>
      <c r="AP192" s="101">
        <f>AO81</f>
        <v>0.52447371527777786</v>
      </c>
      <c r="AQ192" s="102">
        <f>AO96</f>
        <v>0.49708402204861107</v>
      </c>
      <c r="AR192" s="103">
        <f>AO113</f>
        <v>0.5034993929513889</v>
      </c>
      <c r="AS192" s="101">
        <f>AO128</f>
        <v>0.52462110503472226</v>
      </c>
      <c r="AT192" s="102">
        <f>AO143</f>
        <v>0.49078474249999987</v>
      </c>
      <c r="AU192" s="102">
        <f>AO158</f>
        <v>0.51030370579861106</v>
      </c>
      <c r="AV192" s="104">
        <f>AO173</f>
        <v>0.49982001017361111</v>
      </c>
    </row>
    <row r="193" spans="36:48" ht="173.4" thickBot="1" x14ac:dyDescent="0.35">
      <c r="AK193" s="118" t="s">
        <v>174</v>
      </c>
      <c r="AL193" s="119">
        <v>8</v>
      </c>
      <c r="AM193" s="120">
        <v>5</v>
      </c>
      <c r="AN193" s="121"/>
      <c r="AO193" s="122"/>
      <c r="AP193" s="120"/>
      <c r="AQ193" s="121"/>
      <c r="AR193" s="122"/>
      <c r="AS193" s="120"/>
      <c r="AT193" s="121"/>
      <c r="AU193" s="121"/>
      <c r="AV193" s="123"/>
    </row>
    <row r="194" spans="36:48" ht="159" thickBot="1" x14ac:dyDescent="0.35">
      <c r="AK194" s="70" t="s">
        <v>176</v>
      </c>
      <c r="AL194" s="126">
        <v>9</v>
      </c>
      <c r="AM194" s="101">
        <v>4</v>
      </c>
      <c r="AN194" s="102"/>
      <c r="AO194" s="103"/>
      <c r="AP194" s="101"/>
      <c r="AQ194" s="102"/>
      <c r="AR194" s="103"/>
      <c r="AS194" s="101"/>
      <c r="AT194" s="102"/>
      <c r="AU194" s="102"/>
      <c r="AV194" s="104"/>
    </row>
    <row r="195" spans="36:48" ht="173.4" thickBot="1" x14ac:dyDescent="0.35">
      <c r="AK195" s="70" t="s">
        <v>177</v>
      </c>
      <c r="AL195" s="126">
        <v>10</v>
      </c>
      <c r="AM195" s="101">
        <v>3</v>
      </c>
      <c r="AN195" s="102"/>
      <c r="AO195" s="103"/>
      <c r="AP195" s="101"/>
      <c r="AQ195" s="102"/>
      <c r="AR195" s="103"/>
      <c r="AS195" s="101"/>
      <c r="AT195" s="102"/>
      <c r="AU195" s="102"/>
      <c r="AV195" s="104"/>
    </row>
    <row r="196" spans="36:48" ht="29.4" thickBot="1" x14ac:dyDescent="0.35">
      <c r="AJ196" s="394" t="s">
        <v>205</v>
      </c>
      <c r="AK196" s="197" t="s">
        <v>206</v>
      </c>
      <c r="AL196" s="119">
        <v>90</v>
      </c>
      <c r="AM196" s="200">
        <v>98</v>
      </c>
      <c r="AN196" s="121"/>
      <c r="AO196" s="122"/>
      <c r="AP196" s="120"/>
      <c r="AQ196" s="121"/>
      <c r="AR196" s="122"/>
      <c r="AS196" s="120"/>
      <c r="AT196" s="121"/>
      <c r="AU196" s="121"/>
      <c r="AV196" s="123"/>
    </row>
    <row r="197" spans="36:48" ht="29.4" thickBot="1" x14ac:dyDescent="0.35">
      <c r="AJ197" s="394"/>
      <c r="AK197" s="197" t="s">
        <v>207</v>
      </c>
      <c r="AL197" s="119">
        <v>40</v>
      </c>
      <c r="AM197" s="200">
        <v>43</v>
      </c>
      <c r="AN197" s="121"/>
      <c r="AO197" s="122"/>
      <c r="AP197" s="120"/>
      <c r="AQ197" s="121"/>
      <c r="AR197" s="122"/>
      <c r="AS197" s="120"/>
      <c r="AT197" s="121"/>
      <c r="AU197" s="121"/>
      <c r="AV197" s="123"/>
    </row>
    <row r="198" spans="36:48" ht="29.4" thickBot="1" x14ac:dyDescent="0.35">
      <c r="AJ198" s="394"/>
      <c r="AK198" s="198" t="s">
        <v>208</v>
      </c>
      <c r="AL198" s="119">
        <v>1</v>
      </c>
      <c r="AM198" s="200">
        <v>2</v>
      </c>
      <c r="AN198" s="121"/>
      <c r="AO198" s="122"/>
      <c r="AP198" s="120"/>
      <c r="AQ198" s="121"/>
      <c r="AR198" s="122"/>
      <c r="AS198" s="120"/>
      <c r="AT198" s="121"/>
      <c r="AU198" s="121"/>
      <c r="AV198" s="123"/>
    </row>
    <row r="199" spans="36:48" ht="29.4" thickBot="1" x14ac:dyDescent="0.35">
      <c r="AJ199" s="394"/>
      <c r="AK199" s="198" t="s">
        <v>209</v>
      </c>
      <c r="AL199" s="119">
        <v>3</v>
      </c>
      <c r="AM199" s="200">
        <v>2.7</v>
      </c>
      <c r="AN199" s="121"/>
      <c r="AO199" s="122"/>
      <c r="AP199" s="120"/>
      <c r="AQ199" s="121"/>
      <c r="AR199" s="122"/>
      <c r="AS199" s="120"/>
      <c r="AT199" s="121"/>
      <c r="AU199" s="121"/>
      <c r="AV199" s="123"/>
    </row>
    <row r="200" spans="36:48" ht="58.5" customHeight="1" thickBot="1" x14ac:dyDescent="0.35">
      <c r="AJ200" s="395" t="s">
        <v>210</v>
      </c>
      <c r="AK200" s="198" t="s">
        <v>211</v>
      </c>
      <c r="AL200" s="119">
        <v>19</v>
      </c>
      <c r="AM200" s="200">
        <v>22</v>
      </c>
      <c r="AN200" s="121"/>
      <c r="AO200" s="122"/>
      <c r="AP200" s="120"/>
      <c r="AQ200" s="121"/>
      <c r="AR200" s="122"/>
      <c r="AS200" s="120"/>
      <c r="AT200" s="121"/>
      <c r="AU200" s="121"/>
      <c r="AV200" s="123"/>
    </row>
    <row r="201" spans="36:48" ht="43.8" thickBot="1" x14ac:dyDescent="0.35">
      <c r="AJ201" s="395"/>
      <c r="AK201" s="198" t="s">
        <v>228</v>
      </c>
      <c r="AL201" s="119">
        <v>21</v>
      </c>
      <c r="AM201" s="200">
        <v>22</v>
      </c>
      <c r="AN201" s="121"/>
      <c r="AO201" s="122"/>
      <c r="AP201" s="120"/>
      <c r="AQ201" s="121"/>
      <c r="AR201" s="122"/>
      <c r="AS201" s="120"/>
      <c r="AT201" s="121"/>
      <c r="AU201" s="121"/>
      <c r="AV201" s="123"/>
    </row>
    <row r="202" spans="36:48" ht="43.8" thickBot="1" x14ac:dyDescent="0.35">
      <c r="AJ202" s="395"/>
      <c r="AK202" s="198" t="s">
        <v>213</v>
      </c>
      <c r="AL202" s="119">
        <v>22</v>
      </c>
      <c r="AM202" s="200">
        <v>22</v>
      </c>
      <c r="AN202" s="121"/>
      <c r="AO202" s="122"/>
      <c r="AP202" s="120"/>
      <c r="AQ202" s="121"/>
      <c r="AR202" s="122"/>
      <c r="AS202" s="120"/>
      <c r="AT202" s="121"/>
      <c r="AU202" s="121"/>
      <c r="AV202" s="123"/>
    </row>
    <row r="203" spans="36:48" ht="43.8" thickBot="1" x14ac:dyDescent="0.35">
      <c r="AJ203" s="395"/>
      <c r="AK203" s="198" t="s">
        <v>229</v>
      </c>
      <c r="AL203" s="119">
        <v>33</v>
      </c>
      <c r="AM203" s="200">
        <v>20</v>
      </c>
      <c r="AN203" s="121"/>
      <c r="AO203" s="122"/>
      <c r="AP203" s="120"/>
      <c r="AQ203" s="121"/>
      <c r="AR203" s="122"/>
      <c r="AS203" s="120"/>
      <c r="AT203" s="121"/>
      <c r="AU203" s="121"/>
      <c r="AV203" s="123"/>
    </row>
    <row r="204" spans="36:48" ht="58.2" thickBot="1" x14ac:dyDescent="0.35">
      <c r="AJ204" s="395"/>
      <c r="AK204" s="198" t="s">
        <v>215</v>
      </c>
      <c r="AL204" s="119">
        <f>1000/3000</f>
        <v>0.33333333333333331</v>
      </c>
      <c r="AM204" s="200">
        <f>1000/4000</f>
        <v>0.25</v>
      </c>
      <c r="AN204" s="121"/>
      <c r="AO204" s="122"/>
      <c r="AP204" s="120"/>
      <c r="AQ204" s="121"/>
      <c r="AR204" s="122"/>
      <c r="AS204" s="120"/>
      <c r="AT204" s="121"/>
      <c r="AU204" s="121"/>
      <c r="AV204" s="123"/>
    </row>
    <row r="205" spans="36:48" ht="43.8" thickBot="1" x14ac:dyDescent="0.35">
      <c r="AJ205" s="395"/>
      <c r="AK205" s="198" t="s">
        <v>230</v>
      </c>
      <c r="AL205" s="119">
        <f>3000/4000</f>
        <v>0.75</v>
      </c>
      <c r="AM205" s="200">
        <f>3000/3500</f>
        <v>0.8571428571428571</v>
      </c>
      <c r="AN205" s="121"/>
      <c r="AO205" s="122"/>
      <c r="AP205" s="120"/>
      <c r="AQ205" s="121"/>
      <c r="AR205" s="122"/>
      <c r="AS205" s="120"/>
      <c r="AT205" s="121"/>
      <c r="AU205" s="121"/>
      <c r="AV205" s="123"/>
    </row>
    <row r="206" spans="36:48" ht="72.599999999999994" thickBot="1" x14ac:dyDescent="0.35">
      <c r="AJ206" s="395"/>
      <c r="AK206" s="198" t="s">
        <v>231</v>
      </c>
      <c r="AL206" s="119">
        <f>U19/AL19</f>
        <v>4.2514273208916362E-2</v>
      </c>
      <c r="AM206" s="200">
        <f>U19/AL19</f>
        <v>4.2514273208916362E-2</v>
      </c>
      <c r="AN206" s="121"/>
      <c r="AO206" s="122"/>
      <c r="AP206" s="120"/>
      <c r="AQ206" s="121"/>
      <c r="AR206" s="122"/>
      <c r="AS206" s="120"/>
      <c r="AT206" s="121"/>
      <c r="AU206" s="121"/>
      <c r="AV206" s="123"/>
    </row>
    <row r="207" spans="36:48" x14ac:dyDescent="0.3">
      <c r="AK207" s="76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</row>
    <row r="208" spans="36:48" ht="28.8" x14ac:dyDescent="0.3">
      <c r="AK208" s="77" t="s">
        <v>132</v>
      </c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</row>
    <row r="209" spans="36:48" ht="14.55" customHeight="1" x14ac:dyDescent="0.3">
      <c r="AJ209" s="386" t="str">
        <f>AK187</f>
        <v>Redukcja s.m. [%]</v>
      </c>
      <c r="AK209" s="386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</row>
    <row r="210" spans="36:48" x14ac:dyDescent="0.3">
      <c r="AJ210" s="80" t="s">
        <v>133</v>
      </c>
      <c r="AK210" s="79">
        <f>MAX(AL187,AO187,AR187)</f>
        <v>0.59532374100719432</v>
      </c>
      <c r="AL210" s="387">
        <f>AL187/AK210</f>
        <v>1</v>
      </c>
      <c r="AM210" s="387">
        <f>AM187/AK211*10</f>
        <v>5.3833430775895241</v>
      </c>
      <c r="AN210" s="387">
        <f>AN187/AK212*10</f>
        <v>6.432925614566317</v>
      </c>
      <c r="AO210" s="387">
        <f>AO187/AK210*10</f>
        <v>9.827631595441952</v>
      </c>
      <c r="AP210" s="387">
        <f>AP187/AK211*10</f>
        <v>10</v>
      </c>
      <c r="AQ210" s="387">
        <f>AQ187/AK212*10</f>
        <v>10</v>
      </c>
      <c r="AR210" s="387">
        <f>AR187/AK210*10</f>
        <v>9.8147540869225445</v>
      </c>
      <c r="AS210" s="387">
        <f>AS187/AK211*10</f>
        <v>7.0813831691438711</v>
      </c>
      <c r="AT210" s="387">
        <f>AT187/AK212*10</f>
        <v>6.7938728997720901</v>
      </c>
      <c r="AU210" s="387" t="e">
        <f>AU187/AL212*10</f>
        <v>#DIV/0!</v>
      </c>
      <c r="AV210" s="387" t="e">
        <f>AV187/AM212*10</f>
        <v>#DIV/0!</v>
      </c>
    </row>
    <row r="211" spans="36:48" x14ac:dyDescent="0.3">
      <c r="AJ211" s="80" t="s">
        <v>134</v>
      </c>
      <c r="AK211" s="79">
        <f>MAX(AM187,AP187,AS187)</f>
        <v>0.79123173277661796</v>
      </c>
      <c r="AL211" s="387"/>
      <c r="AM211" s="387"/>
      <c r="AN211" s="387"/>
      <c r="AO211" s="387"/>
      <c r="AP211" s="387"/>
      <c r="AQ211" s="387"/>
      <c r="AR211" s="387"/>
      <c r="AS211" s="387"/>
      <c r="AT211" s="387"/>
      <c r="AU211" s="387"/>
      <c r="AV211" s="387"/>
    </row>
    <row r="212" spans="36:48" x14ac:dyDescent="0.3">
      <c r="AJ212" s="80" t="s">
        <v>135</v>
      </c>
      <c r="AK212" s="79">
        <f>MAX(AN187,AQ187,AT187)</f>
        <v>0.73076923076923073</v>
      </c>
      <c r="AL212" s="387"/>
      <c r="AM212" s="387"/>
      <c r="AN212" s="387"/>
      <c r="AO212" s="387"/>
      <c r="AP212" s="387"/>
      <c r="AQ212" s="387"/>
      <c r="AR212" s="387"/>
      <c r="AS212" s="387"/>
      <c r="AT212" s="387"/>
      <c r="AU212" s="387"/>
      <c r="AV212" s="387"/>
    </row>
    <row r="213" spans="36:48" ht="14.55" customHeight="1" x14ac:dyDescent="0.3">
      <c r="AJ213" s="386" t="str">
        <f>AK190</f>
        <v>Redukcja s.m.o [%]</v>
      </c>
      <c r="AK213" s="386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</row>
    <row r="214" spans="36:48" x14ac:dyDescent="0.3">
      <c r="AJ214" s="80" t="s">
        <v>133</v>
      </c>
      <c r="AK214" s="79">
        <f>MAX(AL190,AO190,AR190)</f>
        <v>0.34800905674692073</v>
      </c>
      <c r="AL214" s="387">
        <f>AL190/AK214*10</f>
        <v>10</v>
      </c>
      <c r="AM214" s="387">
        <f>AM190/AK215*10</f>
        <v>10</v>
      </c>
      <c r="AN214" s="387">
        <f>AN190/AK216*10</f>
        <v>7.4842277035556384</v>
      </c>
      <c r="AO214" s="387">
        <f>AO190/AK214*10</f>
        <v>8.0569750461523668</v>
      </c>
      <c r="AP214" s="387">
        <f>AP190/AK215*10</f>
        <v>7.1764688532162433</v>
      </c>
      <c r="AQ214" s="387">
        <f>AQ190/AK216*10</f>
        <v>10</v>
      </c>
      <c r="AR214" s="387">
        <f>AR190/AK214*10</f>
        <v>6.98441146691684</v>
      </c>
      <c r="AS214" s="387">
        <f>AS190/AK215*10</f>
        <v>1.2761284705540037</v>
      </c>
      <c r="AT214" s="387">
        <f>AT190/AK216*10</f>
        <v>2.6778531156150076</v>
      </c>
      <c r="AU214" s="387" t="e">
        <f>AU190/AL216*10</f>
        <v>#DIV/0!</v>
      </c>
      <c r="AV214" s="387" t="e">
        <f>AV190/AM216*10</f>
        <v>#DIV/0!</v>
      </c>
    </row>
    <row r="215" spans="36:48" x14ac:dyDescent="0.3">
      <c r="AJ215" s="80" t="s">
        <v>134</v>
      </c>
      <c r="AK215" s="79">
        <f>MAX(AM190,AP190,AS190)</f>
        <v>0.50722617614552323</v>
      </c>
      <c r="AL215" s="387"/>
      <c r="AM215" s="387"/>
      <c r="AN215" s="387"/>
      <c r="AO215" s="387"/>
      <c r="AP215" s="387"/>
      <c r="AQ215" s="387"/>
      <c r="AR215" s="387"/>
      <c r="AS215" s="387"/>
      <c r="AT215" s="387"/>
      <c r="AU215" s="387"/>
      <c r="AV215" s="387"/>
    </row>
    <row r="216" spans="36:48" x14ac:dyDescent="0.3">
      <c r="AJ216" s="80" t="s">
        <v>135</v>
      </c>
      <c r="AK216" s="79">
        <f>MAX(AN190,AQ190,AT190)</f>
        <v>0.36764276680610941</v>
      </c>
      <c r="AL216" s="387"/>
      <c r="AM216" s="387"/>
      <c r="AN216" s="387"/>
      <c r="AO216" s="387"/>
      <c r="AP216" s="387"/>
      <c r="AQ216" s="387"/>
      <c r="AR216" s="387"/>
      <c r="AS216" s="387"/>
      <c r="AT216" s="387"/>
      <c r="AU216" s="387"/>
      <c r="AV216" s="387"/>
    </row>
    <row r="217" spans="36:48" ht="15.6" x14ac:dyDescent="0.3">
      <c r="AJ217" s="386" t="str">
        <f>AK191</f>
        <v>Ilość produkowanego biometanu N m3/rok</v>
      </c>
      <c r="AK217" s="386"/>
      <c r="AN217" s="78"/>
      <c r="AO217" s="78"/>
      <c r="AP217" s="78"/>
      <c r="AQ217" s="78"/>
      <c r="AR217" s="78"/>
      <c r="AS217" s="78"/>
      <c r="AT217" s="78"/>
      <c r="AU217" s="78"/>
      <c r="AV217" s="78"/>
    </row>
    <row r="218" spans="36:48" x14ac:dyDescent="0.3">
      <c r="AJ218" s="80" t="s">
        <v>133</v>
      </c>
      <c r="AK218" s="84">
        <f>MAX(AL191,AO191,AR191)</f>
        <v>1100371.2305000001</v>
      </c>
      <c r="AL218" s="383">
        <f>AL191/AK218*10</f>
        <v>9.5187234404889338</v>
      </c>
      <c r="AM218" s="383">
        <f>AM191/AK219*10</f>
        <v>8.8820159287147433</v>
      </c>
      <c r="AN218" s="383">
        <f>AN191/AK220*10</f>
        <v>10</v>
      </c>
      <c r="AO218" s="383">
        <f>AO191/AK218*10</f>
        <v>9.9720069789665402</v>
      </c>
      <c r="AP218" s="383">
        <f>AP191/AK219*10</f>
        <v>9.9971905484638377</v>
      </c>
      <c r="AQ218" s="383">
        <f>AQ191/AK220*10</f>
        <v>9.0365088433534275</v>
      </c>
      <c r="AR218" s="383">
        <f>AR191/AK218*10</f>
        <v>10</v>
      </c>
      <c r="AS218" s="383">
        <f>AS191/AK219*10</f>
        <v>10</v>
      </c>
      <c r="AT218" s="383">
        <f>AT191/AK220*10</f>
        <v>8.9219940071831054</v>
      </c>
      <c r="AU218" s="383" t="e">
        <f>AU191/AL220*10</f>
        <v>#DIV/0!</v>
      </c>
      <c r="AV218" s="383" t="e">
        <f>AV191/AM220*10</f>
        <v>#DIV/0!</v>
      </c>
    </row>
    <row r="219" spans="36:48" x14ac:dyDescent="0.3">
      <c r="AJ219" s="80" t="s">
        <v>134</v>
      </c>
      <c r="AK219" s="84">
        <f>MAX(AM191,AP191,AS191)</f>
        <v>1146531.6124999998</v>
      </c>
      <c r="AL219" s="384"/>
      <c r="AM219" s="384"/>
      <c r="AN219" s="384"/>
      <c r="AO219" s="384"/>
      <c r="AP219" s="384"/>
      <c r="AQ219" s="384"/>
      <c r="AR219" s="384"/>
      <c r="AS219" s="384"/>
      <c r="AT219" s="384"/>
      <c r="AU219" s="384"/>
      <c r="AV219" s="384"/>
    </row>
    <row r="220" spans="36:48" x14ac:dyDescent="0.3">
      <c r="AJ220" s="80" t="s">
        <v>135</v>
      </c>
      <c r="AK220" s="84">
        <f>MAX(AN191,AQ191,AT191)</f>
        <v>1202179.7315</v>
      </c>
      <c r="AL220" s="385"/>
      <c r="AM220" s="385"/>
      <c r="AN220" s="385"/>
      <c r="AO220" s="385"/>
      <c r="AP220" s="385"/>
      <c r="AQ220" s="385"/>
      <c r="AR220" s="385"/>
      <c r="AS220" s="385"/>
      <c r="AT220" s="385"/>
      <c r="AU220" s="385"/>
      <c r="AV220" s="385"/>
    </row>
    <row r="221" spans="36:48" x14ac:dyDescent="0.3">
      <c r="AL221" s="78"/>
      <c r="AM221" s="78"/>
      <c r="AN221" s="78"/>
      <c r="AO221" s="78"/>
      <c r="AP221" s="78"/>
      <c r="AQ221" s="78"/>
      <c r="AR221" s="78"/>
      <c r="AS221" s="78"/>
      <c r="AT221" s="78"/>
    </row>
    <row r="224" spans="36:48" ht="15" thickBot="1" x14ac:dyDescent="0.35"/>
    <row r="225" spans="37:38" ht="26.4" thickBot="1" x14ac:dyDescent="0.35">
      <c r="AK225" s="81"/>
      <c r="AL225" s="82" t="s">
        <v>137</v>
      </c>
    </row>
    <row r="226" spans="37:38" ht="26.4" thickBot="1" x14ac:dyDescent="0.5">
      <c r="AK226" s="81"/>
      <c r="AL226" s="83">
        <f>SUM(AL210:AN216)</f>
        <v>40.300496395711484</v>
      </c>
    </row>
    <row r="227" spans="37:38" ht="26.4" thickBot="1" x14ac:dyDescent="0.5">
      <c r="AK227" s="81"/>
      <c r="AL227" s="83">
        <f>SUM(AO210:AQ216)</f>
        <v>55.061075494810559</v>
      </c>
    </row>
    <row r="228" spans="37:38" ht="26.4" thickBot="1" x14ac:dyDescent="0.5">
      <c r="AK228" s="81"/>
      <c r="AL228" s="83">
        <f>SUM(AR210:AT216)</f>
        <v>34.628403208924354</v>
      </c>
    </row>
    <row r="229" spans="37:38" ht="15" thickBot="1" x14ac:dyDescent="0.35"/>
    <row r="230" spans="37:38" ht="26.4" thickBot="1" x14ac:dyDescent="0.35">
      <c r="AK230" s="81"/>
      <c r="AL230" s="82" t="s">
        <v>138</v>
      </c>
    </row>
    <row r="231" spans="37:38" ht="26.4" thickBot="1" x14ac:dyDescent="0.5">
      <c r="AK231" s="81"/>
      <c r="AL231" s="83">
        <f>SUM(AL218:AN220)</f>
        <v>28.400739369203677</v>
      </c>
    </row>
    <row r="232" spans="37:38" ht="26.4" thickBot="1" x14ac:dyDescent="0.5">
      <c r="AK232" s="81"/>
      <c r="AL232" s="83">
        <f>SUM(AO218:AQ220)</f>
        <v>29.005706370783805</v>
      </c>
    </row>
    <row r="233" spans="37:38" ht="26.4" thickBot="1" x14ac:dyDescent="0.5">
      <c r="AK233" s="81"/>
      <c r="AL233" s="83">
        <f>SUM(AR218:AT220)</f>
        <v>28.921994007183105</v>
      </c>
    </row>
    <row r="235" spans="37:38" ht="15" thickBot="1" x14ac:dyDescent="0.35"/>
    <row r="236" spans="37:38" ht="26.4" thickBot="1" x14ac:dyDescent="0.35">
      <c r="AK236" s="81" t="s">
        <v>136</v>
      </c>
      <c r="AL236" s="82" t="s">
        <v>139</v>
      </c>
    </row>
    <row r="237" spans="37:38" ht="26.4" thickBot="1" x14ac:dyDescent="0.5">
      <c r="AK237" s="81" t="s">
        <v>116</v>
      </c>
      <c r="AL237" s="83">
        <f>SUM(AL226,AL231)</f>
        <v>68.701235764915168</v>
      </c>
    </row>
    <row r="238" spans="37:38" ht="26.4" thickBot="1" x14ac:dyDescent="0.5">
      <c r="AK238" s="81" t="s">
        <v>117</v>
      </c>
      <c r="AL238" s="83">
        <f>AL227+AL232</f>
        <v>84.066781865594365</v>
      </c>
    </row>
    <row r="239" spans="37:38" ht="26.4" thickBot="1" x14ac:dyDescent="0.5">
      <c r="AK239" s="81" t="s">
        <v>119</v>
      </c>
      <c r="AL239" s="83">
        <f>AL228+AL233</f>
        <v>63.550397216107456</v>
      </c>
    </row>
  </sheetData>
  <mergeCells count="324">
    <mergeCell ref="B7:B172"/>
    <mergeCell ref="C7:C18"/>
    <mergeCell ref="D7:D9"/>
    <mergeCell ref="Q7:R7"/>
    <mergeCell ref="X7:X18"/>
    <mergeCell ref="Z7:Z18"/>
    <mergeCell ref="AB7:AB18"/>
    <mergeCell ref="H4:R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D12:D14"/>
    <mergeCell ref="C22:C33"/>
    <mergeCell ref="D22:D24"/>
    <mergeCell ref="Q22:R22"/>
    <mergeCell ref="D27:D29"/>
    <mergeCell ref="Q30:R30"/>
    <mergeCell ref="Q31:R31"/>
    <mergeCell ref="AD7:AD18"/>
    <mergeCell ref="AE7:AE18"/>
    <mergeCell ref="AR7:AR18"/>
    <mergeCell ref="AS7:AS18"/>
    <mergeCell ref="AI7:AI12"/>
    <mergeCell ref="AI14:AI18"/>
    <mergeCell ref="AH7:AH12"/>
    <mergeCell ref="O5:P5"/>
    <mergeCell ref="Q5:R6"/>
    <mergeCell ref="S5:AS5"/>
    <mergeCell ref="Q8:R8"/>
    <mergeCell ref="Q9:R9"/>
    <mergeCell ref="Q10:R10"/>
    <mergeCell ref="Q11:R11"/>
    <mergeCell ref="Q12:R12"/>
    <mergeCell ref="Q13:R13"/>
    <mergeCell ref="Q14:R14"/>
    <mergeCell ref="AC7:AC18"/>
    <mergeCell ref="Q15:R15"/>
    <mergeCell ref="Q16:R16"/>
    <mergeCell ref="Q17:R17"/>
    <mergeCell ref="Q18:R18"/>
    <mergeCell ref="AH14:AH18"/>
    <mergeCell ref="AQ8:AQ12"/>
    <mergeCell ref="AR22:AR33"/>
    <mergeCell ref="AS22:AS33"/>
    <mergeCell ref="Q23:R23"/>
    <mergeCell ref="Q24:R24"/>
    <mergeCell ref="Q25:R25"/>
    <mergeCell ref="Q26:R26"/>
    <mergeCell ref="Q27:R27"/>
    <mergeCell ref="Q28:R28"/>
    <mergeCell ref="Q29:R29"/>
    <mergeCell ref="X22:X33"/>
    <mergeCell ref="Z22:Z33"/>
    <mergeCell ref="AB22:AB33"/>
    <mergeCell ref="AC22:AC33"/>
    <mergeCell ref="AD22:AD33"/>
    <mergeCell ref="AE22:AE33"/>
    <mergeCell ref="AQ22:AQ28"/>
    <mergeCell ref="AQ30:AQ33"/>
    <mergeCell ref="Q32:R32"/>
    <mergeCell ref="Q33:R33"/>
    <mergeCell ref="C37:C48"/>
    <mergeCell ref="D37:D39"/>
    <mergeCell ref="Q37:R37"/>
    <mergeCell ref="X37:X48"/>
    <mergeCell ref="D42:D44"/>
    <mergeCell ref="Q46:R46"/>
    <mergeCell ref="Q47:R47"/>
    <mergeCell ref="Q48:R48"/>
    <mergeCell ref="AR37:AR48"/>
    <mergeCell ref="AS37:AS48"/>
    <mergeCell ref="Q38:R38"/>
    <mergeCell ref="Q39:R39"/>
    <mergeCell ref="Q40:R40"/>
    <mergeCell ref="Q41:R41"/>
    <mergeCell ref="Q42:R42"/>
    <mergeCell ref="Q43:R43"/>
    <mergeCell ref="Q44:R44"/>
    <mergeCell ref="Q45:R45"/>
    <mergeCell ref="Z37:Z48"/>
    <mergeCell ref="AB37:AB48"/>
    <mergeCell ref="AC37:AC48"/>
    <mergeCell ref="AD37:AD48"/>
    <mergeCell ref="AE37:AE48"/>
    <mergeCell ref="AQ37:AQ48"/>
    <mergeCell ref="AQ54:AQ65"/>
    <mergeCell ref="AR54:AR65"/>
    <mergeCell ref="AS54:AS65"/>
    <mergeCell ref="C54:C65"/>
    <mergeCell ref="D54:D56"/>
    <mergeCell ref="Q54:R54"/>
    <mergeCell ref="X54:X65"/>
    <mergeCell ref="Z54:Z65"/>
    <mergeCell ref="AB54:AB65"/>
    <mergeCell ref="Q55:R55"/>
    <mergeCell ref="Q56:R56"/>
    <mergeCell ref="Q57:R57"/>
    <mergeCell ref="Q58:R58"/>
    <mergeCell ref="D59:D61"/>
    <mergeCell ref="Q59:R59"/>
    <mergeCell ref="Q60:R60"/>
    <mergeCell ref="Q61:R61"/>
    <mergeCell ref="Q62:R62"/>
    <mergeCell ref="Q63:R63"/>
    <mergeCell ref="AC54:AC65"/>
    <mergeCell ref="AD54:AD65"/>
    <mergeCell ref="AE54:AE65"/>
    <mergeCell ref="Q64:R64"/>
    <mergeCell ref="Q65:R65"/>
    <mergeCell ref="C69:C80"/>
    <mergeCell ref="D69:D71"/>
    <mergeCell ref="Q69:R69"/>
    <mergeCell ref="X69:X80"/>
    <mergeCell ref="D74:D76"/>
    <mergeCell ref="Q78:R78"/>
    <mergeCell ref="Q79:R79"/>
    <mergeCell ref="Q80:R80"/>
    <mergeCell ref="AR69:AR80"/>
    <mergeCell ref="AS69:AS80"/>
    <mergeCell ref="Q70:R70"/>
    <mergeCell ref="Q71:R71"/>
    <mergeCell ref="Q72:R72"/>
    <mergeCell ref="Q73:R73"/>
    <mergeCell ref="Q74:R74"/>
    <mergeCell ref="Q75:R75"/>
    <mergeCell ref="Q76:R76"/>
    <mergeCell ref="Q77:R77"/>
    <mergeCell ref="Z69:Z80"/>
    <mergeCell ref="AB69:AB80"/>
    <mergeCell ref="AC69:AC80"/>
    <mergeCell ref="AD69:AD80"/>
    <mergeCell ref="AE69:AE80"/>
    <mergeCell ref="AQ69:AQ80"/>
    <mergeCell ref="AQ84:AQ95"/>
    <mergeCell ref="AR84:AR95"/>
    <mergeCell ref="AS84:AS95"/>
    <mergeCell ref="C84:C95"/>
    <mergeCell ref="D84:D86"/>
    <mergeCell ref="Q84:R84"/>
    <mergeCell ref="X84:X95"/>
    <mergeCell ref="Z84:Z95"/>
    <mergeCell ref="AB84:AB95"/>
    <mergeCell ref="Q85:R85"/>
    <mergeCell ref="Q86:R86"/>
    <mergeCell ref="Q87:R87"/>
    <mergeCell ref="Q88:R88"/>
    <mergeCell ref="D89:D91"/>
    <mergeCell ref="Q89:R89"/>
    <mergeCell ref="Q90:R90"/>
    <mergeCell ref="Q91:R91"/>
    <mergeCell ref="Q92:R92"/>
    <mergeCell ref="Q93:R93"/>
    <mergeCell ref="AC84:AC95"/>
    <mergeCell ref="AD84:AD95"/>
    <mergeCell ref="AE84:AE95"/>
    <mergeCell ref="Q94:R94"/>
    <mergeCell ref="Q95:R95"/>
    <mergeCell ref="C101:C112"/>
    <mergeCell ref="D101:D103"/>
    <mergeCell ref="Q101:R101"/>
    <mergeCell ref="X101:X112"/>
    <mergeCell ref="D106:D108"/>
    <mergeCell ref="Q110:R110"/>
    <mergeCell ref="Q111:R111"/>
    <mergeCell ref="Q112:R112"/>
    <mergeCell ref="AR101:AR112"/>
    <mergeCell ref="AS101:AS112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Z101:Z112"/>
    <mergeCell ref="AB101:AB112"/>
    <mergeCell ref="AC101:AC112"/>
    <mergeCell ref="AD101:AD112"/>
    <mergeCell ref="AE101:AE112"/>
    <mergeCell ref="AQ101:AQ112"/>
    <mergeCell ref="AQ116:AQ127"/>
    <mergeCell ref="AR116:AR127"/>
    <mergeCell ref="AS116:AS127"/>
    <mergeCell ref="C116:C127"/>
    <mergeCell ref="D116:D118"/>
    <mergeCell ref="Q116:R116"/>
    <mergeCell ref="X116:X127"/>
    <mergeCell ref="Z116:Z127"/>
    <mergeCell ref="AB116:AB127"/>
    <mergeCell ref="Q117:R117"/>
    <mergeCell ref="Q118:R118"/>
    <mergeCell ref="Q119:R119"/>
    <mergeCell ref="Q120:R120"/>
    <mergeCell ref="D121:D123"/>
    <mergeCell ref="Q121:R121"/>
    <mergeCell ref="Q122:R122"/>
    <mergeCell ref="Q123:R123"/>
    <mergeCell ref="Q124:R124"/>
    <mergeCell ref="Q125:R125"/>
    <mergeCell ref="AC116:AC127"/>
    <mergeCell ref="AD116:AD127"/>
    <mergeCell ref="AE116:AE127"/>
    <mergeCell ref="Q126:R126"/>
    <mergeCell ref="Q127:R127"/>
    <mergeCell ref="C131:C142"/>
    <mergeCell ref="D131:D133"/>
    <mergeCell ref="Q131:R131"/>
    <mergeCell ref="X131:X142"/>
    <mergeCell ref="D136:D138"/>
    <mergeCell ref="Q140:R140"/>
    <mergeCell ref="Q141:R141"/>
    <mergeCell ref="Q142:R142"/>
    <mergeCell ref="AR131:AR142"/>
    <mergeCell ref="AS131:AS142"/>
    <mergeCell ref="Q132:R132"/>
    <mergeCell ref="Q133:R133"/>
    <mergeCell ref="Q134:R134"/>
    <mergeCell ref="Q135:R135"/>
    <mergeCell ref="Q136:R136"/>
    <mergeCell ref="Q137:R137"/>
    <mergeCell ref="Q138:R138"/>
    <mergeCell ref="Q139:R139"/>
    <mergeCell ref="Z131:Z142"/>
    <mergeCell ref="AB131:AB142"/>
    <mergeCell ref="AC131:AC142"/>
    <mergeCell ref="AD131:AD142"/>
    <mergeCell ref="AE131:AE142"/>
    <mergeCell ref="AQ131:AQ142"/>
    <mergeCell ref="AQ146:AQ157"/>
    <mergeCell ref="AR146:AR157"/>
    <mergeCell ref="AS146:AS157"/>
    <mergeCell ref="C146:C157"/>
    <mergeCell ref="D146:D148"/>
    <mergeCell ref="Q146:R146"/>
    <mergeCell ref="X146:X157"/>
    <mergeCell ref="Z146:Z157"/>
    <mergeCell ref="AB146:AB157"/>
    <mergeCell ref="Q147:R147"/>
    <mergeCell ref="Q148:R148"/>
    <mergeCell ref="Q149:R149"/>
    <mergeCell ref="Q150:R150"/>
    <mergeCell ref="D151:D153"/>
    <mergeCell ref="Q151:R151"/>
    <mergeCell ref="Q152:R152"/>
    <mergeCell ref="Q153:R153"/>
    <mergeCell ref="Q154:R154"/>
    <mergeCell ref="Q155:R155"/>
    <mergeCell ref="AC146:AC157"/>
    <mergeCell ref="AD146:AD157"/>
    <mergeCell ref="AE146:AE157"/>
    <mergeCell ref="Q156:R156"/>
    <mergeCell ref="Q157:R157"/>
    <mergeCell ref="C161:C172"/>
    <mergeCell ref="D161:D163"/>
    <mergeCell ref="Q161:R161"/>
    <mergeCell ref="X161:X172"/>
    <mergeCell ref="D166:D168"/>
    <mergeCell ref="Q170:R170"/>
    <mergeCell ref="Q171:R171"/>
    <mergeCell ref="Q172:R172"/>
    <mergeCell ref="AR161:AR172"/>
    <mergeCell ref="AS161:AS172"/>
    <mergeCell ref="Q162:R162"/>
    <mergeCell ref="Q163:R163"/>
    <mergeCell ref="Q164:R164"/>
    <mergeCell ref="Q165:R165"/>
    <mergeCell ref="Q166:R166"/>
    <mergeCell ref="Q167:R167"/>
    <mergeCell ref="Q168:R168"/>
    <mergeCell ref="Q169:R169"/>
    <mergeCell ref="Z161:Z172"/>
    <mergeCell ref="AB161:AB172"/>
    <mergeCell ref="AC161:AC172"/>
    <mergeCell ref="AD161:AD172"/>
    <mergeCell ref="AE161:AE172"/>
    <mergeCell ref="AQ161:AQ172"/>
    <mergeCell ref="AL214:AL216"/>
    <mergeCell ref="AM214:AM216"/>
    <mergeCell ref="AN214:AN216"/>
    <mergeCell ref="AO214:AO216"/>
    <mergeCell ref="AP214:AP216"/>
    <mergeCell ref="AL178:AV178"/>
    <mergeCell ref="AL179:AV179"/>
    <mergeCell ref="AJ209:AK209"/>
    <mergeCell ref="AL210:AL212"/>
    <mergeCell ref="AM210:AM212"/>
    <mergeCell ref="AN210:AN212"/>
    <mergeCell ref="AO210:AO212"/>
    <mergeCell ref="AP210:AP212"/>
    <mergeCell ref="AQ210:AQ212"/>
    <mergeCell ref="AR210:AR212"/>
    <mergeCell ref="AJ196:AJ199"/>
    <mergeCell ref="AJ200:AJ206"/>
    <mergeCell ref="AQ14:AQ18"/>
    <mergeCell ref="AQ218:AQ220"/>
    <mergeCell ref="AR218:AR220"/>
    <mergeCell ref="AS218:AS220"/>
    <mergeCell ref="AT218:AT220"/>
    <mergeCell ref="AU218:AU220"/>
    <mergeCell ref="AV218:AV220"/>
    <mergeCell ref="AJ217:AK217"/>
    <mergeCell ref="AL218:AL220"/>
    <mergeCell ref="AM218:AM220"/>
    <mergeCell ref="AN218:AN220"/>
    <mergeCell ref="AO218:AO220"/>
    <mergeCell ref="AP218:AP220"/>
    <mergeCell ref="AQ214:AQ216"/>
    <mergeCell ref="AR214:AR216"/>
    <mergeCell ref="AS214:AS216"/>
    <mergeCell ref="AT214:AT216"/>
    <mergeCell ref="AU214:AU216"/>
    <mergeCell ref="AV214:AV216"/>
    <mergeCell ref="AS210:AS212"/>
    <mergeCell ref="AT210:AT212"/>
    <mergeCell ref="AU210:AU212"/>
    <mergeCell ref="AV210:AV212"/>
    <mergeCell ref="AJ213:AK213"/>
  </mergeCells>
  <conditionalFormatting sqref="AL226:AL22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191 AL191 AR19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191 AP191 AS19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31:AL23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237:AL23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:V1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2:V3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7:V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4:V6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9:V8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01:V1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84:V9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16:V12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31:V1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46:V15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61:V1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91 AN191 AT191:AV19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87:AV18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90:AV1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1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zakresy!$A$3:$A$99</xm:f>
          </x14:formula1>
          <xm:sqref>I131:I142 I7:I18 I54:I65 I37:I48 I22:I33 I69:I80 I116:I127 I146:I157 I101:I112 I84:I95 I161:I172</xm:sqref>
        </x14:dataValidation>
        <x14:dataValidation type="list" allowBlank="1" showInputMessage="1" showErrorMessage="1">
          <x14:formula1>
            <xm:f>zakresy!$B$3:$B$99</xm:f>
          </x14:formula1>
          <xm:sqref>K131:K142 K7:K18 K54:K65 K37:K48 K22:K33 K69:K80 K116:K127 K146:K157 K101:K112 K84:K95 K161:K172</xm:sqref>
        </x14:dataValidation>
        <x14:dataValidation type="list" allowBlank="1" showInputMessage="1" showErrorMessage="1">
          <x14:formula1>
            <xm:f>zakresy!$C$3:$C$101</xm:f>
          </x14:formula1>
          <xm:sqref>M131:M142 M7:M18 M54:M65 M37:M48 M22:M33 M69:M80 M116:M127 M146:M157 M101:M112 M84:M95 M161:M172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1"/>
  <sheetViews>
    <sheetView view="pageBreakPreview" zoomScale="30" zoomScaleNormal="40" zoomScaleSheetLayoutView="30" workbookViewId="0">
      <pane xSplit="6" ySplit="5" topLeftCell="T6" activePane="bottomRight" state="frozen"/>
      <selection pane="topRight" activeCell="G1" sqref="G1"/>
      <selection pane="bottomLeft" activeCell="A8" sqref="A8"/>
      <selection pane="bottomRight" activeCell="AE5" sqref="AE5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82.45" customHeight="1" thickBot="1" x14ac:dyDescent="0.35">
      <c r="B4" s="478" t="s">
        <v>301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293</v>
      </c>
      <c r="D6" s="475" t="s">
        <v>161</v>
      </c>
      <c r="E6" s="242" t="s">
        <v>9</v>
      </c>
      <c r="F6" s="243" t="s">
        <v>17</v>
      </c>
      <c r="G6" s="253">
        <v>0.24</v>
      </c>
      <c r="H6" s="254">
        <v>0.72</v>
      </c>
      <c r="I6" s="308">
        <v>0.59199999999999997</v>
      </c>
      <c r="J6" s="244">
        <v>150.9</v>
      </c>
      <c r="K6" s="255">
        <v>20</v>
      </c>
      <c r="L6" s="267">
        <f>O6/365</f>
        <v>2.7397260273972603E-3</v>
      </c>
      <c r="M6" s="522">
        <f>SUMPRODUCT(G6:G9,P6:P9)</f>
        <v>0.22175000000000003</v>
      </c>
      <c r="N6" s="522">
        <f>(S10*100%)/Q10</f>
        <v>0.79383089064261547</v>
      </c>
      <c r="O6" s="274">
        <v>1</v>
      </c>
      <c r="P6" s="275">
        <f>O6/$O$10</f>
        <v>0.25</v>
      </c>
      <c r="Q6" s="276">
        <f>L6*G6</f>
        <v>6.5753424657534248E-4</v>
      </c>
      <c r="R6" s="276">
        <f>O6*G6</f>
        <v>0.24</v>
      </c>
      <c r="S6" s="276">
        <f>Q6*H6</f>
        <v>4.7342465753424657E-4</v>
      </c>
      <c r="T6" s="277">
        <f>R6*H6</f>
        <v>0.17279999999999998</v>
      </c>
      <c r="U6" s="278">
        <f>S6*J6</f>
        <v>7.1439780821917806E-2</v>
      </c>
      <c r="V6" s="278">
        <f>T6*J6</f>
        <v>26.075519999999997</v>
      </c>
      <c r="W6" s="279">
        <f>U6*I6</f>
        <v>4.2292350246575336E-2</v>
      </c>
      <c r="X6" s="280">
        <f>V6*I6</f>
        <v>15.436707839999997</v>
      </c>
      <c r="Y6" s="513">
        <f>X10/T10</f>
        <v>169.90304327735868</v>
      </c>
      <c r="Z6" s="492">
        <v>0.97</v>
      </c>
      <c r="AA6" s="507">
        <f>W10*Z6</f>
        <v>0.31793009686327672</v>
      </c>
      <c r="AB6" s="507">
        <f>X10*Z6</f>
        <v>116.04448535509601</v>
      </c>
      <c r="AC6" s="501">
        <v>0.3</v>
      </c>
      <c r="AD6" s="515">
        <f>V10-(V10*AC6)</f>
        <v>146.24800035999999</v>
      </c>
      <c r="AE6" s="507">
        <f>AD6*I10%*Z6</f>
        <v>81.231139748567188</v>
      </c>
      <c r="AF6" s="509">
        <f>AE6/T10</f>
        <v>115.36416638532651</v>
      </c>
    </row>
    <row r="7" spans="2:32" ht="108" customHeight="1" thickBot="1" x14ac:dyDescent="0.35">
      <c r="B7" s="478"/>
      <c r="C7" s="474"/>
      <c r="D7" s="476"/>
      <c r="E7" s="242" t="s">
        <v>10</v>
      </c>
      <c r="F7" s="245" t="s">
        <v>235</v>
      </c>
      <c r="G7" s="256">
        <v>0.33600000000000002</v>
      </c>
      <c r="H7" s="246">
        <v>0.81299999999999994</v>
      </c>
      <c r="I7" s="309">
        <v>0.54100000000000004</v>
      </c>
      <c r="J7" s="247">
        <v>331.1</v>
      </c>
      <c r="K7" s="251">
        <v>16</v>
      </c>
      <c r="L7" s="268">
        <f t="shared" ref="L7:L9" si="0">O7/365</f>
        <v>2.7397260273972603E-3</v>
      </c>
      <c r="M7" s="523"/>
      <c r="N7" s="523"/>
      <c r="O7" s="281">
        <v>1</v>
      </c>
      <c r="P7" s="282">
        <f>O7/$O$10</f>
        <v>0.25</v>
      </c>
      <c r="Q7" s="283">
        <f t="shared" ref="Q7:Q9" si="1">L7*G7</f>
        <v>9.205479452054795E-4</v>
      </c>
      <c r="R7" s="283">
        <f t="shared" ref="R7:R9" si="2">O7*G7</f>
        <v>0.33600000000000002</v>
      </c>
      <c r="S7" s="283">
        <f t="shared" ref="S7:S9" si="3">Q7*H7</f>
        <v>7.4840547945205483E-4</v>
      </c>
      <c r="T7" s="257">
        <f t="shared" ref="T7:T9" si="4">R7*H7</f>
        <v>0.27316800000000002</v>
      </c>
      <c r="U7" s="249">
        <f>S7*J7</f>
        <v>0.24779705424657536</v>
      </c>
      <c r="V7" s="249">
        <f t="shared" ref="V7:V9" si="5">T7*J7</f>
        <v>90.445924800000014</v>
      </c>
      <c r="W7" s="284">
        <f t="shared" ref="W7:W9" si="6">U7*I7</f>
        <v>0.13405820634739729</v>
      </c>
      <c r="X7" s="285">
        <f t="shared" ref="X7:X9" si="7">V7*I7</f>
        <v>48.931245316800009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35">
      <c r="B8" s="478"/>
      <c r="C8" s="474"/>
      <c r="D8" s="476"/>
      <c r="E8" s="242" t="s">
        <v>11</v>
      </c>
      <c r="F8" s="248" t="s">
        <v>238</v>
      </c>
      <c r="G8" s="256">
        <v>6.6000000000000003E-2</v>
      </c>
      <c r="H8" s="246">
        <v>0.875</v>
      </c>
      <c r="I8" s="309">
        <v>0.60899999999999999</v>
      </c>
      <c r="J8" s="247">
        <v>352.5</v>
      </c>
      <c r="K8" s="251">
        <v>40</v>
      </c>
      <c r="L8" s="268">
        <f t="shared" si="0"/>
        <v>2.7397260273972603E-3</v>
      </c>
      <c r="M8" s="523"/>
      <c r="N8" s="523"/>
      <c r="O8" s="281">
        <v>1</v>
      </c>
      <c r="P8" s="282">
        <f>O8/$O$10</f>
        <v>0.25</v>
      </c>
      <c r="Q8" s="283">
        <f t="shared" si="1"/>
        <v>1.8082191780821919E-4</v>
      </c>
      <c r="R8" s="283">
        <f t="shared" si="2"/>
        <v>6.6000000000000003E-2</v>
      </c>
      <c r="S8" s="283">
        <f t="shared" si="3"/>
        <v>1.5821917808219179E-4</v>
      </c>
      <c r="T8" s="257">
        <f t="shared" si="4"/>
        <v>5.7750000000000003E-2</v>
      </c>
      <c r="U8" s="249">
        <f t="shared" ref="U8:U9" si="8">S8*J8</f>
        <v>5.5772260273972606E-2</v>
      </c>
      <c r="V8" s="249">
        <f t="shared" si="5"/>
        <v>20.356875000000002</v>
      </c>
      <c r="W8" s="284">
        <f t="shared" si="6"/>
        <v>3.3965306506849313E-2</v>
      </c>
      <c r="X8" s="285">
        <f t="shared" si="7"/>
        <v>12.397336875000001</v>
      </c>
      <c r="Y8" s="514"/>
      <c r="Z8" s="493"/>
      <c r="AA8" s="508"/>
      <c r="AB8" s="508"/>
      <c r="AC8" s="502"/>
      <c r="AD8" s="516"/>
      <c r="AE8" s="508"/>
      <c r="AF8" s="510"/>
    </row>
    <row r="9" spans="2:32" ht="108" customHeight="1" thickBot="1" x14ac:dyDescent="0.35">
      <c r="B9" s="478"/>
      <c r="C9" s="474"/>
      <c r="D9" s="477"/>
      <c r="E9" s="242" t="s">
        <v>12</v>
      </c>
      <c r="F9" s="248" t="s">
        <v>239</v>
      </c>
      <c r="G9" s="258">
        <v>0.245</v>
      </c>
      <c r="H9" s="259">
        <v>0.81799999999999995</v>
      </c>
      <c r="I9" s="310">
        <v>0.59499999999999997</v>
      </c>
      <c r="J9" s="260">
        <v>359.5</v>
      </c>
      <c r="K9" s="261">
        <v>24</v>
      </c>
      <c r="L9" s="269">
        <f t="shared" si="0"/>
        <v>2.7397260273972603E-3</v>
      </c>
      <c r="M9" s="528"/>
      <c r="N9" s="528"/>
      <c r="O9" s="286">
        <v>1</v>
      </c>
      <c r="P9" s="287">
        <f>O9/$O$10</f>
        <v>0.25</v>
      </c>
      <c r="Q9" s="288">
        <f t="shared" si="1"/>
        <v>6.7123287671232872E-4</v>
      </c>
      <c r="R9" s="288">
        <f t="shared" si="2"/>
        <v>0.245</v>
      </c>
      <c r="S9" s="288">
        <f t="shared" si="3"/>
        <v>5.4906849315068489E-4</v>
      </c>
      <c r="T9" s="262">
        <f t="shared" si="4"/>
        <v>0.20040999999999998</v>
      </c>
      <c r="U9" s="289">
        <f t="shared" si="8"/>
        <v>0.19739012328767122</v>
      </c>
      <c r="V9" s="289">
        <f t="shared" si="5"/>
        <v>72.047394999999995</v>
      </c>
      <c r="W9" s="290">
        <f t="shared" si="6"/>
        <v>0.11744712335616438</v>
      </c>
      <c r="X9" s="291">
        <f t="shared" si="7"/>
        <v>42.868200024999993</v>
      </c>
      <c r="Y9" s="526"/>
      <c r="Z9" s="494"/>
      <c r="AA9" s="524"/>
      <c r="AB9" s="524"/>
      <c r="AC9" s="503"/>
      <c r="AD9" s="527"/>
      <c r="AE9" s="524"/>
      <c r="AF9" s="525"/>
    </row>
    <row r="10" spans="2:32" ht="108" customHeight="1" thickBot="1" x14ac:dyDescent="0.45">
      <c r="B10" s="478"/>
      <c r="C10" s="216"/>
      <c r="E10" s="250"/>
      <c r="F10" s="250"/>
      <c r="G10" s="250"/>
      <c r="H10" s="250"/>
      <c r="I10" s="273">
        <f>(W10*100)/U10</f>
        <v>57.261256792311336</v>
      </c>
      <c r="J10" s="224">
        <f>($U$10*1)/($L$10*$M$6*$N$6)</f>
        <v>296.71553297127792</v>
      </c>
      <c r="K10" s="270">
        <f>SUM(K6:K9)</f>
        <v>100</v>
      </c>
      <c r="L10" s="271">
        <f>SUM(L6:L9)</f>
        <v>1.0958904109589041E-2</v>
      </c>
      <c r="M10" s="266"/>
      <c r="N10" s="266"/>
      <c r="O10" s="221">
        <f t="shared" ref="O10:X10" si="9">SUM(O6:O9)</f>
        <v>4</v>
      </c>
      <c r="P10" s="263">
        <f t="shared" si="9"/>
        <v>1</v>
      </c>
      <c r="Q10" s="264">
        <f t="shared" si="9"/>
        <v>2.4301369863013698E-3</v>
      </c>
      <c r="R10" s="265">
        <f t="shared" si="9"/>
        <v>0.88700000000000012</v>
      </c>
      <c r="S10" s="265">
        <f t="shared" si="9"/>
        <v>1.9291178082191779E-3</v>
      </c>
      <c r="T10" s="265">
        <f t="shared" si="9"/>
        <v>0.70412799999999998</v>
      </c>
      <c r="U10" s="221">
        <f t="shared" si="9"/>
        <v>0.57239921863013699</v>
      </c>
      <c r="V10" s="221">
        <f t="shared" si="9"/>
        <v>208.92571480000001</v>
      </c>
      <c r="W10" s="221">
        <f t="shared" si="9"/>
        <v>0.32776298645698632</v>
      </c>
      <c r="X10" s="265">
        <f t="shared" si="9"/>
        <v>119.63349005680001</v>
      </c>
      <c r="Y10" s="238"/>
      <c r="Z10" s="250"/>
      <c r="AA10" s="250"/>
      <c r="AB10" s="250"/>
      <c r="AC10" s="250"/>
      <c r="AD10" s="250"/>
      <c r="AE10" s="250"/>
      <c r="AF10" s="304"/>
    </row>
    <row r="11" spans="2:32" ht="26.4" thickBot="1" x14ac:dyDescent="0.55000000000000004">
      <c r="B11" s="478"/>
      <c r="I11" s="303"/>
      <c r="S11" s="235"/>
    </row>
    <row r="12" spans="2:32" ht="21.6" thickBot="1" x14ac:dyDescent="0.45">
      <c r="B12" s="478"/>
      <c r="E12" s="237"/>
      <c r="F12" s="292" t="s">
        <v>267</v>
      </c>
      <c r="G12" s="237"/>
      <c r="H12" s="237"/>
    </row>
    <row r="13" spans="2:32" ht="21.6" thickBot="1" x14ac:dyDescent="0.45">
      <c r="B13" s="478"/>
      <c r="E13" s="297" t="s">
        <v>8</v>
      </c>
      <c r="F13" s="292" t="str">
        <f>D6</f>
        <v>Firma X</v>
      </c>
      <c r="G13" s="237"/>
      <c r="H13" s="237"/>
      <c r="T13" s="236"/>
    </row>
    <row r="14" spans="2:32" ht="147.6" thickBot="1" x14ac:dyDescent="0.35">
      <c r="B14" s="478"/>
      <c r="E14" s="297" t="s">
        <v>9</v>
      </c>
      <c r="F14" s="293" t="s">
        <v>268</v>
      </c>
      <c r="G14" s="294">
        <f>J10</f>
        <v>296.71553297127792</v>
      </c>
      <c r="H14" s="295" t="s">
        <v>280</v>
      </c>
    </row>
    <row r="15" spans="2:32" ht="42.6" thickBot="1" x14ac:dyDescent="0.35">
      <c r="B15" s="478"/>
      <c r="E15" s="297" t="s">
        <v>10</v>
      </c>
      <c r="F15" s="298" t="s">
        <v>288</v>
      </c>
      <c r="G15" s="296">
        <f>I10</f>
        <v>57.261256792311336</v>
      </c>
      <c r="H15" s="295" t="s">
        <v>269</v>
      </c>
    </row>
    <row r="16" spans="2:32" ht="24" thickBot="1" x14ac:dyDescent="0.35">
      <c r="B16" s="478"/>
      <c r="E16" s="511" t="s">
        <v>11</v>
      </c>
      <c r="F16" s="512" t="s">
        <v>270</v>
      </c>
      <c r="G16" s="296">
        <f>U10</f>
        <v>0.57239921863013699</v>
      </c>
      <c r="H16" s="295" t="s">
        <v>281</v>
      </c>
    </row>
    <row r="17" spans="2:8" ht="24" thickBot="1" x14ac:dyDescent="0.35">
      <c r="B17" s="478"/>
      <c r="E17" s="511"/>
      <c r="F17" s="512"/>
      <c r="G17" s="296">
        <f>G16*365</f>
        <v>208.92571480000001</v>
      </c>
      <c r="H17" s="295" t="s">
        <v>282</v>
      </c>
    </row>
    <row r="18" spans="2:8" ht="24" thickBot="1" x14ac:dyDescent="0.35">
      <c r="B18" s="478"/>
      <c r="E18" s="511"/>
      <c r="F18" s="512"/>
      <c r="G18" s="296">
        <f>G16/24</f>
        <v>2.3849967442922376E-2</v>
      </c>
      <c r="H18" s="295" t="s">
        <v>283</v>
      </c>
    </row>
    <row r="19" spans="2:8" ht="62.55" customHeight="1" thickBot="1" x14ac:dyDescent="0.35">
      <c r="B19" s="478"/>
      <c r="E19" s="297" t="s">
        <v>12</v>
      </c>
      <c r="F19" s="299" t="s">
        <v>287</v>
      </c>
      <c r="G19" s="300">
        <f>Y6</f>
        <v>169.90304327735868</v>
      </c>
      <c r="H19" s="295" t="s">
        <v>284</v>
      </c>
    </row>
    <row r="20" spans="2:8" ht="68.55" customHeight="1" thickBot="1" x14ac:dyDescent="0.35">
      <c r="B20" s="478"/>
      <c r="E20" s="297" t="s">
        <v>13</v>
      </c>
      <c r="F20" s="299" t="s">
        <v>286</v>
      </c>
      <c r="G20" s="300">
        <f>AF6</f>
        <v>115.36416638532651</v>
      </c>
      <c r="H20" s="295" t="s">
        <v>285</v>
      </c>
    </row>
    <row r="21" spans="2:8" ht="68.55" customHeight="1" thickBot="1" x14ac:dyDescent="0.35">
      <c r="B21" s="478"/>
      <c r="E21" s="297" t="s">
        <v>14</v>
      </c>
      <c r="F21" s="301" t="s">
        <v>278</v>
      </c>
      <c r="G21" s="302">
        <f>(G16*G15%*37)/(24*3.6)*40%</f>
        <v>5.614458564309488E-2</v>
      </c>
      <c r="H21" s="295" t="s">
        <v>279</v>
      </c>
    </row>
    <row r="22" spans="2:8" ht="21" x14ac:dyDescent="0.4">
      <c r="B22" s="478"/>
      <c r="F22" s="250"/>
      <c r="G22" s="250"/>
      <c r="H22" s="250"/>
    </row>
    <row r="23" spans="2:8" ht="21.6" thickBot="1" x14ac:dyDescent="0.45">
      <c r="B23" s="478"/>
      <c r="F23" s="250"/>
      <c r="G23" s="250"/>
      <c r="H23" s="250"/>
    </row>
    <row r="24" spans="2:8" ht="58.2" thickBot="1" x14ac:dyDescent="0.6">
      <c r="B24" s="478"/>
      <c r="F24" s="311" t="s">
        <v>255</v>
      </c>
      <c r="G24" s="250"/>
      <c r="H24" s="250"/>
    </row>
    <row r="25" spans="2:8" ht="21.6" thickBot="1" x14ac:dyDescent="0.45">
      <c r="B25" s="478"/>
      <c r="E25" s="312" t="s">
        <v>9</v>
      </c>
      <c r="F25" s="250" t="s">
        <v>262</v>
      </c>
      <c r="G25" s="250"/>
      <c r="H25" s="250"/>
    </row>
    <row r="26" spans="2:8" ht="21.6" thickBot="1" x14ac:dyDescent="0.45">
      <c r="B26" s="478"/>
      <c r="E26" s="312" t="s">
        <v>10</v>
      </c>
      <c r="F26" s="250" t="s">
        <v>263</v>
      </c>
      <c r="G26" s="250"/>
      <c r="H26" s="250"/>
    </row>
    <row r="27" spans="2:8" ht="21.6" thickBot="1" x14ac:dyDescent="0.45">
      <c r="B27" s="478"/>
      <c r="E27" s="312" t="s">
        <v>11</v>
      </c>
      <c r="F27" s="250" t="s">
        <v>264</v>
      </c>
      <c r="G27" s="250"/>
      <c r="H27" s="250"/>
    </row>
    <row r="28" spans="2:8" ht="21.6" thickBot="1" x14ac:dyDescent="0.45">
      <c r="B28" s="478"/>
      <c r="E28" s="312" t="s">
        <v>12</v>
      </c>
      <c r="F28" s="250" t="s">
        <v>265</v>
      </c>
      <c r="G28" s="250"/>
    </row>
    <row r="29" spans="2:8" ht="21.6" thickBot="1" x14ac:dyDescent="0.45">
      <c r="B29" s="478"/>
      <c r="E29" s="312" t="s">
        <v>13</v>
      </c>
      <c r="F29" s="250" t="s">
        <v>266</v>
      </c>
      <c r="G29" s="250"/>
    </row>
    <row r="30" spans="2:8" ht="21.6" thickBot="1" x14ac:dyDescent="0.45">
      <c r="B30" s="478"/>
      <c r="E30" s="312" t="s">
        <v>14</v>
      </c>
      <c r="F30" s="250" t="s">
        <v>300</v>
      </c>
      <c r="G30" s="250"/>
    </row>
    <row r="31" spans="2:8" ht="21" x14ac:dyDescent="0.4">
      <c r="B31" s="478"/>
      <c r="F31" s="272"/>
      <c r="G31" s="250"/>
    </row>
  </sheetData>
  <mergeCells count="18">
    <mergeCell ref="B4:B31"/>
    <mergeCell ref="G4:H4"/>
    <mergeCell ref="I4:J4"/>
    <mergeCell ref="K4:X4"/>
    <mergeCell ref="C6:C9"/>
    <mergeCell ref="D6:D9"/>
    <mergeCell ref="M6:M9"/>
    <mergeCell ref="N6:N9"/>
    <mergeCell ref="AE6:AE9"/>
    <mergeCell ref="AF6:AF9"/>
    <mergeCell ref="E16:E18"/>
    <mergeCell ref="F16:F18"/>
    <mergeCell ref="Y6:Y9"/>
    <mergeCell ref="Z6:Z9"/>
    <mergeCell ref="AA6:AA9"/>
    <mergeCell ref="AB6:AB9"/>
    <mergeCell ref="AC6:AC9"/>
    <mergeCell ref="AD6:AD9"/>
  </mergeCells>
  <pageMargins left="0.7" right="0.7" top="0.75" bottom="0.75" header="0.3" footer="0.3"/>
  <pageSetup paperSize="8" scale="1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1"/>
  <sheetViews>
    <sheetView tabSelected="1" view="pageBreakPreview" zoomScale="40" zoomScaleNormal="40" zoomScaleSheetLayoutView="40" workbookViewId="0">
      <pane xSplit="6" ySplit="5" topLeftCell="T6" activePane="bottomRight" state="frozen"/>
      <selection pane="topRight" activeCell="G1" sqref="G1"/>
      <selection pane="bottomLeft" activeCell="A8" sqref="A8"/>
      <selection pane="bottomRight" activeCell="AD6" sqref="AD6:AD9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87.55" customHeight="1" thickBot="1" x14ac:dyDescent="0.35">
      <c r="B4" s="478" t="s">
        <v>302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294</v>
      </c>
      <c r="D6" s="475" t="s">
        <v>161</v>
      </c>
      <c r="E6" s="242" t="s">
        <v>9</v>
      </c>
      <c r="F6" s="243" t="s">
        <v>17</v>
      </c>
      <c r="G6" s="253">
        <v>0.24</v>
      </c>
      <c r="H6" s="254">
        <v>0.72</v>
      </c>
      <c r="I6" s="308">
        <v>0.59199999999999997</v>
      </c>
      <c r="J6" s="244">
        <v>150.9</v>
      </c>
      <c r="K6" s="255">
        <v>22</v>
      </c>
      <c r="L6" s="267">
        <f>O6/365</f>
        <v>2.7397260273972603E-3</v>
      </c>
      <c r="M6" s="522">
        <f>SUMPRODUCT(G6:G9,P6:P9)</f>
        <v>0.24725</v>
      </c>
      <c r="N6" s="522">
        <f>(S10*100%)/Q10</f>
        <v>0.75053791708796769</v>
      </c>
      <c r="O6" s="274">
        <v>1</v>
      </c>
      <c r="P6" s="275">
        <f>O6/$O$10</f>
        <v>0.25</v>
      </c>
      <c r="Q6" s="276">
        <f>L6*G6</f>
        <v>6.5753424657534248E-4</v>
      </c>
      <c r="R6" s="276">
        <f>O6*G6</f>
        <v>0.24</v>
      </c>
      <c r="S6" s="276">
        <f>Q6*H6</f>
        <v>4.7342465753424657E-4</v>
      </c>
      <c r="T6" s="277">
        <f>R6*H6</f>
        <v>0.17279999999999998</v>
      </c>
      <c r="U6" s="278">
        <f>S6*J6</f>
        <v>7.1439780821917806E-2</v>
      </c>
      <c r="V6" s="278">
        <f>T6*J6</f>
        <v>26.075519999999997</v>
      </c>
      <c r="W6" s="279">
        <f>U6*I6</f>
        <v>4.2292350246575336E-2</v>
      </c>
      <c r="X6" s="280">
        <f>V6*I6</f>
        <v>15.436707839999997</v>
      </c>
      <c r="Y6" s="513">
        <f>X10/T10</f>
        <v>143.04015977997577</v>
      </c>
      <c r="Z6" s="492">
        <v>0.97</v>
      </c>
      <c r="AA6" s="507">
        <f>W10*Z6</f>
        <v>0.28216671727492049</v>
      </c>
      <c r="AB6" s="507">
        <f>X10*Z6</f>
        <v>102.99085180534598</v>
      </c>
      <c r="AC6" s="501">
        <v>0.3</v>
      </c>
      <c r="AD6" s="515">
        <f>V10-(V10*AC6)</f>
        <v>125.34690468999999</v>
      </c>
      <c r="AE6" s="507">
        <f>AD6*I10%*Z6</f>
        <v>72.093596263742185</v>
      </c>
      <c r="AF6" s="509">
        <f>AE6/T10</f>
        <v>97.124268490603555</v>
      </c>
    </row>
    <row r="7" spans="2:32" ht="108" customHeight="1" thickBot="1" x14ac:dyDescent="0.35">
      <c r="B7" s="478"/>
      <c r="C7" s="474"/>
      <c r="D7" s="476"/>
      <c r="E7" s="242" t="s">
        <v>10</v>
      </c>
      <c r="F7" s="245" t="s">
        <v>234</v>
      </c>
      <c r="G7" s="256">
        <v>0.41099999999999998</v>
      </c>
      <c r="H7" s="246">
        <v>0.71899999999999997</v>
      </c>
      <c r="I7" s="309">
        <v>0.59</v>
      </c>
      <c r="J7" s="247">
        <v>218.7</v>
      </c>
      <c r="K7" s="251">
        <v>22</v>
      </c>
      <c r="L7" s="268">
        <f t="shared" ref="L7:L9" si="0">O7/365</f>
        <v>2.7397260273972603E-3</v>
      </c>
      <c r="M7" s="523"/>
      <c r="N7" s="523"/>
      <c r="O7" s="281">
        <v>1</v>
      </c>
      <c r="P7" s="282">
        <f>O7/$O$10</f>
        <v>0.25</v>
      </c>
      <c r="Q7" s="283">
        <f t="shared" ref="Q7:Q9" si="1">L7*G7</f>
        <v>1.1260273972602739E-3</v>
      </c>
      <c r="R7" s="283">
        <f t="shared" ref="R7:R9" si="2">O7*G7</f>
        <v>0.41099999999999998</v>
      </c>
      <c r="S7" s="283">
        <f t="shared" ref="S7:S9" si="3">Q7*H7</f>
        <v>8.0961369863013686E-4</v>
      </c>
      <c r="T7" s="257">
        <f t="shared" ref="T7:T9" si="4">R7*H7</f>
        <v>0.29550899999999997</v>
      </c>
      <c r="U7" s="249">
        <f>S7*J7</f>
        <v>0.17706251589041092</v>
      </c>
      <c r="V7" s="249">
        <f t="shared" ref="V7:V9" si="5">T7*J7</f>
        <v>64.627818299999987</v>
      </c>
      <c r="W7" s="284">
        <f t="shared" ref="W7:W9" si="6">U7*I7</f>
        <v>0.10446688437534243</v>
      </c>
      <c r="X7" s="285">
        <f t="shared" ref="X7:X9" si="7">V7*I7</f>
        <v>38.130412796999991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35">
      <c r="B8" s="478"/>
      <c r="C8" s="474"/>
      <c r="D8" s="476"/>
      <c r="E8" s="242" t="s">
        <v>11</v>
      </c>
      <c r="F8" s="248" t="s">
        <v>18</v>
      </c>
      <c r="G8" s="256">
        <v>9.2999999999999999E-2</v>
      </c>
      <c r="H8" s="246">
        <v>0.79100000000000004</v>
      </c>
      <c r="I8" s="309">
        <v>0.59699999999999998</v>
      </c>
      <c r="J8" s="247">
        <v>221.8</v>
      </c>
      <c r="K8" s="251">
        <v>30</v>
      </c>
      <c r="L8" s="268">
        <f t="shared" si="0"/>
        <v>2.7397260273972603E-3</v>
      </c>
      <c r="M8" s="523"/>
      <c r="N8" s="523"/>
      <c r="O8" s="281">
        <v>1</v>
      </c>
      <c r="P8" s="282">
        <f>O8/$O$10</f>
        <v>0.25</v>
      </c>
      <c r="Q8" s="283">
        <f t="shared" si="1"/>
        <v>2.5479452054794522E-4</v>
      </c>
      <c r="R8" s="283">
        <f t="shared" si="2"/>
        <v>9.2999999999999999E-2</v>
      </c>
      <c r="S8" s="283">
        <f t="shared" si="3"/>
        <v>2.0154246575342468E-4</v>
      </c>
      <c r="T8" s="257">
        <f t="shared" si="4"/>
        <v>7.3563000000000003E-2</v>
      </c>
      <c r="U8" s="249">
        <f t="shared" ref="U8:U9" si="8">S8*J8</f>
        <v>4.4702118904109599E-2</v>
      </c>
      <c r="V8" s="249">
        <f t="shared" si="5"/>
        <v>16.3162734</v>
      </c>
      <c r="W8" s="284">
        <f t="shared" si="6"/>
        <v>2.668716498575343E-2</v>
      </c>
      <c r="X8" s="285">
        <f t="shared" si="7"/>
        <v>9.7408152198</v>
      </c>
      <c r="Y8" s="514"/>
      <c r="Z8" s="493"/>
      <c r="AA8" s="508"/>
      <c r="AB8" s="508"/>
      <c r="AC8" s="502"/>
      <c r="AD8" s="516"/>
      <c r="AE8" s="508"/>
      <c r="AF8" s="510"/>
    </row>
    <row r="9" spans="2:32" ht="108" customHeight="1" thickBot="1" x14ac:dyDescent="0.35">
      <c r="B9" s="478"/>
      <c r="C9" s="474"/>
      <c r="D9" s="477"/>
      <c r="E9" s="242" t="s">
        <v>12</v>
      </c>
      <c r="F9" s="248" t="s">
        <v>239</v>
      </c>
      <c r="G9" s="258">
        <v>0.245</v>
      </c>
      <c r="H9" s="259">
        <v>0.81799999999999995</v>
      </c>
      <c r="I9" s="310">
        <v>0.59499999999999997</v>
      </c>
      <c r="J9" s="260">
        <v>359.5</v>
      </c>
      <c r="K9" s="261">
        <v>26</v>
      </c>
      <c r="L9" s="269">
        <f t="shared" si="0"/>
        <v>2.7397260273972603E-3</v>
      </c>
      <c r="M9" s="528"/>
      <c r="N9" s="528"/>
      <c r="O9" s="286">
        <v>1</v>
      </c>
      <c r="P9" s="287">
        <f>O9/$O$10</f>
        <v>0.25</v>
      </c>
      <c r="Q9" s="288">
        <f t="shared" si="1"/>
        <v>6.7123287671232872E-4</v>
      </c>
      <c r="R9" s="288">
        <f t="shared" si="2"/>
        <v>0.245</v>
      </c>
      <c r="S9" s="288">
        <f t="shared" si="3"/>
        <v>5.4906849315068489E-4</v>
      </c>
      <c r="T9" s="262">
        <f t="shared" si="4"/>
        <v>0.20040999999999998</v>
      </c>
      <c r="U9" s="289">
        <f t="shared" si="8"/>
        <v>0.19739012328767122</v>
      </c>
      <c r="V9" s="289">
        <f t="shared" si="5"/>
        <v>72.047394999999995</v>
      </c>
      <c r="W9" s="290">
        <f t="shared" si="6"/>
        <v>0.11744712335616438</v>
      </c>
      <c r="X9" s="291">
        <f t="shared" si="7"/>
        <v>42.868200024999993</v>
      </c>
      <c r="Y9" s="526"/>
      <c r="Z9" s="494"/>
      <c r="AA9" s="524"/>
      <c r="AB9" s="524"/>
      <c r="AC9" s="503"/>
      <c r="AD9" s="527"/>
      <c r="AE9" s="524"/>
      <c r="AF9" s="525"/>
    </row>
    <row r="10" spans="2:32" ht="108" customHeight="1" thickBot="1" x14ac:dyDescent="0.45">
      <c r="B10" s="478"/>
      <c r="C10" s="216"/>
      <c r="E10" s="250"/>
      <c r="F10" s="250"/>
      <c r="G10" s="250"/>
      <c r="H10" s="250"/>
      <c r="I10" s="273">
        <f>(W10*100)/U10</f>
        <v>59.294080935681386</v>
      </c>
      <c r="J10" s="224">
        <f>($U$10*1)/($L$10*$M$6*$N$6)</f>
        <v>241.23851406877705</v>
      </c>
      <c r="K10" s="270">
        <f>SUM(K6:K9)</f>
        <v>100</v>
      </c>
      <c r="L10" s="271">
        <f>SUM(L6:L9)</f>
        <v>1.0958904109589041E-2</v>
      </c>
      <c r="M10" s="266"/>
      <c r="N10" s="266"/>
      <c r="O10" s="221">
        <f t="shared" ref="O10:X10" si="9">SUM(O6:O9)</f>
        <v>4</v>
      </c>
      <c r="P10" s="263">
        <f t="shared" si="9"/>
        <v>1</v>
      </c>
      <c r="Q10" s="264">
        <f t="shared" si="9"/>
        <v>2.7095890410958898E-3</v>
      </c>
      <c r="R10" s="265">
        <f t="shared" si="9"/>
        <v>0.98899999999999999</v>
      </c>
      <c r="S10" s="265">
        <f t="shared" si="9"/>
        <v>2.0336493150684928E-3</v>
      </c>
      <c r="T10" s="265">
        <f t="shared" si="9"/>
        <v>0.742282</v>
      </c>
      <c r="U10" s="221">
        <f t="shared" si="9"/>
        <v>0.49059453890410953</v>
      </c>
      <c r="V10" s="221">
        <f t="shared" si="9"/>
        <v>179.06700669999998</v>
      </c>
      <c r="W10" s="221">
        <f t="shared" si="9"/>
        <v>0.29089352296383558</v>
      </c>
      <c r="X10" s="265">
        <f t="shared" si="9"/>
        <v>106.17613588179998</v>
      </c>
      <c r="Y10" s="238"/>
      <c r="Z10" s="250"/>
      <c r="AA10" s="250"/>
      <c r="AB10" s="250"/>
      <c r="AC10" s="250"/>
      <c r="AD10" s="250"/>
      <c r="AE10" s="250"/>
      <c r="AF10" s="304"/>
    </row>
    <row r="11" spans="2:32" ht="26.4" thickBot="1" x14ac:dyDescent="0.55000000000000004">
      <c r="B11" s="478"/>
      <c r="I11" s="303"/>
      <c r="S11" s="235"/>
    </row>
    <row r="12" spans="2:32" ht="21.6" thickBot="1" x14ac:dyDescent="0.45">
      <c r="B12" s="478"/>
      <c r="E12" s="237"/>
      <c r="F12" s="292" t="s">
        <v>267</v>
      </c>
      <c r="G12" s="237"/>
      <c r="H12" s="237"/>
    </row>
    <row r="13" spans="2:32" ht="21.6" thickBot="1" x14ac:dyDescent="0.45">
      <c r="B13" s="478"/>
      <c r="E13" s="297" t="s">
        <v>8</v>
      </c>
      <c r="F13" s="292" t="str">
        <f>D6</f>
        <v>Firma X</v>
      </c>
      <c r="G13" s="237"/>
      <c r="H13" s="237"/>
      <c r="T13" s="236"/>
    </row>
    <row r="14" spans="2:32" ht="147.6" thickBot="1" x14ac:dyDescent="0.35">
      <c r="B14" s="478"/>
      <c r="E14" s="297" t="s">
        <v>9</v>
      </c>
      <c r="F14" s="293" t="s">
        <v>268</v>
      </c>
      <c r="G14" s="294">
        <f>J10</f>
        <v>241.23851406877705</v>
      </c>
      <c r="H14" s="295" t="s">
        <v>280</v>
      </c>
    </row>
    <row r="15" spans="2:32" ht="42.6" thickBot="1" x14ac:dyDescent="0.35">
      <c r="B15" s="478"/>
      <c r="E15" s="297" t="s">
        <v>10</v>
      </c>
      <c r="F15" s="298" t="s">
        <v>288</v>
      </c>
      <c r="G15" s="296">
        <f>I10</f>
        <v>59.294080935681386</v>
      </c>
      <c r="H15" s="295" t="s">
        <v>269</v>
      </c>
    </row>
    <row r="16" spans="2:32" ht="24" thickBot="1" x14ac:dyDescent="0.35">
      <c r="B16" s="478"/>
      <c r="E16" s="511" t="s">
        <v>11</v>
      </c>
      <c r="F16" s="512" t="s">
        <v>270</v>
      </c>
      <c r="G16" s="296">
        <f>U10</f>
        <v>0.49059453890410953</v>
      </c>
      <c r="H16" s="295" t="s">
        <v>281</v>
      </c>
    </row>
    <row r="17" spans="2:8" ht="24" thickBot="1" x14ac:dyDescent="0.35">
      <c r="B17" s="478"/>
      <c r="E17" s="511"/>
      <c r="F17" s="512"/>
      <c r="G17" s="296">
        <f>G16*365</f>
        <v>179.06700669999998</v>
      </c>
      <c r="H17" s="295" t="s">
        <v>282</v>
      </c>
    </row>
    <row r="18" spans="2:8" ht="24" thickBot="1" x14ac:dyDescent="0.35">
      <c r="B18" s="478"/>
      <c r="E18" s="511"/>
      <c r="F18" s="512"/>
      <c r="G18" s="296">
        <f>G16/24</f>
        <v>2.0441439121004563E-2</v>
      </c>
      <c r="H18" s="295" t="s">
        <v>283</v>
      </c>
    </row>
    <row r="19" spans="2:8" ht="62.55" customHeight="1" thickBot="1" x14ac:dyDescent="0.35">
      <c r="B19" s="478"/>
      <c r="E19" s="297" t="s">
        <v>12</v>
      </c>
      <c r="F19" s="299" t="s">
        <v>287</v>
      </c>
      <c r="G19" s="300">
        <f>Y6</f>
        <v>143.04015977997577</v>
      </c>
      <c r="H19" s="295" t="s">
        <v>284</v>
      </c>
    </row>
    <row r="20" spans="2:8" ht="68.55" customHeight="1" thickBot="1" x14ac:dyDescent="0.35">
      <c r="B20" s="478"/>
      <c r="E20" s="297" t="s">
        <v>13</v>
      </c>
      <c r="F20" s="299" t="s">
        <v>286</v>
      </c>
      <c r="G20" s="300">
        <f>AF6</f>
        <v>97.124268490603555</v>
      </c>
      <c r="H20" s="295" t="s">
        <v>285</v>
      </c>
    </row>
    <row r="21" spans="2:8" ht="68.55" customHeight="1" thickBot="1" x14ac:dyDescent="0.35">
      <c r="B21" s="478"/>
      <c r="E21" s="297" t="s">
        <v>14</v>
      </c>
      <c r="F21" s="301" t="s">
        <v>278</v>
      </c>
      <c r="G21" s="302">
        <f>(G16*G15%*37)/(24*3.6)*40%</f>
        <v>4.9828983100286654E-2</v>
      </c>
      <c r="H21" s="295" t="s">
        <v>279</v>
      </c>
    </row>
    <row r="22" spans="2:8" ht="21" x14ac:dyDescent="0.4">
      <c r="B22" s="478"/>
      <c r="F22" s="250"/>
      <c r="G22" s="250"/>
      <c r="H22" s="250"/>
    </row>
    <row r="23" spans="2:8" ht="21.6" thickBot="1" x14ac:dyDescent="0.45">
      <c r="B23" s="478"/>
      <c r="F23" s="250"/>
      <c r="G23" s="250"/>
      <c r="H23" s="250"/>
    </row>
    <row r="24" spans="2:8" ht="58.2" thickBot="1" x14ac:dyDescent="0.6">
      <c r="B24" s="478"/>
      <c r="F24" s="311" t="s">
        <v>255</v>
      </c>
      <c r="G24" s="250"/>
      <c r="H24" s="250"/>
    </row>
    <row r="25" spans="2:8" ht="21.6" thickBot="1" x14ac:dyDescent="0.45">
      <c r="B25" s="478"/>
      <c r="E25" s="312" t="s">
        <v>9</v>
      </c>
      <c r="F25" s="250" t="s">
        <v>262</v>
      </c>
      <c r="G25" s="250"/>
      <c r="H25" s="250"/>
    </row>
    <row r="26" spans="2:8" ht="21.6" thickBot="1" x14ac:dyDescent="0.45">
      <c r="B26" s="478"/>
      <c r="E26" s="312" t="s">
        <v>10</v>
      </c>
      <c r="F26" s="250" t="s">
        <v>263</v>
      </c>
      <c r="G26" s="250"/>
      <c r="H26" s="250"/>
    </row>
    <row r="27" spans="2:8" ht="21.6" thickBot="1" x14ac:dyDescent="0.45">
      <c r="B27" s="478"/>
      <c r="E27" s="312" t="s">
        <v>11</v>
      </c>
      <c r="F27" s="250" t="s">
        <v>264</v>
      </c>
      <c r="G27" s="250"/>
      <c r="H27" s="250"/>
    </row>
    <row r="28" spans="2:8" ht="21.6" thickBot="1" x14ac:dyDescent="0.45">
      <c r="B28" s="478"/>
      <c r="E28" s="312" t="s">
        <v>12</v>
      </c>
      <c r="F28" s="250" t="s">
        <v>265</v>
      </c>
      <c r="G28" s="250"/>
    </row>
    <row r="29" spans="2:8" ht="21.6" thickBot="1" x14ac:dyDescent="0.45">
      <c r="B29" s="478"/>
      <c r="E29" s="312" t="s">
        <v>13</v>
      </c>
      <c r="F29" s="250" t="s">
        <v>266</v>
      </c>
      <c r="G29" s="250"/>
    </row>
    <row r="30" spans="2:8" ht="21.6" thickBot="1" x14ac:dyDescent="0.45">
      <c r="B30" s="478"/>
      <c r="E30" s="312" t="s">
        <v>14</v>
      </c>
      <c r="F30" s="250" t="s">
        <v>300</v>
      </c>
      <c r="G30" s="250"/>
    </row>
    <row r="31" spans="2:8" ht="21" x14ac:dyDescent="0.4">
      <c r="B31" s="478"/>
      <c r="F31" s="272"/>
      <c r="G31" s="250"/>
    </row>
  </sheetData>
  <mergeCells count="18">
    <mergeCell ref="B4:B31"/>
    <mergeCell ref="G4:H4"/>
    <mergeCell ref="I4:J4"/>
    <mergeCell ref="K4:X4"/>
    <mergeCell ref="C6:C9"/>
    <mergeCell ref="D6:D9"/>
    <mergeCell ref="M6:M9"/>
    <mergeCell ref="N6:N9"/>
    <mergeCell ref="AE6:AE9"/>
    <mergeCell ref="AF6:AF9"/>
    <mergeCell ref="E16:E18"/>
    <mergeCell ref="F16:F18"/>
    <mergeCell ref="Y6:Y9"/>
    <mergeCell ref="Z6:Z9"/>
    <mergeCell ref="AA6:AA9"/>
    <mergeCell ref="AB6:AB9"/>
    <mergeCell ref="AC6:AC9"/>
    <mergeCell ref="AD6:AD9"/>
  </mergeCells>
  <pageMargins left="0.7" right="0.7" top="0.75" bottom="0.75" header="0.3" footer="0.3"/>
  <pageSetup paperSize="8" scale="1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7"/>
  <sheetViews>
    <sheetView zoomScale="60" zoomScaleNormal="6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7" sqref="B7:B11"/>
    </sheetView>
  </sheetViews>
  <sheetFormatPr defaultRowHeight="14.4" x14ac:dyDescent="0.3"/>
  <cols>
    <col min="2" max="2" width="15.21875" customWidth="1"/>
    <col min="3" max="3" width="36.109375" customWidth="1"/>
    <col min="4" max="4" width="20.77734375" hidden="1" customWidth="1"/>
    <col min="5" max="12" width="20.6640625" customWidth="1"/>
    <col min="14" max="14" width="18.77734375" customWidth="1"/>
  </cols>
  <sheetData>
    <row r="2" spans="2:18" ht="15" thickBot="1" x14ac:dyDescent="0.35"/>
    <row r="3" spans="2:18" ht="24" thickBot="1" x14ac:dyDescent="0.5">
      <c r="D3" s="305" t="s">
        <v>295</v>
      </c>
      <c r="E3" s="529" t="s">
        <v>295</v>
      </c>
      <c r="F3" s="530"/>
      <c r="G3" s="530"/>
      <c r="H3" s="530"/>
      <c r="I3" s="530"/>
      <c r="J3" s="530"/>
      <c r="K3" s="530"/>
      <c r="L3" s="531"/>
    </row>
    <row r="4" spans="2:18" ht="24" thickBot="1" x14ac:dyDescent="0.5">
      <c r="D4" s="305" t="s">
        <v>161</v>
      </c>
      <c r="E4" s="529" t="s">
        <v>161</v>
      </c>
      <c r="F4" s="530"/>
      <c r="G4" s="530"/>
      <c r="H4" s="530"/>
      <c r="I4" s="530"/>
      <c r="J4" s="530"/>
      <c r="K4" s="530"/>
      <c r="L4" s="531"/>
    </row>
    <row r="5" spans="2:18" ht="15.45" customHeight="1" thickBot="1" x14ac:dyDescent="0.35">
      <c r="D5" s="535"/>
      <c r="E5" s="535" t="s">
        <v>252</v>
      </c>
      <c r="F5" s="535" t="s">
        <v>253</v>
      </c>
      <c r="G5" s="535" t="s">
        <v>289</v>
      </c>
      <c r="H5" s="535" t="s">
        <v>290</v>
      </c>
      <c r="I5" s="535" t="s">
        <v>291</v>
      </c>
      <c r="J5" s="535" t="s">
        <v>292</v>
      </c>
      <c r="K5" s="535" t="s">
        <v>293</v>
      </c>
      <c r="L5" s="535" t="s">
        <v>294</v>
      </c>
    </row>
    <row r="6" spans="2:18" ht="45" customHeight="1" thickBot="1" x14ac:dyDescent="0.35">
      <c r="B6" s="186"/>
      <c r="C6" s="233"/>
      <c r="D6" s="536"/>
      <c r="E6" s="537"/>
      <c r="F6" s="537"/>
      <c r="G6" s="537"/>
      <c r="H6" s="537"/>
      <c r="I6" s="537"/>
      <c r="J6" s="537"/>
      <c r="K6" s="537"/>
      <c r="L6" s="537"/>
      <c r="N6" s="217"/>
    </row>
    <row r="7" spans="2:18" ht="115.95" customHeight="1" thickBot="1" x14ac:dyDescent="0.35">
      <c r="B7" s="532" t="s">
        <v>161</v>
      </c>
      <c r="C7" s="306" t="s">
        <v>296</v>
      </c>
      <c r="D7" s="230"/>
      <c r="E7" s="219">
        <f>'wariant "1"'!G19</f>
        <v>218.0989694989112</v>
      </c>
      <c r="F7" s="219">
        <f>'wariant "2"'!G17</f>
        <v>233.36859511680035</v>
      </c>
      <c r="G7" s="219">
        <f>'wariant "3"'!G17</f>
        <v>302.29319075832416</v>
      </c>
      <c r="H7" s="219">
        <f>'wariant "4"'!G17</f>
        <v>267.92077403686829</v>
      </c>
      <c r="I7" s="219">
        <f>'wariant "5"'!G18</f>
        <v>233.29542078546066</v>
      </c>
      <c r="J7" s="219">
        <f>'wariant "6"'!G19</f>
        <v>219.58541679516225</v>
      </c>
      <c r="K7" s="219">
        <f>'wariant "7"'!G19</f>
        <v>169.90304327735868</v>
      </c>
      <c r="L7" s="219">
        <f>'wariant "8"'!G19</f>
        <v>143.04015977997577</v>
      </c>
      <c r="N7" s="217"/>
    </row>
    <row r="8" spans="2:18" ht="115.95" customHeight="1" thickBot="1" x14ac:dyDescent="0.35">
      <c r="B8" s="533"/>
      <c r="C8" s="306" t="s">
        <v>297</v>
      </c>
      <c r="D8" s="230"/>
      <c r="E8" s="219">
        <f>'wariant "1"'!G20</f>
        <v>148.0892002897607</v>
      </c>
      <c r="F8" s="219">
        <f>'wariant "2"'!G18</f>
        <v>158.45727608430741</v>
      </c>
      <c r="G8" s="219">
        <f>'wariant "3"'!G18</f>
        <v>205.25707652490209</v>
      </c>
      <c r="H8" s="219">
        <f>'wariant "4"'!G18</f>
        <v>181.91820557103358</v>
      </c>
      <c r="I8" s="219">
        <f>'wariant "5"'!G19</f>
        <v>158.40759071332778</v>
      </c>
      <c r="J8" s="219">
        <f>'wariant "6"'!G20</f>
        <v>149.09849800391515</v>
      </c>
      <c r="K8" s="219">
        <f>'wariant "7"'!G20</f>
        <v>115.36416638532651</v>
      </c>
      <c r="L8" s="219">
        <f>'wariant "8"'!G20</f>
        <v>97.124268490603555</v>
      </c>
      <c r="N8" s="218"/>
      <c r="R8" t="str">
        <f>IF(E7&gt;=0,"")</f>
        <v/>
      </c>
    </row>
    <row r="9" spans="2:18" ht="9" customHeight="1" thickBot="1" x14ac:dyDescent="0.35">
      <c r="B9" s="533"/>
      <c r="C9" s="306"/>
      <c r="D9" s="230"/>
      <c r="E9" s="219"/>
      <c r="F9" s="219"/>
      <c r="G9" s="219"/>
      <c r="H9" s="219"/>
      <c r="I9" s="219"/>
      <c r="J9" s="219"/>
      <c r="K9" s="219"/>
      <c r="L9" s="219"/>
      <c r="N9" s="217"/>
    </row>
    <row r="10" spans="2:18" ht="115.95" customHeight="1" thickBot="1" x14ac:dyDescent="0.35">
      <c r="B10" s="533"/>
      <c r="C10" s="232" t="s">
        <v>298</v>
      </c>
      <c r="D10" s="228"/>
      <c r="E10" s="538">
        <f>AVERAGE(E7:L7)</f>
        <v>223.43819625610766</v>
      </c>
      <c r="F10" s="538"/>
      <c r="G10" s="538"/>
      <c r="H10" s="538"/>
      <c r="I10" s="538"/>
      <c r="J10" s="538"/>
      <c r="K10" s="538"/>
      <c r="L10" s="539"/>
      <c r="N10" s="217"/>
    </row>
    <row r="11" spans="2:18" ht="115.95" customHeight="1" thickBot="1" x14ac:dyDescent="0.35">
      <c r="B11" s="534"/>
      <c r="C11" s="307" t="s">
        <v>299</v>
      </c>
      <c r="D11" s="231"/>
      <c r="E11" s="538">
        <f>AVERAGE(E8:L8)</f>
        <v>151.7145352578971</v>
      </c>
      <c r="F11" s="538"/>
      <c r="G11" s="538"/>
      <c r="H11" s="538"/>
      <c r="I11" s="538"/>
      <c r="J11" s="538"/>
      <c r="K11" s="538"/>
      <c r="L11" s="539"/>
      <c r="N11" s="217"/>
    </row>
    <row r="12" spans="2:18" ht="34.5" customHeight="1" x14ac:dyDescent="0.3">
      <c r="B12" s="229"/>
      <c r="N12" s="217"/>
    </row>
    <row r="13" spans="2:18" ht="42" hidden="1" customHeight="1" thickBot="1" x14ac:dyDescent="0.35">
      <c r="B13" s="225"/>
      <c r="C13" s="222"/>
      <c r="D13" s="223"/>
      <c r="E13" s="223"/>
      <c r="F13" s="223"/>
      <c r="G13" s="223"/>
      <c r="H13" s="223"/>
      <c r="I13" s="223"/>
      <c r="J13" s="223"/>
      <c r="K13" s="223"/>
      <c r="L13" s="223"/>
      <c r="N13" s="217"/>
    </row>
    <row r="14" spans="2:18" x14ac:dyDescent="0.3">
      <c r="C14" s="147"/>
      <c r="E14" s="226"/>
    </row>
    <row r="15" spans="2:18" x14ac:dyDescent="0.3">
      <c r="C15" s="147"/>
    </row>
    <row r="16" spans="2:18" x14ac:dyDescent="0.3">
      <c r="C16" s="147"/>
    </row>
    <row r="17" spans="3:3" x14ac:dyDescent="0.3">
      <c r="C17" s="147"/>
    </row>
    <row r="18" spans="3:3" x14ac:dyDescent="0.3">
      <c r="C18" s="147"/>
    </row>
    <row r="19" spans="3:3" x14ac:dyDescent="0.3">
      <c r="C19" s="147"/>
    </row>
    <row r="20" spans="3:3" x14ac:dyDescent="0.3">
      <c r="C20" s="147"/>
    </row>
    <row r="21" spans="3:3" x14ac:dyDescent="0.3">
      <c r="C21" s="147"/>
    </row>
    <row r="22" spans="3:3" x14ac:dyDescent="0.3">
      <c r="C22" s="147"/>
    </row>
    <row r="23" spans="3:3" x14ac:dyDescent="0.3">
      <c r="C23" s="147"/>
    </row>
    <row r="24" spans="3:3" x14ac:dyDescent="0.3">
      <c r="C24" s="147"/>
    </row>
    <row r="25" spans="3:3" x14ac:dyDescent="0.3">
      <c r="C25" s="147"/>
    </row>
    <row r="26" spans="3:3" x14ac:dyDescent="0.3">
      <c r="C26" s="147"/>
    </row>
    <row r="27" spans="3:3" x14ac:dyDescent="0.3">
      <c r="C27" s="147"/>
    </row>
    <row r="28" spans="3:3" x14ac:dyDescent="0.3">
      <c r="C28" s="147"/>
    </row>
    <row r="29" spans="3:3" x14ac:dyDescent="0.3">
      <c r="C29" s="147"/>
    </row>
    <row r="30" spans="3:3" x14ac:dyDescent="0.3">
      <c r="C30" s="147"/>
    </row>
    <row r="31" spans="3:3" x14ac:dyDescent="0.3">
      <c r="C31" s="147"/>
    </row>
    <row r="32" spans="3:3" x14ac:dyDescent="0.3">
      <c r="C32" s="147"/>
    </row>
    <row r="33" spans="3:3" x14ac:dyDescent="0.3">
      <c r="C33" s="147"/>
    </row>
    <row r="34" spans="3:3" x14ac:dyDescent="0.3">
      <c r="C34" s="147"/>
    </row>
    <row r="35" spans="3:3" x14ac:dyDescent="0.3">
      <c r="C35" s="147"/>
    </row>
    <row r="36" spans="3:3" x14ac:dyDescent="0.3">
      <c r="C36" s="147"/>
    </row>
    <row r="37" spans="3:3" x14ac:dyDescent="0.3">
      <c r="C37" s="147"/>
    </row>
    <row r="38" spans="3:3" x14ac:dyDescent="0.3">
      <c r="C38" s="147"/>
    </row>
    <row r="39" spans="3:3" x14ac:dyDescent="0.3">
      <c r="C39" s="147"/>
    </row>
    <row r="40" spans="3:3" x14ac:dyDescent="0.3">
      <c r="C40" s="147"/>
    </row>
    <row r="41" spans="3:3" x14ac:dyDescent="0.3">
      <c r="C41" s="147"/>
    </row>
    <row r="42" spans="3:3" x14ac:dyDescent="0.3">
      <c r="C42" s="147"/>
    </row>
    <row r="43" spans="3:3" x14ac:dyDescent="0.3">
      <c r="C43" s="147"/>
    </row>
    <row r="44" spans="3:3" x14ac:dyDescent="0.3">
      <c r="C44" s="147"/>
    </row>
    <row r="45" spans="3:3" x14ac:dyDescent="0.3">
      <c r="C45" s="147"/>
    </row>
    <row r="46" spans="3:3" x14ac:dyDescent="0.3">
      <c r="C46" s="147"/>
    </row>
    <row r="47" spans="3:3" x14ac:dyDescent="0.3">
      <c r="C47" s="147"/>
    </row>
    <row r="48" spans="3:3" x14ac:dyDescent="0.3">
      <c r="C48" s="147"/>
    </row>
    <row r="49" spans="3:3" x14ac:dyDescent="0.3">
      <c r="C49" s="147"/>
    </row>
    <row r="50" spans="3:3" x14ac:dyDescent="0.3">
      <c r="C50" s="147"/>
    </row>
    <row r="51" spans="3:3" x14ac:dyDescent="0.3">
      <c r="C51" s="147"/>
    </row>
    <row r="52" spans="3:3" x14ac:dyDescent="0.3">
      <c r="C52" s="147"/>
    </row>
    <row r="53" spans="3:3" x14ac:dyDescent="0.3">
      <c r="C53" s="147"/>
    </row>
    <row r="54" spans="3:3" x14ac:dyDescent="0.3">
      <c r="C54" s="147"/>
    </row>
    <row r="55" spans="3:3" x14ac:dyDescent="0.3">
      <c r="C55" s="147"/>
    </row>
    <row r="56" spans="3:3" x14ac:dyDescent="0.3">
      <c r="C56" s="147"/>
    </row>
    <row r="57" spans="3:3" x14ac:dyDescent="0.3">
      <c r="C57" s="147"/>
    </row>
    <row r="58" spans="3:3" x14ac:dyDescent="0.3">
      <c r="C58" s="147"/>
    </row>
    <row r="59" spans="3:3" x14ac:dyDescent="0.3">
      <c r="C59" s="147"/>
    </row>
    <row r="60" spans="3:3" x14ac:dyDescent="0.3">
      <c r="C60" s="147"/>
    </row>
    <row r="61" spans="3:3" x14ac:dyDescent="0.3">
      <c r="C61" s="147"/>
    </row>
    <row r="62" spans="3:3" x14ac:dyDescent="0.3">
      <c r="C62" s="147"/>
    </row>
    <row r="63" spans="3:3" x14ac:dyDescent="0.3">
      <c r="C63" s="147"/>
    </row>
    <row r="64" spans="3:3" x14ac:dyDescent="0.3">
      <c r="C64" s="147"/>
    </row>
    <row r="65" spans="3:3" x14ac:dyDescent="0.3">
      <c r="C65" s="147"/>
    </row>
    <row r="66" spans="3:3" x14ac:dyDescent="0.3">
      <c r="C66" s="147"/>
    </row>
    <row r="67" spans="3:3" x14ac:dyDescent="0.3">
      <c r="C67" s="147"/>
    </row>
    <row r="68" spans="3:3" x14ac:dyDescent="0.3">
      <c r="C68" s="147"/>
    </row>
    <row r="69" spans="3:3" x14ac:dyDescent="0.3">
      <c r="C69" s="147"/>
    </row>
    <row r="70" spans="3:3" x14ac:dyDescent="0.3">
      <c r="C70" s="147"/>
    </row>
    <row r="71" spans="3:3" x14ac:dyDescent="0.3">
      <c r="C71" s="147"/>
    </row>
    <row r="72" spans="3:3" x14ac:dyDescent="0.3">
      <c r="C72" s="147"/>
    </row>
    <row r="73" spans="3:3" x14ac:dyDescent="0.3">
      <c r="C73" s="147"/>
    </row>
    <row r="74" spans="3:3" x14ac:dyDescent="0.3">
      <c r="C74" s="147"/>
    </row>
    <row r="75" spans="3:3" x14ac:dyDescent="0.3">
      <c r="C75" s="147"/>
    </row>
    <row r="76" spans="3:3" x14ac:dyDescent="0.3">
      <c r="C76" s="147"/>
    </row>
    <row r="77" spans="3:3" x14ac:dyDescent="0.3">
      <c r="C77" s="147"/>
    </row>
  </sheetData>
  <mergeCells count="14">
    <mergeCell ref="E3:L3"/>
    <mergeCell ref="E4:L4"/>
    <mergeCell ref="B7:B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E10:L10"/>
    <mergeCell ref="E11:L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1"/>
  <sheetViews>
    <sheetView workbookViewId="0">
      <selection activeCell="E19" sqref="E19"/>
    </sheetView>
  </sheetViews>
  <sheetFormatPr defaultRowHeight="14.4" x14ac:dyDescent="0.3"/>
  <sheetData>
    <row r="2" spans="1:3" x14ac:dyDescent="0.3">
      <c r="A2" t="s">
        <v>1</v>
      </c>
      <c r="B2" t="s">
        <v>2</v>
      </c>
      <c r="C2" t="s">
        <v>89</v>
      </c>
    </row>
    <row r="3" spans="1:3" x14ac:dyDescent="0.3">
      <c r="A3" s="4">
        <v>1</v>
      </c>
      <c r="B3">
        <v>1</v>
      </c>
      <c r="C3">
        <v>1</v>
      </c>
    </row>
    <row r="4" spans="1:3" x14ac:dyDescent="0.3">
      <c r="A4" s="4">
        <v>2</v>
      </c>
      <c r="B4">
        <v>2</v>
      </c>
      <c r="C4">
        <v>2</v>
      </c>
    </row>
    <row r="5" spans="1:3" x14ac:dyDescent="0.3">
      <c r="A5" s="4">
        <v>3</v>
      </c>
      <c r="B5">
        <v>3</v>
      </c>
      <c r="C5">
        <v>3</v>
      </c>
    </row>
    <row r="6" spans="1:3" x14ac:dyDescent="0.3">
      <c r="A6" s="4">
        <v>4</v>
      </c>
      <c r="B6">
        <v>4</v>
      </c>
      <c r="C6">
        <v>4</v>
      </c>
    </row>
    <row r="7" spans="1:3" x14ac:dyDescent="0.3">
      <c r="A7" s="4">
        <v>5</v>
      </c>
      <c r="B7">
        <v>5</v>
      </c>
      <c r="C7">
        <v>5</v>
      </c>
    </row>
    <row r="8" spans="1:3" x14ac:dyDescent="0.3">
      <c r="A8" s="4">
        <v>6</v>
      </c>
      <c r="B8">
        <v>6</v>
      </c>
      <c r="C8">
        <v>6</v>
      </c>
    </row>
    <row r="9" spans="1:3" x14ac:dyDescent="0.3">
      <c r="A9" s="4">
        <v>7</v>
      </c>
      <c r="B9">
        <v>7</v>
      </c>
      <c r="C9">
        <v>7</v>
      </c>
    </row>
    <row r="10" spans="1:3" x14ac:dyDescent="0.3">
      <c r="A10" s="4">
        <v>8</v>
      </c>
      <c r="B10">
        <v>8</v>
      </c>
      <c r="C10">
        <v>8</v>
      </c>
    </row>
    <row r="11" spans="1:3" x14ac:dyDescent="0.3">
      <c r="A11" s="4">
        <v>9</v>
      </c>
      <c r="B11">
        <v>9</v>
      </c>
      <c r="C11">
        <v>9</v>
      </c>
    </row>
    <row r="12" spans="1:3" x14ac:dyDescent="0.3">
      <c r="A12" s="4">
        <v>10</v>
      </c>
      <c r="B12">
        <v>10</v>
      </c>
      <c r="C12">
        <v>10</v>
      </c>
    </row>
    <row r="13" spans="1:3" x14ac:dyDescent="0.3">
      <c r="A13" s="4">
        <v>11</v>
      </c>
      <c r="B13">
        <v>11</v>
      </c>
      <c r="C13">
        <v>11</v>
      </c>
    </row>
    <row r="14" spans="1:3" x14ac:dyDescent="0.3">
      <c r="A14" s="4">
        <v>12</v>
      </c>
      <c r="B14">
        <v>12</v>
      </c>
      <c r="C14">
        <v>12</v>
      </c>
    </row>
    <row r="15" spans="1:3" x14ac:dyDescent="0.3">
      <c r="A15" s="4">
        <v>13</v>
      </c>
      <c r="B15">
        <v>13</v>
      </c>
      <c r="C15">
        <v>13</v>
      </c>
    </row>
    <row r="16" spans="1:3" x14ac:dyDescent="0.3">
      <c r="A16" s="4">
        <v>14</v>
      </c>
      <c r="B16">
        <v>14</v>
      </c>
      <c r="C16">
        <v>14</v>
      </c>
    </row>
    <row r="17" spans="1:3" x14ac:dyDescent="0.3">
      <c r="A17" s="4">
        <v>15</v>
      </c>
      <c r="B17">
        <v>15</v>
      </c>
      <c r="C17">
        <v>15</v>
      </c>
    </row>
    <row r="18" spans="1:3" x14ac:dyDescent="0.3">
      <c r="A18" s="4">
        <v>16</v>
      </c>
      <c r="B18">
        <v>16</v>
      </c>
      <c r="C18">
        <v>16</v>
      </c>
    </row>
    <row r="19" spans="1:3" x14ac:dyDescent="0.3">
      <c r="A19" s="4">
        <v>17</v>
      </c>
      <c r="B19">
        <v>17</v>
      </c>
      <c r="C19">
        <v>17</v>
      </c>
    </row>
    <row r="20" spans="1:3" x14ac:dyDescent="0.3">
      <c r="A20" s="4">
        <v>18</v>
      </c>
      <c r="B20">
        <v>18</v>
      </c>
      <c r="C20">
        <v>18</v>
      </c>
    </row>
    <row r="21" spans="1:3" x14ac:dyDescent="0.3">
      <c r="A21" s="4">
        <v>19</v>
      </c>
      <c r="B21">
        <v>19</v>
      </c>
      <c r="C21">
        <v>19</v>
      </c>
    </row>
    <row r="22" spans="1:3" x14ac:dyDescent="0.3">
      <c r="A22" s="4">
        <v>20</v>
      </c>
      <c r="B22">
        <v>20</v>
      </c>
      <c r="C22">
        <v>20</v>
      </c>
    </row>
    <row r="23" spans="1:3" x14ac:dyDescent="0.3">
      <c r="A23" s="4">
        <v>21</v>
      </c>
      <c r="B23">
        <v>21</v>
      </c>
      <c r="C23">
        <v>21</v>
      </c>
    </row>
    <row r="24" spans="1:3" x14ac:dyDescent="0.3">
      <c r="A24" s="4">
        <v>22</v>
      </c>
      <c r="B24">
        <v>22</v>
      </c>
      <c r="C24">
        <v>22</v>
      </c>
    </row>
    <row r="25" spans="1:3" x14ac:dyDescent="0.3">
      <c r="A25" s="4">
        <v>23</v>
      </c>
      <c r="B25">
        <v>23</v>
      </c>
      <c r="C25">
        <v>23</v>
      </c>
    </row>
    <row r="26" spans="1:3" x14ac:dyDescent="0.3">
      <c r="A26" s="4">
        <v>24</v>
      </c>
      <c r="B26">
        <v>24</v>
      </c>
      <c r="C26">
        <v>24</v>
      </c>
    </row>
    <row r="27" spans="1:3" x14ac:dyDescent="0.3">
      <c r="A27" s="4">
        <v>25</v>
      </c>
      <c r="B27">
        <v>25</v>
      </c>
      <c r="C27">
        <v>25</v>
      </c>
    </row>
    <row r="28" spans="1:3" x14ac:dyDescent="0.3">
      <c r="A28" s="4">
        <v>26</v>
      </c>
      <c r="B28">
        <v>26</v>
      </c>
      <c r="C28">
        <v>26</v>
      </c>
    </row>
    <row r="29" spans="1:3" x14ac:dyDescent="0.3">
      <c r="A29" s="4">
        <v>27</v>
      </c>
      <c r="B29">
        <v>27</v>
      </c>
      <c r="C29">
        <v>27</v>
      </c>
    </row>
    <row r="30" spans="1:3" x14ac:dyDescent="0.3">
      <c r="A30" s="4">
        <v>28</v>
      </c>
      <c r="B30">
        <v>28</v>
      </c>
      <c r="C30">
        <v>28</v>
      </c>
    </row>
    <row r="31" spans="1:3" x14ac:dyDescent="0.3">
      <c r="A31" s="4">
        <v>29</v>
      </c>
      <c r="B31">
        <v>29</v>
      </c>
      <c r="C31">
        <v>29</v>
      </c>
    </row>
    <row r="32" spans="1:3" x14ac:dyDescent="0.3">
      <c r="A32" s="4">
        <v>30</v>
      </c>
      <c r="B32">
        <v>30</v>
      </c>
      <c r="C32">
        <v>30</v>
      </c>
    </row>
    <row r="33" spans="1:3" x14ac:dyDescent="0.3">
      <c r="A33" s="4">
        <v>31</v>
      </c>
      <c r="B33">
        <v>31</v>
      </c>
      <c r="C33">
        <v>31</v>
      </c>
    </row>
    <row r="34" spans="1:3" x14ac:dyDescent="0.3">
      <c r="A34" s="4">
        <v>32</v>
      </c>
      <c r="B34">
        <v>32</v>
      </c>
      <c r="C34">
        <v>32</v>
      </c>
    </row>
    <row r="35" spans="1:3" x14ac:dyDescent="0.3">
      <c r="A35" s="4">
        <v>33</v>
      </c>
      <c r="B35">
        <v>33</v>
      </c>
      <c r="C35">
        <v>33</v>
      </c>
    </row>
    <row r="36" spans="1:3" x14ac:dyDescent="0.3">
      <c r="A36" s="4">
        <v>34</v>
      </c>
      <c r="B36">
        <v>34</v>
      </c>
      <c r="C36">
        <v>34</v>
      </c>
    </row>
    <row r="37" spans="1:3" x14ac:dyDescent="0.3">
      <c r="A37" s="4">
        <v>35</v>
      </c>
      <c r="B37">
        <v>35</v>
      </c>
      <c r="C37">
        <v>35</v>
      </c>
    </row>
    <row r="38" spans="1:3" x14ac:dyDescent="0.3">
      <c r="A38" s="4">
        <v>36</v>
      </c>
      <c r="B38">
        <v>36</v>
      </c>
      <c r="C38">
        <v>36</v>
      </c>
    </row>
    <row r="39" spans="1:3" x14ac:dyDescent="0.3">
      <c r="A39" s="4">
        <v>37</v>
      </c>
      <c r="B39">
        <v>37</v>
      </c>
      <c r="C39">
        <v>37</v>
      </c>
    </row>
    <row r="40" spans="1:3" x14ac:dyDescent="0.3">
      <c r="A40" s="4">
        <v>38</v>
      </c>
      <c r="B40">
        <v>38</v>
      </c>
      <c r="C40">
        <v>38</v>
      </c>
    </row>
    <row r="41" spans="1:3" x14ac:dyDescent="0.3">
      <c r="A41" s="4">
        <v>39</v>
      </c>
      <c r="B41">
        <v>39</v>
      </c>
      <c r="C41">
        <v>39</v>
      </c>
    </row>
    <row r="42" spans="1:3" x14ac:dyDescent="0.3">
      <c r="A42" s="4">
        <v>40</v>
      </c>
      <c r="B42">
        <v>40</v>
      </c>
      <c r="C42">
        <v>40</v>
      </c>
    </row>
    <row r="43" spans="1:3" x14ac:dyDescent="0.3">
      <c r="A43" s="4">
        <v>41</v>
      </c>
      <c r="B43">
        <v>41</v>
      </c>
      <c r="C43">
        <v>41</v>
      </c>
    </row>
    <row r="44" spans="1:3" x14ac:dyDescent="0.3">
      <c r="A44" s="4">
        <v>42</v>
      </c>
      <c r="B44">
        <v>42</v>
      </c>
      <c r="C44">
        <v>42</v>
      </c>
    </row>
    <row r="45" spans="1:3" x14ac:dyDescent="0.3">
      <c r="A45" s="4">
        <v>43</v>
      </c>
      <c r="B45">
        <v>43</v>
      </c>
      <c r="C45">
        <v>43</v>
      </c>
    </row>
    <row r="46" spans="1:3" x14ac:dyDescent="0.3">
      <c r="A46" s="4">
        <v>44</v>
      </c>
      <c r="B46">
        <v>44</v>
      </c>
      <c r="C46">
        <v>44</v>
      </c>
    </row>
    <row r="47" spans="1:3" x14ac:dyDescent="0.3">
      <c r="A47" s="4">
        <v>45</v>
      </c>
      <c r="B47">
        <v>45</v>
      </c>
      <c r="C47">
        <v>45</v>
      </c>
    </row>
    <row r="48" spans="1:3" x14ac:dyDescent="0.3">
      <c r="A48" s="4">
        <v>46</v>
      </c>
      <c r="B48">
        <v>46</v>
      </c>
      <c r="C48">
        <v>46</v>
      </c>
    </row>
    <row r="49" spans="1:3" x14ac:dyDescent="0.3">
      <c r="A49" s="4">
        <v>47</v>
      </c>
      <c r="B49">
        <v>47</v>
      </c>
      <c r="C49">
        <v>47</v>
      </c>
    </row>
    <row r="50" spans="1:3" x14ac:dyDescent="0.3">
      <c r="A50" s="4">
        <v>48</v>
      </c>
      <c r="B50">
        <v>48</v>
      </c>
      <c r="C50">
        <v>48</v>
      </c>
    </row>
    <row r="51" spans="1:3" x14ac:dyDescent="0.3">
      <c r="A51" s="4">
        <v>49</v>
      </c>
      <c r="B51">
        <v>49</v>
      </c>
      <c r="C51">
        <v>49</v>
      </c>
    </row>
    <row r="52" spans="1:3" x14ac:dyDescent="0.3">
      <c r="A52" s="4">
        <v>50</v>
      </c>
      <c r="B52">
        <v>50</v>
      </c>
      <c r="C52">
        <v>50</v>
      </c>
    </row>
    <row r="53" spans="1:3" x14ac:dyDescent="0.3">
      <c r="A53" s="4">
        <v>51</v>
      </c>
      <c r="B53">
        <v>51</v>
      </c>
      <c r="C53">
        <v>51</v>
      </c>
    </row>
    <row r="54" spans="1:3" x14ac:dyDescent="0.3">
      <c r="A54" s="4">
        <v>52</v>
      </c>
      <c r="B54">
        <v>52</v>
      </c>
      <c r="C54">
        <v>52</v>
      </c>
    </row>
    <row r="55" spans="1:3" x14ac:dyDescent="0.3">
      <c r="A55" s="4">
        <v>53</v>
      </c>
      <c r="B55">
        <v>53</v>
      </c>
      <c r="C55">
        <v>53</v>
      </c>
    </row>
    <row r="56" spans="1:3" x14ac:dyDescent="0.3">
      <c r="A56" s="4">
        <v>54</v>
      </c>
      <c r="B56">
        <v>54</v>
      </c>
      <c r="C56">
        <v>54</v>
      </c>
    </row>
    <row r="57" spans="1:3" x14ac:dyDescent="0.3">
      <c r="A57" s="4">
        <v>55</v>
      </c>
      <c r="B57">
        <v>55</v>
      </c>
      <c r="C57">
        <v>55</v>
      </c>
    </row>
    <row r="58" spans="1:3" x14ac:dyDescent="0.3">
      <c r="A58" s="4">
        <v>56</v>
      </c>
      <c r="B58">
        <v>56</v>
      </c>
      <c r="C58">
        <v>56</v>
      </c>
    </row>
    <row r="59" spans="1:3" x14ac:dyDescent="0.3">
      <c r="A59" s="4">
        <v>57</v>
      </c>
      <c r="B59">
        <v>57</v>
      </c>
      <c r="C59">
        <v>57</v>
      </c>
    </row>
    <row r="60" spans="1:3" x14ac:dyDescent="0.3">
      <c r="A60" s="4">
        <v>58</v>
      </c>
      <c r="B60">
        <v>58</v>
      </c>
      <c r="C60">
        <v>58</v>
      </c>
    </row>
    <row r="61" spans="1:3" x14ac:dyDescent="0.3">
      <c r="A61" s="4">
        <v>59</v>
      </c>
      <c r="B61">
        <v>59</v>
      </c>
      <c r="C61">
        <v>59</v>
      </c>
    </row>
    <row r="62" spans="1:3" x14ac:dyDescent="0.3">
      <c r="A62" s="4">
        <v>60</v>
      </c>
      <c r="B62">
        <v>60</v>
      </c>
      <c r="C62">
        <v>60</v>
      </c>
    </row>
    <row r="63" spans="1:3" x14ac:dyDescent="0.3">
      <c r="A63" s="4">
        <v>61</v>
      </c>
      <c r="B63">
        <v>61</v>
      </c>
      <c r="C63">
        <v>61</v>
      </c>
    </row>
    <row r="64" spans="1:3" x14ac:dyDescent="0.3">
      <c r="A64" s="4">
        <v>62</v>
      </c>
      <c r="B64">
        <v>62</v>
      </c>
      <c r="C64">
        <v>62</v>
      </c>
    </row>
    <row r="65" spans="1:3" x14ac:dyDescent="0.3">
      <c r="A65" s="4">
        <v>63</v>
      </c>
      <c r="B65">
        <v>63</v>
      </c>
      <c r="C65">
        <v>63</v>
      </c>
    </row>
    <row r="66" spans="1:3" x14ac:dyDescent="0.3">
      <c r="A66" s="4">
        <v>64</v>
      </c>
      <c r="B66">
        <v>64</v>
      </c>
      <c r="C66">
        <v>64</v>
      </c>
    </row>
    <row r="67" spans="1:3" x14ac:dyDescent="0.3">
      <c r="A67" s="4">
        <v>65</v>
      </c>
      <c r="B67">
        <v>65</v>
      </c>
      <c r="C67">
        <v>65</v>
      </c>
    </row>
    <row r="68" spans="1:3" x14ac:dyDescent="0.3">
      <c r="A68" s="4">
        <v>66</v>
      </c>
      <c r="B68">
        <v>66</v>
      </c>
      <c r="C68">
        <v>66</v>
      </c>
    </row>
    <row r="69" spans="1:3" x14ac:dyDescent="0.3">
      <c r="A69" s="4">
        <v>67</v>
      </c>
      <c r="B69">
        <v>67</v>
      </c>
      <c r="C69">
        <v>67</v>
      </c>
    </row>
    <row r="70" spans="1:3" x14ac:dyDescent="0.3">
      <c r="A70" s="4">
        <v>68</v>
      </c>
      <c r="B70">
        <v>68</v>
      </c>
      <c r="C70">
        <v>68</v>
      </c>
    </row>
    <row r="71" spans="1:3" x14ac:dyDescent="0.3">
      <c r="A71" s="4">
        <v>69</v>
      </c>
      <c r="B71">
        <v>69</v>
      </c>
      <c r="C71">
        <v>69</v>
      </c>
    </row>
    <row r="72" spans="1:3" x14ac:dyDescent="0.3">
      <c r="A72" s="4">
        <v>70</v>
      </c>
      <c r="B72">
        <v>70</v>
      </c>
      <c r="C72">
        <v>70</v>
      </c>
    </row>
    <row r="73" spans="1:3" x14ac:dyDescent="0.3">
      <c r="A73" s="4">
        <v>71</v>
      </c>
      <c r="B73">
        <v>71</v>
      </c>
      <c r="C73">
        <v>71</v>
      </c>
    </row>
    <row r="74" spans="1:3" x14ac:dyDescent="0.3">
      <c r="A74" s="4">
        <v>72</v>
      </c>
      <c r="B74">
        <v>72</v>
      </c>
      <c r="C74">
        <v>72</v>
      </c>
    </row>
    <row r="75" spans="1:3" x14ac:dyDescent="0.3">
      <c r="A75" s="4">
        <v>73</v>
      </c>
      <c r="B75">
        <v>73</v>
      </c>
      <c r="C75">
        <v>73</v>
      </c>
    </row>
    <row r="76" spans="1:3" x14ac:dyDescent="0.3">
      <c r="A76" s="4">
        <v>74</v>
      </c>
      <c r="B76">
        <v>74</v>
      </c>
      <c r="C76">
        <v>74</v>
      </c>
    </row>
    <row r="77" spans="1:3" x14ac:dyDescent="0.3">
      <c r="A77" s="4">
        <v>75</v>
      </c>
      <c r="B77">
        <v>75</v>
      </c>
      <c r="C77">
        <v>75</v>
      </c>
    </row>
    <row r="78" spans="1:3" x14ac:dyDescent="0.3">
      <c r="A78" s="4">
        <v>76</v>
      </c>
      <c r="B78">
        <v>76</v>
      </c>
      <c r="C78">
        <v>76</v>
      </c>
    </row>
    <row r="79" spans="1:3" x14ac:dyDescent="0.3">
      <c r="A79" s="4">
        <v>77</v>
      </c>
      <c r="B79">
        <v>77</v>
      </c>
      <c r="C79">
        <v>77</v>
      </c>
    </row>
    <row r="80" spans="1:3" x14ac:dyDescent="0.3">
      <c r="A80" s="4">
        <v>78</v>
      </c>
      <c r="B80">
        <v>78</v>
      </c>
      <c r="C80">
        <v>78</v>
      </c>
    </row>
    <row r="81" spans="1:3" x14ac:dyDescent="0.3">
      <c r="A81" s="4">
        <v>79</v>
      </c>
      <c r="B81">
        <v>79</v>
      </c>
      <c r="C81">
        <v>79</v>
      </c>
    </row>
    <row r="82" spans="1:3" x14ac:dyDescent="0.3">
      <c r="A82" s="4">
        <v>80</v>
      </c>
      <c r="B82">
        <v>80</v>
      </c>
      <c r="C82">
        <v>80</v>
      </c>
    </row>
    <row r="83" spans="1:3" x14ac:dyDescent="0.3">
      <c r="A83" s="4">
        <v>81</v>
      </c>
      <c r="B83">
        <v>81</v>
      </c>
      <c r="C83">
        <v>81</v>
      </c>
    </row>
    <row r="84" spans="1:3" x14ac:dyDescent="0.3">
      <c r="A84" s="4">
        <v>82</v>
      </c>
      <c r="B84">
        <v>82</v>
      </c>
      <c r="C84">
        <v>82</v>
      </c>
    </row>
    <row r="85" spans="1:3" x14ac:dyDescent="0.3">
      <c r="A85" s="4">
        <v>83</v>
      </c>
      <c r="B85">
        <v>83</v>
      </c>
      <c r="C85">
        <v>83</v>
      </c>
    </row>
    <row r="86" spans="1:3" x14ac:dyDescent="0.3">
      <c r="A86" s="4">
        <v>84</v>
      </c>
      <c r="B86">
        <v>84</v>
      </c>
      <c r="C86">
        <v>84</v>
      </c>
    </row>
    <row r="87" spans="1:3" x14ac:dyDescent="0.3">
      <c r="A87" s="4">
        <v>85</v>
      </c>
      <c r="B87">
        <v>85</v>
      </c>
      <c r="C87">
        <v>85</v>
      </c>
    </row>
    <row r="88" spans="1:3" x14ac:dyDescent="0.3">
      <c r="A88" s="4">
        <v>86</v>
      </c>
      <c r="B88">
        <v>86</v>
      </c>
      <c r="C88">
        <v>86</v>
      </c>
    </row>
    <row r="89" spans="1:3" x14ac:dyDescent="0.3">
      <c r="A89" s="4">
        <v>87</v>
      </c>
      <c r="B89">
        <v>87</v>
      </c>
      <c r="C89">
        <v>87</v>
      </c>
    </row>
    <row r="90" spans="1:3" x14ac:dyDescent="0.3">
      <c r="A90" s="4">
        <v>88</v>
      </c>
      <c r="B90">
        <v>88</v>
      </c>
      <c r="C90">
        <v>88</v>
      </c>
    </row>
    <row r="91" spans="1:3" x14ac:dyDescent="0.3">
      <c r="A91" s="4">
        <v>89</v>
      </c>
      <c r="B91">
        <v>89</v>
      </c>
      <c r="C91">
        <v>89</v>
      </c>
    </row>
    <row r="92" spans="1:3" x14ac:dyDescent="0.3">
      <c r="A92" s="4">
        <v>90</v>
      </c>
      <c r="B92">
        <v>90</v>
      </c>
      <c r="C92">
        <v>90</v>
      </c>
    </row>
    <row r="93" spans="1:3" x14ac:dyDescent="0.3">
      <c r="A93" s="4">
        <v>91</v>
      </c>
      <c r="B93">
        <v>91</v>
      </c>
      <c r="C93">
        <v>91</v>
      </c>
    </row>
    <row r="94" spans="1:3" x14ac:dyDescent="0.3">
      <c r="A94" s="4">
        <v>92</v>
      </c>
      <c r="B94">
        <v>92</v>
      </c>
      <c r="C94">
        <v>92</v>
      </c>
    </row>
    <row r="95" spans="1:3" x14ac:dyDescent="0.3">
      <c r="A95" s="4">
        <v>93</v>
      </c>
      <c r="B95">
        <v>93</v>
      </c>
      <c r="C95">
        <v>93</v>
      </c>
    </row>
    <row r="96" spans="1:3" x14ac:dyDescent="0.3">
      <c r="A96" s="4">
        <v>94</v>
      </c>
      <c r="B96">
        <v>94</v>
      </c>
      <c r="C96">
        <v>94</v>
      </c>
    </row>
    <row r="97" spans="1:3" x14ac:dyDescent="0.3">
      <c r="A97" s="4">
        <v>95</v>
      </c>
      <c r="B97">
        <v>95</v>
      </c>
      <c r="C97">
        <v>95</v>
      </c>
    </row>
    <row r="98" spans="1:3" x14ac:dyDescent="0.3">
      <c r="A98" s="4">
        <v>96</v>
      </c>
      <c r="B98">
        <v>96</v>
      </c>
      <c r="C98">
        <v>96</v>
      </c>
    </row>
    <row r="99" spans="1:3" x14ac:dyDescent="0.3">
      <c r="A99" s="4">
        <v>97</v>
      </c>
      <c r="B99">
        <v>97</v>
      </c>
      <c r="C99">
        <v>97</v>
      </c>
    </row>
    <row r="100" spans="1:3" x14ac:dyDescent="0.3">
      <c r="C100">
        <v>98</v>
      </c>
    </row>
    <row r="101" spans="1:3" x14ac:dyDescent="0.3">
      <c r="C101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221"/>
  <sheetViews>
    <sheetView zoomScale="55" zoomScaleNormal="55" workbookViewId="0">
      <pane xSplit="6" ySplit="6" topLeftCell="AJ7" activePane="bottomRight" state="frozen"/>
      <selection pane="topRight" activeCell="G1" sqref="G1"/>
      <selection pane="bottomLeft" activeCell="A8" sqref="A8"/>
      <selection pane="bottomRight" activeCell="AR7" sqref="AR7:AR18"/>
    </sheetView>
  </sheetViews>
  <sheetFormatPr defaultRowHeight="14.4" x14ac:dyDescent="0.3"/>
  <cols>
    <col min="2" max="2" width="17.109375" customWidth="1"/>
    <col min="5" max="5" width="28.6640625" customWidth="1"/>
    <col min="6" max="6" width="13.21875" customWidth="1"/>
    <col min="7" max="7" width="9.21875" customWidth="1"/>
    <col min="15" max="15" width="8.6640625" customWidth="1"/>
    <col min="16" max="18" width="10.5546875" customWidth="1"/>
    <col min="19" max="20" width="18.21875" customWidth="1"/>
    <col min="21" max="21" width="21.6640625" customWidth="1"/>
    <col min="22" max="35" width="22.33203125" customWidth="1"/>
    <col min="36" max="36" width="26.77734375" customWidth="1"/>
    <col min="37" max="37" width="26.6640625" customWidth="1"/>
    <col min="38" max="38" width="41.88671875" customWidth="1"/>
    <col min="39" max="39" width="30.5546875" customWidth="1"/>
    <col min="40" max="42" width="22.33203125" customWidth="1"/>
    <col min="43" max="43" width="26.6640625" customWidth="1"/>
    <col min="44" max="44" width="22.33203125" customWidth="1"/>
    <col min="45" max="45" width="28.33203125" customWidth="1"/>
    <col min="46" max="46" width="28.21875" customWidth="1"/>
    <col min="47" max="47" width="18.6640625" customWidth="1"/>
    <col min="48" max="48" width="19.44140625" customWidth="1"/>
  </cols>
  <sheetData>
    <row r="1" spans="2:46" x14ac:dyDescent="0.3">
      <c r="J1" s="19" t="s">
        <v>88</v>
      </c>
      <c r="K1" s="19"/>
      <c r="L1" s="20"/>
    </row>
    <row r="2" spans="2:46" x14ac:dyDescent="0.3">
      <c r="J2" s="63" t="s">
        <v>118</v>
      </c>
      <c r="K2" s="63"/>
      <c r="L2" s="64"/>
      <c r="M2" s="64"/>
      <c r="N2" s="64"/>
    </row>
    <row r="3" spans="2:46" ht="15" thickBot="1" x14ac:dyDescent="0.35">
      <c r="J3" s="66" t="s">
        <v>162</v>
      </c>
      <c r="K3" s="66"/>
      <c r="L3" s="85" t="s">
        <v>164</v>
      </c>
      <c r="M3" s="85"/>
      <c r="N3" s="85"/>
    </row>
    <row r="4" spans="2:46" ht="18.600000000000001" thickBot="1" x14ac:dyDescent="0.4">
      <c r="H4" s="442" t="s">
        <v>142</v>
      </c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5"/>
      <c r="T4" s="5"/>
      <c r="U4" s="5"/>
    </row>
    <row r="5" spans="2:46" ht="58.95" customHeight="1" thickBot="1" x14ac:dyDescent="0.35">
      <c r="E5" s="436" t="s">
        <v>0</v>
      </c>
      <c r="F5" s="443" t="s">
        <v>111</v>
      </c>
      <c r="G5" s="436" t="s">
        <v>101</v>
      </c>
      <c r="H5" s="436" t="s">
        <v>19</v>
      </c>
      <c r="I5" s="445" t="s">
        <v>82</v>
      </c>
      <c r="J5" s="446" t="s">
        <v>31</v>
      </c>
      <c r="K5" s="446" t="s">
        <v>31</v>
      </c>
      <c r="L5" s="436" t="s">
        <v>81</v>
      </c>
      <c r="M5" s="436" t="s">
        <v>81</v>
      </c>
      <c r="N5" s="87" t="s">
        <v>3</v>
      </c>
      <c r="O5" s="436" t="s">
        <v>25</v>
      </c>
      <c r="P5" s="436"/>
      <c r="Q5" s="436" t="s">
        <v>26</v>
      </c>
      <c r="R5" s="436"/>
      <c r="S5" s="437" t="s">
        <v>86</v>
      </c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9"/>
    </row>
    <row r="6" spans="2:46" ht="80.55" customHeight="1" thickBot="1" x14ac:dyDescent="0.4">
      <c r="D6" s="3" t="s">
        <v>8</v>
      </c>
      <c r="E6" s="436"/>
      <c r="F6" s="444"/>
      <c r="G6" s="436"/>
      <c r="H6" s="436"/>
      <c r="I6" s="445"/>
      <c r="J6" s="446"/>
      <c r="K6" s="446"/>
      <c r="L6" s="436"/>
      <c r="M6" s="436"/>
      <c r="N6" s="87" t="s">
        <v>4</v>
      </c>
      <c r="O6" s="87" t="s">
        <v>4</v>
      </c>
      <c r="P6" s="87" t="s">
        <v>5</v>
      </c>
      <c r="Q6" s="436"/>
      <c r="R6" s="436"/>
      <c r="S6" s="7" t="s">
        <v>84</v>
      </c>
      <c r="T6" s="87" t="s">
        <v>85</v>
      </c>
      <c r="U6" s="87" t="s">
        <v>141</v>
      </c>
      <c r="V6" s="6" t="s">
        <v>151</v>
      </c>
      <c r="W6" s="6" t="s">
        <v>104</v>
      </c>
      <c r="X6" s="22" t="s">
        <v>105</v>
      </c>
      <c r="Y6" s="6" t="s">
        <v>87</v>
      </c>
      <c r="Z6" s="22" t="s">
        <v>106</v>
      </c>
      <c r="AA6" s="6" t="s">
        <v>102</v>
      </c>
      <c r="AB6" s="65" t="s">
        <v>107</v>
      </c>
      <c r="AC6" s="23" t="s">
        <v>108</v>
      </c>
      <c r="AD6" s="65" t="s">
        <v>109</v>
      </c>
      <c r="AE6" s="23" t="s">
        <v>110</v>
      </c>
      <c r="AF6" s="44" t="s">
        <v>97</v>
      </c>
      <c r="AG6" s="86" t="s">
        <v>96</v>
      </c>
      <c r="AH6" s="86" t="s">
        <v>173</v>
      </c>
      <c r="AI6" s="86" t="s">
        <v>171</v>
      </c>
      <c r="AJ6" s="86" t="s">
        <v>95</v>
      </c>
      <c r="AK6" s="86" t="s">
        <v>94</v>
      </c>
      <c r="AL6" s="15" t="s">
        <v>93</v>
      </c>
      <c r="AM6" s="15" t="s">
        <v>103</v>
      </c>
      <c r="AN6" s="86" t="s">
        <v>90</v>
      </c>
      <c r="AO6" s="86" t="s">
        <v>98</v>
      </c>
      <c r="AP6" s="86" t="s">
        <v>99</v>
      </c>
      <c r="AQ6" s="86" t="s">
        <v>100</v>
      </c>
      <c r="AR6" s="86" t="s">
        <v>153</v>
      </c>
      <c r="AS6" s="86" t="s">
        <v>152</v>
      </c>
      <c r="AT6" s="1" t="s">
        <v>83</v>
      </c>
    </row>
    <row r="7" spans="2:46" ht="28.95" customHeight="1" thickBot="1" x14ac:dyDescent="0.35">
      <c r="B7" s="441" t="str">
        <f>L3</f>
        <v>Firma Y</v>
      </c>
      <c r="C7" s="416" t="s">
        <v>114</v>
      </c>
      <c r="D7" s="419" t="s">
        <v>9</v>
      </c>
      <c r="E7" s="25" t="s">
        <v>17</v>
      </c>
      <c r="F7" s="2"/>
      <c r="G7" s="62">
        <v>8.1</v>
      </c>
      <c r="H7" s="51" t="s">
        <v>42</v>
      </c>
      <c r="I7" s="51">
        <v>17</v>
      </c>
      <c r="J7" s="51" t="s">
        <v>43</v>
      </c>
      <c r="K7" s="51">
        <v>72</v>
      </c>
      <c r="L7" s="51">
        <v>58</v>
      </c>
      <c r="M7" s="51">
        <v>55</v>
      </c>
      <c r="N7" s="51">
        <v>1.77</v>
      </c>
      <c r="O7" s="51">
        <v>35.69</v>
      </c>
      <c r="P7" s="51"/>
      <c r="Q7" s="432">
        <f>O7/N7</f>
        <v>20.163841807909602</v>
      </c>
      <c r="R7" s="432"/>
      <c r="S7" s="10"/>
      <c r="T7" s="9">
        <f>S7/12</f>
        <v>0</v>
      </c>
      <c r="U7" s="9">
        <f>S7/365</f>
        <v>0</v>
      </c>
      <c r="V7" s="21">
        <f t="shared" ref="V7:V18" si="0">(T7*100)/$T$19</f>
        <v>0</v>
      </c>
      <c r="W7" s="11">
        <f t="shared" ref="W7:W18" si="1">I7%*S7</f>
        <v>0</v>
      </c>
      <c r="X7" s="423">
        <f>W19/365</f>
        <v>22.16</v>
      </c>
      <c r="Y7" s="11">
        <f t="shared" ref="Y7:Y18" si="2">W7*K7%</f>
        <v>0</v>
      </c>
      <c r="Z7" s="423">
        <f>Y19/365</f>
        <v>16.787400000000002</v>
      </c>
      <c r="AA7" s="11">
        <f>(Y7*100)/$Y$19</f>
        <v>0</v>
      </c>
      <c r="AB7" s="430">
        <v>5</v>
      </c>
      <c r="AC7" s="408">
        <f>(X7-AB7)/X7</f>
        <v>0.77436823104693142</v>
      </c>
      <c r="AD7" s="411">
        <v>4</v>
      </c>
      <c r="AE7" s="408">
        <f>(Z7-AD7)/Z7</f>
        <v>0.76172605644709723</v>
      </c>
      <c r="AF7" s="47">
        <v>280</v>
      </c>
      <c r="AG7" s="8">
        <f t="shared" ref="AG7:AG18" si="3">Y7*AF7</f>
        <v>0</v>
      </c>
      <c r="AH7" s="434"/>
      <c r="AI7" s="396"/>
      <c r="AJ7" s="8">
        <f t="shared" ref="AJ7:AJ18" si="4">IFERROR(AG7/S7,0)</f>
        <v>0</v>
      </c>
      <c r="AK7" s="8">
        <f>AG7/365</f>
        <v>0</v>
      </c>
      <c r="AL7" s="8">
        <f t="shared" ref="AL7:AL18" si="5">IFERROR(AG7*M7%/365,0)</f>
        <v>0</v>
      </c>
      <c r="AM7" s="8">
        <f>AL7*365</f>
        <v>0</v>
      </c>
      <c r="AN7" s="8">
        <f>AL7*37</f>
        <v>0</v>
      </c>
      <c r="AO7" s="8">
        <f>AN7/3600/24*0.39</f>
        <v>0</v>
      </c>
      <c r="AP7" s="8">
        <f>AO7*1000*24</f>
        <v>0</v>
      </c>
      <c r="AQ7" s="414"/>
      <c r="AR7" s="396">
        <f>(Z7*1000)/3.7</f>
        <v>4537.135135135135</v>
      </c>
      <c r="AS7" s="396">
        <f>AR7/U19</f>
        <v>42.010510510510507</v>
      </c>
      <c r="AT7" t="s">
        <v>41</v>
      </c>
    </row>
    <row r="8" spans="2:46" ht="29.4" thickBot="1" x14ac:dyDescent="0.35">
      <c r="B8" s="441"/>
      <c r="C8" s="417"/>
      <c r="D8" s="420"/>
      <c r="E8" s="25" t="s">
        <v>45</v>
      </c>
      <c r="F8" s="2"/>
      <c r="G8" s="49">
        <v>5.09</v>
      </c>
      <c r="H8" s="50" t="s">
        <v>46</v>
      </c>
      <c r="I8" s="51">
        <v>33</v>
      </c>
      <c r="J8" s="52" t="s">
        <v>47</v>
      </c>
      <c r="K8" s="51">
        <v>57</v>
      </c>
      <c r="L8" s="50">
        <v>55</v>
      </c>
      <c r="M8" s="51">
        <v>55</v>
      </c>
      <c r="N8" s="50">
        <v>4.33</v>
      </c>
      <c r="O8" s="50">
        <v>42.82</v>
      </c>
      <c r="P8" s="50"/>
      <c r="Q8" s="399">
        <f>O8/N8</f>
        <v>9.8891454965357966</v>
      </c>
      <c r="R8" s="399"/>
      <c r="S8" s="12">
        <f>19*365</f>
        <v>6935</v>
      </c>
      <c r="T8" s="9">
        <f>S8/12</f>
        <v>577.91666666666663</v>
      </c>
      <c r="U8" s="9">
        <f>S8/365</f>
        <v>19</v>
      </c>
      <c r="V8" s="21">
        <f t="shared" si="0"/>
        <v>17.592592592592595</v>
      </c>
      <c r="W8" s="11">
        <f t="shared" si="1"/>
        <v>2288.5500000000002</v>
      </c>
      <c r="X8" s="424"/>
      <c r="Y8" s="11">
        <f t="shared" si="2"/>
        <v>1304.4735000000001</v>
      </c>
      <c r="Z8" s="424"/>
      <c r="AA8" s="92">
        <f t="shared" ref="AA8:AA18" si="6">(Y8*100)/$Y$19</f>
        <v>21.289181171592979</v>
      </c>
      <c r="AB8" s="431"/>
      <c r="AC8" s="409"/>
      <c r="AD8" s="412"/>
      <c r="AE8" s="409"/>
      <c r="AF8" s="45">
        <v>300</v>
      </c>
      <c r="AG8" s="8">
        <f t="shared" si="3"/>
        <v>391342.05000000005</v>
      </c>
      <c r="AH8" s="435"/>
      <c r="AI8" s="397"/>
      <c r="AJ8" s="8">
        <f t="shared" si="4"/>
        <v>56.430000000000007</v>
      </c>
      <c r="AK8" s="8">
        <f>AG8/365</f>
        <v>1072.17</v>
      </c>
      <c r="AL8" s="8">
        <f t="shared" si="5"/>
        <v>589.69350000000009</v>
      </c>
      <c r="AM8" s="8">
        <f t="shared" ref="AM8:AM18" si="7">AL8*365</f>
        <v>215238.12750000003</v>
      </c>
      <c r="AN8" s="8">
        <f>AL8*37</f>
        <v>21818.659500000002</v>
      </c>
      <c r="AO8" s="8">
        <f>AN8/3600/24*0.39</f>
        <v>9.8487004687500004E-2</v>
      </c>
      <c r="AP8" s="8">
        <f>AO8*1000*24</f>
        <v>2363.6881125</v>
      </c>
      <c r="AQ8" s="381"/>
      <c r="AR8" s="397"/>
      <c r="AS8" s="397"/>
      <c r="AT8" t="s">
        <v>41</v>
      </c>
    </row>
    <row r="9" spans="2:46" ht="28.95" customHeight="1" thickBot="1" x14ac:dyDescent="0.35">
      <c r="B9" s="441"/>
      <c r="C9" s="417"/>
      <c r="D9" s="421"/>
      <c r="E9" s="25" t="s">
        <v>6</v>
      </c>
      <c r="F9" s="2"/>
      <c r="G9" s="49">
        <v>7.8</v>
      </c>
      <c r="H9" s="50" t="s">
        <v>48</v>
      </c>
      <c r="I9" s="51">
        <v>20</v>
      </c>
      <c r="J9" s="50" t="s">
        <v>154</v>
      </c>
      <c r="K9" s="51">
        <v>68</v>
      </c>
      <c r="L9" s="50">
        <v>58</v>
      </c>
      <c r="M9" s="51">
        <v>60</v>
      </c>
      <c r="N9" s="50">
        <v>2.15</v>
      </c>
      <c r="O9" s="50">
        <v>38.4</v>
      </c>
      <c r="P9" s="50"/>
      <c r="Q9" s="399">
        <f>O9/N9</f>
        <v>17.86046511627907</v>
      </c>
      <c r="R9" s="399"/>
      <c r="S9" s="12"/>
      <c r="T9" s="9">
        <f>S9/12</f>
        <v>0</v>
      </c>
      <c r="U9" s="9">
        <f>S9/365</f>
        <v>0</v>
      </c>
      <c r="V9" s="21">
        <f t="shared" si="0"/>
        <v>0</v>
      </c>
      <c r="W9" s="11">
        <f t="shared" si="1"/>
        <v>0</v>
      </c>
      <c r="X9" s="424"/>
      <c r="Y9" s="11">
        <f t="shared" si="2"/>
        <v>0</v>
      </c>
      <c r="Z9" s="424"/>
      <c r="AA9" s="92">
        <f t="shared" si="6"/>
        <v>0</v>
      </c>
      <c r="AB9" s="431"/>
      <c r="AC9" s="409"/>
      <c r="AD9" s="412"/>
      <c r="AE9" s="409"/>
      <c r="AF9" s="45">
        <v>280</v>
      </c>
      <c r="AG9" s="8">
        <f t="shared" si="3"/>
        <v>0</v>
      </c>
      <c r="AH9" s="435"/>
      <c r="AI9" s="397"/>
      <c r="AJ9" s="8">
        <f t="shared" si="4"/>
        <v>0</v>
      </c>
      <c r="AK9" s="8">
        <f>AG9/365</f>
        <v>0</v>
      </c>
      <c r="AL9" s="8">
        <f t="shared" si="5"/>
        <v>0</v>
      </c>
      <c r="AM9" s="8">
        <f t="shared" si="7"/>
        <v>0</v>
      </c>
      <c r="AN9" s="8">
        <f>AL9*37</f>
        <v>0</v>
      </c>
      <c r="AO9" s="8">
        <f>AN9/3600/24*0.39</f>
        <v>0</v>
      </c>
      <c r="AP9" s="8">
        <f>AO9*1000*24</f>
        <v>0</v>
      </c>
      <c r="AQ9" s="381"/>
      <c r="AR9" s="397"/>
      <c r="AS9" s="397"/>
      <c r="AT9" t="s">
        <v>41</v>
      </c>
    </row>
    <row r="10" spans="2:46" ht="28.95" customHeight="1" thickBot="1" x14ac:dyDescent="0.35">
      <c r="B10" s="441"/>
      <c r="C10" s="417"/>
      <c r="D10" s="88" t="s">
        <v>10</v>
      </c>
      <c r="E10" s="25" t="s">
        <v>18</v>
      </c>
      <c r="F10" s="2"/>
      <c r="G10" s="53" t="s">
        <v>22</v>
      </c>
      <c r="H10" s="54" t="s">
        <v>20</v>
      </c>
      <c r="I10" s="51">
        <v>8</v>
      </c>
      <c r="J10" s="52" t="s">
        <v>23</v>
      </c>
      <c r="K10" s="51">
        <v>80</v>
      </c>
      <c r="L10" s="52" t="s">
        <v>44</v>
      </c>
      <c r="M10" s="51">
        <v>50</v>
      </c>
      <c r="N10" s="55" t="s">
        <v>24</v>
      </c>
      <c r="O10" s="50"/>
      <c r="P10" s="50"/>
      <c r="Q10" s="399">
        <f>O10/N10</f>
        <v>0</v>
      </c>
      <c r="R10" s="399"/>
      <c r="S10" s="12"/>
      <c r="T10" s="9">
        <f t="shared" ref="T10:T18" si="8">S10/12</f>
        <v>0</v>
      </c>
      <c r="U10" s="9">
        <f t="shared" ref="U10:U18" si="9">S10/365</f>
        <v>0</v>
      </c>
      <c r="V10" s="21">
        <f t="shared" si="0"/>
        <v>0</v>
      </c>
      <c r="W10" s="11">
        <f t="shared" si="1"/>
        <v>0</v>
      </c>
      <c r="X10" s="424"/>
      <c r="Y10" s="11">
        <f t="shared" si="2"/>
        <v>0</v>
      </c>
      <c r="Z10" s="424"/>
      <c r="AA10" s="92">
        <f t="shared" si="6"/>
        <v>0</v>
      </c>
      <c r="AB10" s="431"/>
      <c r="AC10" s="409"/>
      <c r="AD10" s="412"/>
      <c r="AE10" s="409"/>
      <c r="AF10" s="45">
        <v>200</v>
      </c>
      <c r="AG10" s="8">
        <f t="shared" si="3"/>
        <v>0</v>
      </c>
      <c r="AH10" s="435"/>
      <c r="AI10" s="397"/>
      <c r="AJ10" s="8">
        <f t="shared" si="4"/>
        <v>0</v>
      </c>
      <c r="AK10" s="8">
        <f t="shared" ref="AK10:AK18" si="10">AG10/365</f>
        <v>0</v>
      </c>
      <c r="AL10" s="8">
        <f t="shared" si="5"/>
        <v>0</v>
      </c>
      <c r="AM10" s="8">
        <f t="shared" si="7"/>
        <v>0</v>
      </c>
      <c r="AN10" s="8">
        <f t="shared" ref="AN10:AN18" si="11">AL10*37</f>
        <v>0</v>
      </c>
      <c r="AO10" s="8">
        <f t="shared" ref="AO10:AO18" si="12">AN10/3600/24*0.39</f>
        <v>0</v>
      </c>
      <c r="AP10" s="8">
        <f t="shared" ref="AP10:AP18" si="13">AO10*1000*24</f>
        <v>0</v>
      </c>
      <c r="AQ10" s="381"/>
      <c r="AR10" s="397"/>
      <c r="AS10" s="397"/>
      <c r="AT10" t="s">
        <v>40</v>
      </c>
    </row>
    <row r="11" spans="2:46" ht="28.95" customHeight="1" thickBot="1" x14ac:dyDescent="0.35">
      <c r="B11" s="441"/>
      <c r="C11" s="417"/>
      <c r="D11" s="88" t="s">
        <v>11</v>
      </c>
      <c r="E11" s="26" t="s">
        <v>58</v>
      </c>
      <c r="F11" s="24" t="s">
        <v>112</v>
      </c>
      <c r="G11" s="56" t="s">
        <v>67</v>
      </c>
      <c r="H11" s="50" t="s">
        <v>59</v>
      </c>
      <c r="I11" s="51">
        <v>12</v>
      </c>
      <c r="J11" s="50">
        <v>89</v>
      </c>
      <c r="K11" s="51">
        <v>89</v>
      </c>
      <c r="L11" s="50" t="s">
        <v>57</v>
      </c>
      <c r="M11" s="51">
        <v>51</v>
      </c>
      <c r="N11" s="50">
        <v>1.4</v>
      </c>
      <c r="O11" s="50"/>
      <c r="P11" s="50"/>
      <c r="Q11" s="399" t="s">
        <v>70</v>
      </c>
      <c r="R11" s="399"/>
      <c r="S11" s="12">
        <f>25*365</f>
        <v>9125</v>
      </c>
      <c r="T11" s="9">
        <f t="shared" si="8"/>
        <v>760.41666666666663</v>
      </c>
      <c r="U11" s="9">
        <f t="shared" si="9"/>
        <v>25</v>
      </c>
      <c r="V11" s="21">
        <f t="shared" si="0"/>
        <v>23.148148148148149</v>
      </c>
      <c r="W11" s="11">
        <f t="shared" si="1"/>
        <v>1095</v>
      </c>
      <c r="X11" s="424"/>
      <c r="Y11" s="11">
        <f t="shared" si="2"/>
        <v>974.55000000000007</v>
      </c>
      <c r="Z11" s="424"/>
      <c r="AA11" s="93">
        <f t="shared" si="6"/>
        <v>15.904785732156258</v>
      </c>
      <c r="AB11" s="431"/>
      <c r="AC11" s="409"/>
      <c r="AD11" s="412"/>
      <c r="AE11" s="409"/>
      <c r="AF11" s="45">
        <v>300</v>
      </c>
      <c r="AG11" s="8">
        <f t="shared" si="3"/>
        <v>292365</v>
      </c>
      <c r="AH11" s="435"/>
      <c r="AI11" s="397"/>
      <c r="AJ11" s="8">
        <f t="shared" si="4"/>
        <v>32.04</v>
      </c>
      <c r="AK11" s="8">
        <f t="shared" si="10"/>
        <v>801</v>
      </c>
      <c r="AL11" s="8">
        <f t="shared" si="5"/>
        <v>408.51</v>
      </c>
      <c r="AM11" s="8">
        <f t="shared" si="7"/>
        <v>149106.15</v>
      </c>
      <c r="AN11" s="8">
        <f t="shared" si="11"/>
        <v>15114.869999999999</v>
      </c>
      <c r="AO11" s="8">
        <f t="shared" si="12"/>
        <v>6.8226843750000002E-2</v>
      </c>
      <c r="AP11" s="8">
        <f t="shared" si="13"/>
        <v>1637.44425</v>
      </c>
      <c r="AQ11" s="381"/>
      <c r="AR11" s="397"/>
      <c r="AS11" s="397"/>
      <c r="AT11" t="s">
        <v>71</v>
      </c>
    </row>
    <row r="12" spans="2:46" ht="29.4" thickBot="1" x14ac:dyDescent="0.35">
      <c r="B12" s="441"/>
      <c r="C12" s="417"/>
      <c r="D12" s="426" t="s">
        <v>12</v>
      </c>
      <c r="E12" s="25" t="s">
        <v>27</v>
      </c>
      <c r="F12" s="2"/>
      <c r="G12" s="57" t="s">
        <v>29</v>
      </c>
      <c r="H12" s="50" t="s">
        <v>28</v>
      </c>
      <c r="I12" s="51">
        <v>25</v>
      </c>
      <c r="J12" s="50" t="s">
        <v>60</v>
      </c>
      <c r="K12" s="51">
        <v>90</v>
      </c>
      <c r="L12" s="50">
        <v>65</v>
      </c>
      <c r="M12" s="51">
        <v>60</v>
      </c>
      <c r="N12" s="55" t="s">
        <v>61</v>
      </c>
      <c r="O12" s="50"/>
      <c r="P12" s="50"/>
      <c r="Q12" s="399">
        <v>35</v>
      </c>
      <c r="R12" s="399"/>
      <c r="S12" s="12"/>
      <c r="T12" s="9">
        <f t="shared" si="8"/>
        <v>0</v>
      </c>
      <c r="U12" s="9">
        <f t="shared" si="9"/>
        <v>0</v>
      </c>
      <c r="V12" s="21">
        <f t="shared" si="0"/>
        <v>0</v>
      </c>
      <c r="W12" s="11">
        <f t="shared" si="1"/>
        <v>0</v>
      </c>
      <c r="X12" s="424"/>
      <c r="Y12" s="11">
        <f t="shared" si="2"/>
        <v>0</v>
      </c>
      <c r="Z12" s="424"/>
      <c r="AA12" s="92">
        <f t="shared" si="6"/>
        <v>0</v>
      </c>
      <c r="AB12" s="431"/>
      <c r="AC12" s="409"/>
      <c r="AD12" s="412"/>
      <c r="AE12" s="409"/>
      <c r="AF12" s="45">
        <v>590</v>
      </c>
      <c r="AG12" s="8">
        <f t="shared" si="3"/>
        <v>0</v>
      </c>
      <c r="AH12" s="435"/>
      <c r="AI12" s="397"/>
      <c r="AJ12" s="8">
        <f t="shared" si="4"/>
        <v>0</v>
      </c>
      <c r="AK12" s="8">
        <f t="shared" si="10"/>
        <v>0</v>
      </c>
      <c r="AL12" s="8">
        <f t="shared" si="5"/>
        <v>0</v>
      </c>
      <c r="AM12" s="8">
        <f t="shared" si="7"/>
        <v>0</v>
      </c>
      <c r="AN12" s="8">
        <f t="shared" si="11"/>
        <v>0</v>
      </c>
      <c r="AO12" s="8">
        <f t="shared" si="12"/>
        <v>0</v>
      </c>
      <c r="AP12" s="8">
        <f t="shared" si="13"/>
        <v>0</v>
      </c>
      <c r="AQ12" s="381"/>
      <c r="AR12" s="397"/>
      <c r="AS12" s="397"/>
      <c r="AT12" t="s">
        <v>68</v>
      </c>
    </row>
    <row r="13" spans="2:46" ht="29.4" thickBot="1" x14ac:dyDescent="0.35">
      <c r="B13" s="441"/>
      <c r="C13" s="417"/>
      <c r="D13" s="426"/>
      <c r="E13" s="27" t="s">
        <v>158</v>
      </c>
      <c r="F13" s="2"/>
      <c r="G13" s="57" t="s">
        <v>75</v>
      </c>
      <c r="H13" s="50" t="s">
        <v>155</v>
      </c>
      <c r="I13" s="51">
        <v>12</v>
      </c>
      <c r="J13" s="50" t="s">
        <v>62</v>
      </c>
      <c r="K13" s="51">
        <v>85</v>
      </c>
      <c r="L13" s="50" t="s">
        <v>63</v>
      </c>
      <c r="M13" s="51">
        <v>55</v>
      </c>
      <c r="N13" s="50"/>
      <c r="O13" s="50"/>
      <c r="P13" s="50"/>
      <c r="Q13" s="400"/>
      <c r="R13" s="401"/>
      <c r="S13" s="13">
        <f>10*365</f>
        <v>3650</v>
      </c>
      <c r="T13" s="9">
        <f t="shared" si="8"/>
        <v>304.16666666666669</v>
      </c>
      <c r="U13" s="9">
        <f t="shared" si="9"/>
        <v>10</v>
      </c>
      <c r="V13" s="21">
        <f t="shared" si="0"/>
        <v>9.2592592592592613</v>
      </c>
      <c r="W13" s="11">
        <f t="shared" si="1"/>
        <v>438</v>
      </c>
      <c r="X13" s="424"/>
      <c r="Y13" s="11">
        <f t="shared" si="2"/>
        <v>372.3</v>
      </c>
      <c r="Z13" s="424"/>
      <c r="AA13" s="92">
        <f t="shared" si="6"/>
        <v>6.0759855605990198</v>
      </c>
      <c r="AB13" s="431"/>
      <c r="AC13" s="409"/>
      <c r="AD13" s="412"/>
      <c r="AE13" s="409"/>
      <c r="AF13" s="45">
        <v>500</v>
      </c>
      <c r="AG13" s="8">
        <f t="shared" si="3"/>
        <v>186150</v>
      </c>
      <c r="AH13" s="125">
        <f>AK19/AR7</f>
        <v>1.1164534114871869</v>
      </c>
      <c r="AI13" s="124">
        <f>AK19/(Z7-AD7)</f>
        <v>396.1321300655332</v>
      </c>
      <c r="AJ13" s="8">
        <f t="shared" si="4"/>
        <v>51</v>
      </c>
      <c r="AK13" s="8">
        <f t="shared" si="10"/>
        <v>510</v>
      </c>
      <c r="AL13" s="8">
        <f t="shared" si="5"/>
        <v>280.50000000000006</v>
      </c>
      <c r="AM13" s="8">
        <f t="shared" si="7"/>
        <v>102382.50000000001</v>
      </c>
      <c r="AN13" s="8">
        <f t="shared" si="11"/>
        <v>10378.500000000002</v>
      </c>
      <c r="AO13" s="8">
        <f t="shared" si="12"/>
        <v>4.684739583333334E-2</v>
      </c>
      <c r="AP13" s="8">
        <f t="shared" si="13"/>
        <v>1124.3375000000001</v>
      </c>
      <c r="AQ13" s="128">
        <v>11000000</v>
      </c>
      <c r="AR13" s="397"/>
      <c r="AS13" s="397"/>
      <c r="AT13" t="s">
        <v>49</v>
      </c>
    </row>
    <row r="14" spans="2:46" ht="29.4" thickBot="1" x14ac:dyDescent="0.35">
      <c r="B14" s="441"/>
      <c r="C14" s="417"/>
      <c r="D14" s="426"/>
      <c r="E14" s="25" t="s">
        <v>64</v>
      </c>
      <c r="F14" s="2"/>
      <c r="G14" s="57" t="s">
        <v>79</v>
      </c>
      <c r="H14" s="55" t="s">
        <v>21</v>
      </c>
      <c r="I14" s="51">
        <v>8</v>
      </c>
      <c r="J14" s="50" t="s">
        <v>65</v>
      </c>
      <c r="K14" s="51">
        <v>83</v>
      </c>
      <c r="L14" s="50" t="s">
        <v>66</v>
      </c>
      <c r="M14" s="51">
        <v>58</v>
      </c>
      <c r="N14" s="55" t="s">
        <v>73</v>
      </c>
      <c r="O14" s="50"/>
      <c r="P14" s="50"/>
      <c r="Q14" s="400"/>
      <c r="R14" s="401"/>
      <c r="S14" s="13"/>
      <c r="T14" s="9">
        <f t="shared" si="8"/>
        <v>0</v>
      </c>
      <c r="U14" s="9">
        <f t="shared" si="9"/>
        <v>0</v>
      </c>
      <c r="V14" s="21">
        <f t="shared" si="0"/>
        <v>0</v>
      </c>
      <c r="W14" s="11">
        <f t="shared" si="1"/>
        <v>0</v>
      </c>
      <c r="X14" s="424"/>
      <c r="Y14" s="11">
        <f t="shared" si="2"/>
        <v>0</v>
      </c>
      <c r="Z14" s="424"/>
      <c r="AA14" s="92">
        <f t="shared" si="6"/>
        <v>0</v>
      </c>
      <c r="AB14" s="431"/>
      <c r="AC14" s="409"/>
      <c r="AD14" s="412"/>
      <c r="AE14" s="409"/>
      <c r="AF14" s="45">
        <v>400</v>
      </c>
      <c r="AG14" s="8">
        <f t="shared" si="3"/>
        <v>0</v>
      </c>
      <c r="AH14" s="435"/>
      <c r="AI14" s="397"/>
      <c r="AJ14" s="8">
        <f t="shared" si="4"/>
        <v>0</v>
      </c>
      <c r="AK14" s="8">
        <f t="shared" si="10"/>
        <v>0</v>
      </c>
      <c r="AL14" s="8">
        <f t="shared" si="5"/>
        <v>0</v>
      </c>
      <c r="AM14" s="8">
        <f t="shared" si="7"/>
        <v>0</v>
      </c>
      <c r="AN14" s="8">
        <f t="shared" si="11"/>
        <v>0</v>
      </c>
      <c r="AO14" s="8">
        <f t="shared" si="12"/>
        <v>0</v>
      </c>
      <c r="AP14" s="8">
        <f t="shared" si="13"/>
        <v>0</v>
      </c>
      <c r="AQ14" s="381"/>
      <c r="AR14" s="397"/>
      <c r="AS14" s="397"/>
      <c r="AT14" t="s">
        <v>74</v>
      </c>
    </row>
    <row r="15" spans="2:46" ht="29.4" thickBot="1" x14ac:dyDescent="0.35">
      <c r="B15" s="441"/>
      <c r="C15" s="417"/>
      <c r="D15" s="88" t="s">
        <v>13</v>
      </c>
      <c r="E15" s="25" t="s">
        <v>156</v>
      </c>
      <c r="F15" s="24"/>
      <c r="G15" s="49" t="s">
        <v>37</v>
      </c>
      <c r="H15" s="50" t="s">
        <v>38</v>
      </c>
      <c r="I15" s="51">
        <v>40</v>
      </c>
      <c r="J15" s="50" t="s">
        <v>39</v>
      </c>
      <c r="K15" s="51">
        <v>97</v>
      </c>
      <c r="L15" s="50" t="s">
        <v>50</v>
      </c>
      <c r="M15" s="51">
        <v>69</v>
      </c>
      <c r="N15" s="50" t="s">
        <v>35</v>
      </c>
      <c r="O15" s="50"/>
      <c r="P15" s="50"/>
      <c r="Q15" s="399" t="s">
        <v>36</v>
      </c>
      <c r="R15" s="399"/>
      <c r="S15" s="12"/>
      <c r="T15" s="9">
        <f t="shared" si="8"/>
        <v>0</v>
      </c>
      <c r="U15" s="9">
        <f t="shared" si="9"/>
        <v>0</v>
      </c>
      <c r="V15" s="21">
        <f t="shared" si="0"/>
        <v>0</v>
      </c>
      <c r="W15" s="11">
        <f t="shared" si="1"/>
        <v>0</v>
      </c>
      <c r="X15" s="424"/>
      <c r="Y15" s="11">
        <f t="shared" si="2"/>
        <v>0</v>
      </c>
      <c r="Z15" s="424"/>
      <c r="AA15" s="92">
        <f t="shared" si="6"/>
        <v>0</v>
      </c>
      <c r="AB15" s="431"/>
      <c r="AC15" s="409"/>
      <c r="AD15" s="412"/>
      <c r="AE15" s="409"/>
      <c r="AF15" s="45">
        <v>500</v>
      </c>
      <c r="AG15" s="8">
        <f t="shared" si="3"/>
        <v>0</v>
      </c>
      <c r="AH15" s="435"/>
      <c r="AI15" s="397"/>
      <c r="AJ15" s="8">
        <f t="shared" si="4"/>
        <v>0</v>
      </c>
      <c r="AK15" s="8">
        <f t="shared" si="10"/>
        <v>0</v>
      </c>
      <c r="AL15" s="8">
        <f t="shared" si="5"/>
        <v>0</v>
      </c>
      <c r="AM15" s="8">
        <f t="shared" si="7"/>
        <v>0</v>
      </c>
      <c r="AN15" s="8">
        <f t="shared" si="11"/>
        <v>0</v>
      </c>
      <c r="AO15" s="8">
        <f t="shared" si="12"/>
        <v>0</v>
      </c>
      <c r="AP15" s="8">
        <f t="shared" si="13"/>
        <v>0</v>
      </c>
      <c r="AQ15" s="381"/>
      <c r="AR15" s="397"/>
      <c r="AS15" s="397"/>
      <c r="AT15" t="s">
        <v>157</v>
      </c>
    </row>
    <row r="16" spans="2:46" ht="29.4" thickBot="1" x14ac:dyDescent="0.35">
      <c r="B16" s="441"/>
      <c r="C16" s="417"/>
      <c r="D16" s="88" t="s">
        <v>14</v>
      </c>
      <c r="E16" s="25" t="s">
        <v>55</v>
      </c>
      <c r="F16" s="2"/>
      <c r="G16" s="49" t="s">
        <v>80</v>
      </c>
      <c r="H16" s="50" t="s">
        <v>56</v>
      </c>
      <c r="I16" s="51">
        <v>22</v>
      </c>
      <c r="J16" s="50" t="s">
        <v>30</v>
      </c>
      <c r="K16" s="51">
        <v>90</v>
      </c>
      <c r="L16" s="50" t="s">
        <v>57</v>
      </c>
      <c r="M16" s="51">
        <v>54</v>
      </c>
      <c r="N16" s="50">
        <v>1.5</v>
      </c>
      <c r="O16" s="50"/>
      <c r="P16" s="50"/>
      <c r="Q16" s="399" t="s">
        <v>72</v>
      </c>
      <c r="R16" s="399"/>
      <c r="S16" s="12">
        <f>35*365</f>
        <v>12775</v>
      </c>
      <c r="T16" s="9">
        <f t="shared" si="8"/>
        <v>1064.5833333333333</v>
      </c>
      <c r="U16" s="9">
        <f t="shared" si="9"/>
        <v>35</v>
      </c>
      <c r="V16" s="21">
        <f t="shared" si="0"/>
        <v>32.407407407407412</v>
      </c>
      <c r="W16" s="11">
        <f t="shared" si="1"/>
        <v>2810.5</v>
      </c>
      <c r="X16" s="424"/>
      <c r="Y16" s="11">
        <f t="shared" si="2"/>
        <v>2529.4500000000003</v>
      </c>
      <c r="Z16" s="424"/>
      <c r="AA16" s="93">
        <f t="shared" si="6"/>
        <v>41.280960720540406</v>
      </c>
      <c r="AB16" s="431"/>
      <c r="AC16" s="409"/>
      <c r="AD16" s="412"/>
      <c r="AE16" s="409"/>
      <c r="AF16" s="45">
        <v>170</v>
      </c>
      <c r="AG16" s="8">
        <f t="shared" si="3"/>
        <v>430006.50000000006</v>
      </c>
      <c r="AH16" s="435"/>
      <c r="AI16" s="397"/>
      <c r="AJ16" s="8">
        <f t="shared" si="4"/>
        <v>33.660000000000004</v>
      </c>
      <c r="AK16" s="8">
        <f t="shared" si="10"/>
        <v>1178.1000000000001</v>
      </c>
      <c r="AL16" s="8">
        <f t="shared" si="5"/>
        <v>636.17400000000009</v>
      </c>
      <c r="AM16" s="8">
        <f t="shared" si="7"/>
        <v>232203.51000000004</v>
      </c>
      <c r="AN16" s="8">
        <f t="shared" si="11"/>
        <v>23538.438000000002</v>
      </c>
      <c r="AO16" s="8">
        <f t="shared" si="12"/>
        <v>0.10624989375</v>
      </c>
      <c r="AP16" s="8">
        <f t="shared" si="13"/>
        <v>2549.9974499999998</v>
      </c>
      <c r="AQ16" s="381"/>
      <c r="AR16" s="397"/>
      <c r="AS16" s="397"/>
      <c r="AT16" t="s">
        <v>69</v>
      </c>
    </row>
    <row r="17" spans="2:46" ht="28.95" customHeight="1" thickBot="1" x14ac:dyDescent="0.35">
      <c r="B17" s="441"/>
      <c r="C17" s="417"/>
      <c r="D17" s="88" t="s">
        <v>15</v>
      </c>
      <c r="E17" s="25" t="s">
        <v>7</v>
      </c>
      <c r="F17" s="2"/>
      <c r="G17" s="49">
        <v>5.7</v>
      </c>
      <c r="H17" s="58" t="s">
        <v>51</v>
      </c>
      <c r="I17" s="51">
        <v>21</v>
      </c>
      <c r="J17" s="50" t="s">
        <v>32</v>
      </c>
      <c r="K17" s="51">
        <v>65</v>
      </c>
      <c r="L17" s="50" t="s">
        <v>52</v>
      </c>
      <c r="M17" s="51">
        <v>58</v>
      </c>
      <c r="N17" s="50"/>
      <c r="O17" s="50"/>
      <c r="P17" s="50"/>
      <c r="Q17" s="399" t="e">
        <f>O17/N17</f>
        <v>#DIV/0!</v>
      </c>
      <c r="R17" s="399"/>
      <c r="S17" s="12">
        <f>19*365</f>
        <v>6935</v>
      </c>
      <c r="T17" s="9">
        <f t="shared" si="8"/>
        <v>577.91666666666663</v>
      </c>
      <c r="U17" s="9">
        <f t="shared" si="9"/>
        <v>19</v>
      </c>
      <c r="V17" s="21">
        <f t="shared" si="0"/>
        <v>17.592592592592595</v>
      </c>
      <c r="W17" s="11">
        <f t="shared" si="1"/>
        <v>1456.35</v>
      </c>
      <c r="X17" s="424"/>
      <c r="Y17" s="11">
        <f t="shared" si="2"/>
        <v>946.62749999999994</v>
      </c>
      <c r="Z17" s="424"/>
      <c r="AA17" s="92">
        <f t="shared" si="6"/>
        <v>15.449086815111331</v>
      </c>
      <c r="AB17" s="431"/>
      <c r="AC17" s="409"/>
      <c r="AD17" s="412"/>
      <c r="AE17" s="409"/>
      <c r="AF17" s="45">
        <v>580</v>
      </c>
      <c r="AG17" s="8">
        <f t="shared" si="3"/>
        <v>549043.94999999995</v>
      </c>
      <c r="AH17" s="435"/>
      <c r="AI17" s="397"/>
      <c r="AJ17" s="8">
        <f t="shared" si="4"/>
        <v>79.169999999999987</v>
      </c>
      <c r="AK17" s="8">
        <f t="shared" si="10"/>
        <v>1504.2299999999998</v>
      </c>
      <c r="AL17" s="8">
        <f t="shared" si="5"/>
        <v>872.45339999999999</v>
      </c>
      <c r="AM17" s="8">
        <f t="shared" si="7"/>
        <v>318445.49099999998</v>
      </c>
      <c r="AN17" s="8">
        <f t="shared" si="11"/>
        <v>32280.775799999999</v>
      </c>
      <c r="AO17" s="8">
        <f t="shared" si="12"/>
        <v>0.14571183520833333</v>
      </c>
      <c r="AP17" s="8">
        <f t="shared" si="13"/>
        <v>3497.0840449999996</v>
      </c>
      <c r="AQ17" s="381"/>
      <c r="AR17" s="397"/>
      <c r="AS17" s="397"/>
      <c r="AT17" t="s">
        <v>33</v>
      </c>
    </row>
    <row r="18" spans="2:46" ht="58.2" thickBot="1" x14ac:dyDescent="0.35">
      <c r="B18" s="441"/>
      <c r="C18" s="418"/>
      <c r="D18" s="88" t="s">
        <v>16</v>
      </c>
      <c r="E18" s="25" t="s">
        <v>53</v>
      </c>
      <c r="F18" s="2"/>
      <c r="G18" s="59"/>
      <c r="H18" s="60" t="s">
        <v>28</v>
      </c>
      <c r="I18" s="61">
        <v>16</v>
      </c>
      <c r="J18" s="60" t="s">
        <v>34</v>
      </c>
      <c r="K18" s="61">
        <v>85</v>
      </c>
      <c r="L18" s="60" t="s">
        <v>54</v>
      </c>
      <c r="M18" s="61">
        <v>52</v>
      </c>
      <c r="N18" s="60" t="s">
        <v>76</v>
      </c>
      <c r="O18" s="60"/>
      <c r="P18" s="60"/>
      <c r="Q18" s="427" t="e">
        <f>O18/N18</f>
        <v>#VALUE!</v>
      </c>
      <c r="R18" s="427"/>
      <c r="S18" s="14"/>
      <c r="T18" s="9">
        <f t="shared" si="8"/>
        <v>0</v>
      </c>
      <c r="U18" s="9">
        <f t="shared" si="9"/>
        <v>0</v>
      </c>
      <c r="V18" s="21">
        <f t="shared" si="0"/>
        <v>0</v>
      </c>
      <c r="W18" s="11">
        <f t="shared" si="1"/>
        <v>0</v>
      </c>
      <c r="X18" s="429"/>
      <c r="Y18" s="11">
        <f t="shared" si="2"/>
        <v>0</v>
      </c>
      <c r="Z18" s="429"/>
      <c r="AA18" s="11">
        <f t="shared" si="6"/>
        <v>0</v>
      </c>
      <c r="AB18" s="431"/>
      <c r="AC18" s="409"/>
      <c r="AD18" s="412"/>
      <c r="AE18" s="409"/>
      <c r="AF18" s="46">
        <v>700</v>
      </c>
      <c r="AG18" s="8">
        <f t="shared" si="3"/>
        <v>0</v>
      </c>
      <c r="AH18" s="440"/>
      <c r="AI18" s="398"/>
      <c r="AJ18" s="8">
        <f t="shared" si="4"/>
        <v>0</v>
      </c>
      <c r="AK18" s="8">
        <f t="shared" si="10"/>
        <v>0</v>
      </c>
      <c r="AL18" s="8">
        <f t="shared" si="5"/>
        <v>0</v>
      </c>
      <c r="AM18" s="8">
        <f t="shared" si="7"/>
        <v>0</v>
      </c>
      <c r="AN18" s="8">
        <f t="shared" si="11"/>
        <v>0</v>
      </c>
      <c r="AO18" s="8">
        <f t="shared" si="12"/>
        <v>0</v>
      </c>
      <c r="AP18" s="8">
        <f t="shared" si="13"/>
        <v>0</v>
      </c>
      <c r="AQ18" s="382"/>
      <c r="AR18" s="398"/>
      <c r="AS18" s="398"/>
      <c r="AT18" t="s">
        <v>77</v>
      </c>
    </row>
    <row r="19" spans="2:46" ht="18" x14ac:dyDescent="0.3">
      <c r="B19" s="441"/>
      <c r="S19" s="17">
        <f t="shared" ref="S19:Y19" si="14">SUM(S7:S18)</f>
        <v>39420</v>
      </c>
      <c r="T19" s="17">
        <f t="shared" si="14"/>
        <v>3284.9999999999995</v>
      </c>
      <c r="U19" s="17">
        <f t="shared" si="14"/>
        <v>108</v>
      </c>
      <c r="V19" s="17">
        <f t="shared" si="14"/>
        <v>100.00000000000001</v>
      </c>
      <c r="W19" s="16">
        <f t="shared" si="14"/>
        <v>8088.4</v>
      </c>
      <c r="X19" s="16"/>
      <c r="Y19" s="16">
        <f t="shared" si="14"/>
        <v>6127.4010000000007</v>
      </c>
      <c r="Z19" s="16"/>
      <c r="AA19" s="16">
        <f>SUM(AA7:AA18)</f>
        <v>99.999999999999986</v>
      </c>
      <c r="AB19" s="16"/>
      <c r="AC19" s="16"/>
      <c r="AD19" s="16"/>
      <c r="AE19" s="16"/>
      <c r="AF19" s="16"/>
      <c r="AG19" s="16">
        <f>SUM(AG7:AG18)</f>
        <v>1848907.5</v>
      </c>
      <c r="AH19" s="16"/>
      <c r="AI19" s="16"/>
      <c r="AJ19" s="16"/>
      <c r="AK19" s="16">
        <f t="shared" ref="AK19:AP19" si="15">SUM(AK7:AK18)</f>
        <v>5065.5</v>
      </c>
      <c r="AL19" s="18">
        <f t="shared" si="15"/>
        <v>2787.3308999999999</v>
      </c>
      <c r="AM19" s="18">
        <f t="shared" si="15"/>
        <v>1017375.7785</v>
      </c>
      <c r="AN19" s="16">
        <f t="shared" si="15"/>
        <v>103131.2433</v>
      </c>
      <c r="AO19" s="16">
        <f t="shared" si="15"/>
        <v>0.46552297322916669</v>
      </c>
      <c r="AP19" s="16">
        <f t="shared" si="15"/>
        <v>11172.5513575</v>
      </c>
      <c r="AQ19" s="16"/>
      <c r="AR19" s="16"/>
    </row>
    <row r="20" spans="2:46" x14ac:dyDescent="0.3">
      <c r="B20" s="441"/>
      <c r="AL20" t="s">
        <v>92</v>
      </c>
      <c r="AO20" t="s">
        <v>91</v>
      </c>
    </row>
    <row r="21" spans="2:46" ht="15" thickBot="1" x14ac:dyDescent="0.35">
      <c r="B21" s="441"/>
    </row>
    <row r="22" spans="2:46" ht="15" thickBot="1" x14ac:dyDescent="0.35">
      <c r="B22" s="441"/>
      <c r="C22" s="416" t="s">
        <v>113</v>
      </c>
      <c r="D22" s="419" t="s">
        <v>9</v>
      </c>
      <c r="E22" s="25" t="s">
        <v>17</v>
      </c>
      <c r="F22" s="2"/>
      <c r="G22" s="62">
        <v>8.1</v>
      </c>
      <c r="H22" s="51" t="s">
        <v>42</v>
      </c>
      <c r="I22" s="51">
        <v>17</v>
      </c>
      <c r="J22" s="51" t="s">
        <v>43</v>
      </c>
      <c r="K22" s="51">
        <v>72</v>
      </c>
      <c r="L22" s="51">
        <v>58</v>
      </c>
      <c r="M22" s="51">
        <v>55</v>
      </c>
      <c r="N22" s="51">
        <v>1.77</v>
      </c>
      <c r="O22" s="51">
        <v>35.69</v>
      </c>
      <c r="P22" s="48"/>
      <c r="Q22" s="422">
        <f>O22/N22</f>
        <v>20.163841807909602</v>
      </c>
      <c r="R22" s="422"/>
      <c r="S22" s="29"/>
      <c r="T22" s="28">
        <f>S22/12</f>
        <v>0</v>
      </c>
      <c r="U22" s="28">
        <f>S22/365</f>
        <v>0</v>
      </c>
      <c r="V22" s="30">
        <f t="shared" ref="V22:V33" si="16">(T22*100)/$T$34</f>
        <v>0</v>
      </c>
      <c r="W22" s="31">
        <f t="shared" ref="W22:W33" si="17">I22%*S22</f>
        <v>0</v>
      </c>
      <c r="X22" s="423">
        <f>W34/365</f>
        <v>18.16</v>
      </c>
      <c r="Y22" s="31">
        <f t="shared" ref="Y22:Y33" si="18">W22*K22%</f>
        <v>0</v>
      </c>
      <c r="Z22" s="423">
        <f>Y34/365</f>
        <v>14.6479</v>
      </c>
      <c r="AA22" s="31">
        <f>(Y22*100)/$Y$34</f>
        <v>0</v>
      </c>
      <c r="AB22" s="430">
        <v>10</v>
      </c>
      <c r="AC22" s="408">
        <f>(X22-AB22)/X22</f>
        <v>0.44933920704845814</v>
      </c>
      <c r="AD22" s="411">
        <v>6.5</v>
      </c>
      <c r="AE22" s="408">
        <f>(Z22-AD22)/Z22</f>
        <v>0.55625038401409077</v>
      </c>
      <c r="AF22" s="47">
        <v>280</v>
      </c>
      <c r="AG22" s="32">
        <f t="shared" ref="AG22:AG33" si="19">Y22*AF22</f>
        <v>0</v>
      </c>
      <c r="AH22" s="32"/>
      <c r="AI22" s="32"/>
      <c r="AJ22" s="32">
        <f t="shared" ref="AJ22:AJ33" si="20">IFERROR(AG22/S22,0)</f>
        <v>0</v>
      </c>
      <c r="AK22" s="32">
        <f>AG22/365</f>
        <v>0</v>
      </c>
      <c r="AL22" s="32">
        <f t="shared" ref="AL22:AL33" si="21">IFERROR(AG22*M22%/365,0)</f>
        <v>0</v>
      </c>
      <c r="AM22" s="32">
        <f>AL22*365</f>
        <v>0</v>
      </c>
      <c r="AN22" s="32">
        <f>AL22*37</f>
        <v>0</v>
      </c>
      <c r="AO22" s="32">
        <f>AN22/3600/24*0.39</f>
        <v>0</v>
      </c>
      <c r="AP22" s="32">
        <f>AO22*1000*24</f>
        <v>0</v>
      </c>
      <c r="AQ22" s="414"/>
      <c r="AR22" s="396">
        <f>(Z22*1000)/3.7</f>
        <v>3958.8918918918916</v>
      </c>
      <c r="AS22" s="396">
        <f>AR22/U34</f>
        <v>31.671135135135135</v>
      </c>
    </row>
    <row r="23" spans="2:46" ht="29.4" thickBot="1" x14ac:dyDescent="0.35">
      <c r="B23" s="441"/>
      <c r="C23" s="417"/>
      <c r="D23" s="420"/>
      <c r="E23" s="25" t="s">
        <v>45</v>
      </c>
      <c r="F23" s="2"/>
      <c r="G23" s="49">
        <v>5.09</v>
      </c>
      <c r="H23" s="50" t="s">
        <v>46</v>
      </c>
      <c r="I23" s="51">
        <v>33</v>
      </c>
      <c r="J23" s="52" t="s">
        <v>47</v>
      </c>
      <c r="K23" s="51">
        <v>57</v>
      </c>
      <c r="L23" s="50">
        <v>55</v>
      </c>
      <c r="M23" s="51">
        <v>55</v>
      </c>
      <c r="N23" s="50">
        <v>4.33</v>
      </c>
      <c r="O23" s="50">
        <v>42.82</v>
      </c>
      <c r="P23" s="50"/>
      <c r="Q23" s="399">
        <f>O23/N23</f>
        <v>9.8891454965357966</v>
      </c>
      <c r="R23" s="399"/>
      <c r="S23" s="12">
        <f>7*365</f>
        <v>2555</v>
      </c>
      <c r="T23" s="9">
        <f>S23/12</f>
        <v>212.91666666666666</v>
      </c>
      <c r="U23" s="9">
        <f>S23/365</f>
        <v>7</v>
      </c>
      <c r="V23" s="21">
        <f t="shared" si="16"/>
        <v>5.6</v>
      </c>
      <c r="W23" s="11">
        <f t="shared" si="17"/>
        <v>843.15000000000009</v>
      </c>
      <c r="X23" s="424"/>
      <c r="Y23" s="11">
        <f t="shared" si="18"/>
        <v>480.59550000000002</v>
      </c>
      <c r="Z23" s="424"/>
      <c r="AA23" s="11">
        <f t="shared" ref="AA23:AA33" si="22">(Y23*100)/$Y$34</f>
        <v>8.9890018364407194</v>
      </c>
      <c r="AB23" s="431"/>
      <c r="AC23" s="409"/>
      <c r="AD23" s="412"/>
      <c r="AE23" s="409"/>
      <c r="AF23" s="45">
        <v>300</v>
      </c>
      <c r="AG23" s="8">
        <f t="shared" si="19"/>
        <v>144178.65</v>
      </c>
      <c r="AH23" s="8"/>
      <c r="AI23" s="8"/>
      <c r="AJ23" s="8">
        <f t="shared" si="20"/>
        <v>56.43</v>
      </c>
      <c r="AK23" s="8">
        <f>AG23/365</f>
        <v>395.01</v>
      </c>
      <c r="AL23" s="8">
        <f t="shared" si="21"/>
        <v>217.25550000000001</v>
      </c>
      <c r="AM23" s="8">
        <f t="shared" ref="AM23:AM33" si="23">AL23*365</f>
        <v>79298.257500000007</v>
      </c>
      <c r="AN23" s="8">
        <f>AL23*37</f>
        <v>8038.4535000000005</v>
      </c>
      <c r="AO23" s="8">
        <f>AN23/3600/24*0.39</f>
        <v>3.6284685937500005E-2</v>
      </c>
      <c r="AP23" s="8">
        <f>AO23*1000*24</f>
        <v>870.83246250000025</v>
      </c>
      <c r="AQ23" s="381"/>
      <c r="AR23" s="397"/>
      <c r="AS23" s="397"/>
    </row>
    <row r="24" spans="2:46" ht="15" thickBot="1" x14ac:dyDescent="0.35">
      <c r="B24" s="441"/>
      <c r="C24" s="417"/>
      <c r="D24" s="421"/>
      <c r="E24" s="25" t="s">
        <v>6</v>
      </c>
      <c r="F24" s="2"/>
      <c r="G24" s="49">
        <v>7.8</v>
      </c>
      <c r="H24" s="50" t="s">
        <v>48</v>
      </c>
      <c r="I24" s="51">
        <v>20</v>
      </c>
      <c r="J24" s="50" t="s">
        <v>154</v>
      </c>
      <c r="K24" s="51">
        <v>68</v>
      </c>
      <c r="L24" s="50">
        <v>58</v>
      </c>
      <c r="M24" s="51">
        <v>60</v>
      </c>
      <c r="N24" s="50">
        <v>2.15</v>
      </c>
      <c r="O24" s="50">
        <v>38.4</v>
      </c>
      <c r="P24" s="50"/>
      <c r="Q24" s="399">
        <f>O24/N24</f>
        <v>17.86046511627907</v>
      </c>
      <c r="R24" s="399"/>
      <c r="S24" s="12"/>
      <c r="T24" s="9">
        <f>S24/12</f>
        <v>0</v>
      </c>
      <c r="U24" s="9">
        <f>S24/365</f>
        <v>0</v>
      </c>
      <c r="V24" s="21">
        <f t="shared" si="16"/>
        <v>0</v>
      </c>
      <c r="W24" s="11">
        <f t="shared" si="17"/>
        <v>0</v>
      </c>
      <c r="X24" s="424"/>
      <c r="Y24" s="11">
        <f t="shared" si="18"/>
        <v>0</v>
      </c>
      <c r="Z24" s="424"/>
      <c r="AA24" s="11">
        <f t="shared" si="22"/>
        <v>0</v>
      </c>
      <c r="AB24" s="431"/>
      <c r="AC24" s="409"/>
      <c r="AD24" s="412"/>
      <c r="AE24" s="409"/>
      <c r="AF24" s="45">
        <v>280</v>
      </c>
      <c r="AG24" s="8">
        <f t="shared" si="19"/>
        <v>0</v>
      </c>
      <c r="AH24" s="8"/>
      <c r="AI24" s="8"/>
      <c r="AJ24" s="8">
        <f t="shared" si="20"/>
        <v>0</v>
      </c>
      <c r="AK24" s="8">
        <f>AG24/365</f>
        <v>0</v>
      </c>
      <c r="AL24" s="8">
        <f t="shared" si="21"/>
        <v>0</v>
      </c>
      <c r="AM24" s="8">
        <f t="shared" si="23"/>
        <v>0</v>
      </c>
      <c r="AN24" s="8">
        <f>AL24*37</f>
        <v>0</v>
      </c>
      <c r="AO24" s="8">
        <f>AN24/3600/24*0.39</f>
        <v>0</v>
      </c>
      <c r="AP24" s="8">
        <f>AO24*1000*24</f>
        <v>0</v>
      </c>
      <c r="AQ24" s="381"/>
      <c r="AR24" s="397"/>
      <c r="AS24" s="397"/>
    </row>
    <row r="25" spans="2:46" ht="15" thickBot="1" x14ac:dyDescent="0.35">
      <c r="B25" s="441"/>
      <c r="C25" s="417"/>
      <c r="D25" s="88" t="s">
        <v>10</v>
      </c>
      <c r="E25" s="25" t="s">
        <v>18</v>
      </c>
      <c r="F25" s="2"/>
      <c r="G25" s="53" t="s">
        <v>22</v>
      </c>
      <c r="H25" s="54" t="s">
        <v>20</v>
      </c>
      <c r="I25" s="51">
        <v>8</v>
      </c>
      <c r="J25" s="52" t="s">
        <v>23</v>
      </c>
      <c r="K25" s="51">
        <v>80</v>
      </c>
      <c r="L25" s="52" t="s">
        <v>44</v>
      </c>
      <c r="M25" s="51">
        <v>50</v>
      </c>
      <c r="N25" s="55" t="s">
        <v>24</v>
      </c>
      <c r="O25" s="50"/>
      <c r="P25" s="50"/>
      <c r="Q25" s="399">
        <f>O25/N25</f>
        <v>0</v>
      </c>
      <c r="R25" s="399"/>
      <c r="S25" s="12"/>
      <c r="T25" s="9">
        <f t="shared" ref="T25:T33" si="24">S25/12</f>
        <v>0</v>
      </c>
      <c r="U25" s="9">
        <f t="shared" ref="U25:U33" si="25">S25/365</f>
        <v>0</v>
      </c>
      <c r="V25" s="21">
        <f t="shared" si="16"/>
        <v>0</v>
      </c>
      <c r="W25" s="11">
        <f t="shared" si="17"/>
        <v>0</v>
      </c>
      <c r="X25" s="424"/>
      <c r="Y25" s="11">
        <f t="shared" si="18"/>
        <v>0</v>
      </c>
      <c r="Z25" s="424"/>
      <c r="AA25" s="11">
        <f t="shared" si="22"/>
        <v>0</v>
      </c>
      <c r="AB25" s="431"/>
      <c r="AC25" s="409"/>
      <c r="AD25" s="412"/>
      <c r="AE25" s="409"/>
      <c r="AF25" s="45">
        <v>200</v>
      </c>
      <c r="AG25" s="8">
        <f t="shared" si="19"/>
        <v>0</v>
      </c>
      <c r="AH25" s="8"/>
      <c r="AI25" s="8"/>
      <c r="AJ25" s="8">
        <f t="shared" si="20"/>
        <v>0</v>
      </c>
      <c r="AK25" s="8">
        <f t="shared" ref="AK25:AK33" si="26">AG25/365</f>
        <v>0</v>
      </c>
      <c r="AL25" s="8">
        <f t="shared" si="21"/>
        <v>0</v>
      </c>
      <c r="AM25" s="8">
        <f t="shared" si="23"/>
        <v>0</v>
      </c>
      <c r="AN25" s="8">
        <f t="shared" ref="AN25:AN33" si="27">AL25*37</f>
        <v>0</v>
      </c>
      <c r="AO25" s="8">
        <f t="shared" ref="AO25:AO33" si="28">AN25/3600/24*0.39</f>
        <v>0</v>
      </c>
      <c r="AP25" s="8">
        <f t="shared" ref="AP25:AP33" si="29">AO25*1000*24</f>
        <v>0</v>
      </c>
      <c r="AQ25" s="381"/>
      <c r="AR25" s="397"/>
      <c r="AS25" s="397"/>
    </row>
    <row r="26" spans="2:46" ht="15" thickBot="1" x14ac:dyDescent="0.35">
      <c r="B26" s="441"/>
      <c r="C26" s="417"/>
      <c r="D26" s="88" t="s">
        <v>11</v>
      </c>
      <c r="E26" s="27" t="s">
        <v>58</v>
      </c>
      <c r="F26" s="24"/>
      <c r="G26" s="56" t="s">
        <v>67</v>
      </c>
      <c r="H26" s="50" t="s">
        <v>59</v>
      </c>
      <c r="I26" s="51">
        <v>12</v>
      </c>
      <c r="J26" s="50">
        <v>89</v>
      </c>
      <c r="K26" s="51">
        <v>89</v>
      </c>
      <c r="L26" s="50" t="s">
        <v>57</v>
      </c>
      <c r="M26" s="51">
        <v>51</v>
      </c>
      <c r="N26" s="50">
        <v>1.4</v>
      </c>
      <c r="O26" s="50"/>
      <c r="P26" s="50"/>
      <c r="Q26" s="399" t="s">
        <v>70</v>
      </c>
      <c r="R26" s="399"/>
      <c r="S26" s="12"/>
      <c r="T26" s="9">
        <f t="shared" si="24"/>
        <v>0</v>
      </c>
      <c r="U26" s="9">
        <f t="shared" si="25"/>
        <v>0</v>
      </c>
      <c r="V26" s="21">
        <f t="shared" si="16"/>
        <v>0</v>
      </c>
      <c r="W26" s="11">
        <f t="shared" si="17"/>
        <v>0</v>
      </c>
      <c r="X26" s="424"/>
      <c r="Y26" s="11">
        <f t="shared" si="18"/>
        <v>0</v>
      </c>
      <c r="Z26" s="424"/>
      <c r="AA26" s="11">
        <f t="shared" si="22"/>
        <v>0</v>
      </c>
      <c r="AB26" s="431"/>
      <c r="AC26" s="409"/>
      <c r="AD26" s="412"/>
      <c r="AE26" s="409"/>
      <c r="AF26" s="45">
        <v>300</v>
      </c>
      <c r="AG26" s="8">
        <f t="shared" si="19"/>
        <v>0</v>
      </c>
      <c r="AH26" s="8"/>
      <c r="AI26" s="8"/>
      <c r="AJ26" s="8">
        <f t="shared" si="20"/>
        <v>0</v>
      </c>
      <c r="AK26" s="8">
        <f t="shared" si="26"/>
        <v>0</v>
      </c>
      <c r="AL26" s="8">
        <f t="shared" si="21"/>
        <v>0</v>
      </c>
      <c r="AM26" s="8">
        <f t="shared" si="23"/>
        <v>0</v>
      </c>
      <c r="AN26" s="8">
        <f t="shared" si="27"/>
        <v>0</v>
      </c>
      <c r="AO26" s="8">
        <f t="shared" si="28"/>
        <v>0</v>
      </c>
      <c r="AP26" s="8">
        <f t="shared" si="29"/>
        <v>0</v>
      </c>
      <c r="AQ26" s="381"/>
      <c r="AR26" s="397"/>
      <c r="AS26" s="397"/>
    </row>
    <row r="27" spans="2:46" ht="29.4" thickBot="1" x14ac:dyDescent="0.35">
      <c r="B27" s="441"/>
      <c r="C27" s="417"/>
      <c r="D27" s="426" t="s">
        <v>12</v>
      </c>
      <c r="E27" s="25" t="s">
        <v>27</v>
      </c>
      <c r="F27" s="2"/>
      <c r="G27" s="57" t="s">
        <v>29</v>
      </c>
      <c r="H27" s="50" t="s">
        <v>28</v>
      </c>
      <c r="I27" s="51">
        <v>25</v>
      </c>
      <c r="J27" s="50" t="s">
        <v>60</v>
      </c>
      <c r="K27" s="51">
        <v>90</v>
      </c>
      <c r="L27" s="50">
        <v>65</v>
      </c>
      <c r="M27" s="51">
        <v>60</v>
      </c>
      <c r="N27" s="55" t="s">
        <v>61</v>
      </c>
      <c r="O27" s="50"/>
      <c r="P27" s="50"/>
      <c r="Q27" s="399">
        <v>35</v>
      </c>
      <c r="R27" s="399"/>
      <c r="S27" s="12">
        <f>7*365</f>
        <v>2555</v>
      </c>
      <c r="T27" s="9">
        <f t="shared" si="24"/>
        <v>212.91666666666666</v>
      </c>
      <c r="U27" s="9">
        <f t="shared" si="25"/>
        <v>7</v>
      </c>
      <c r="V27" s="21">
        <f t="shared" si="16"/>
        <v>5.6</v>
      </c>
      <c r="W27" s="11">
        <f t="shared" si="17"/>
        <v>638.75</v>
      </c>
      <c r="X27" s="424"/>
      <c r="Y27" s="11">
        <f t="shared" si="18"/>
        <v>574.875</v>
      </c>
      <c r="Z27" s="424"/>
      <c r="AA27" s="11">
        <f t="shared" si="22"/>
        <v>10.752394541197031</v>
      </c>
      <c r="AB27" s="431"/>
      <c r="AC27" s="409"/>
      <c r="AD27" s="412"/>
      <c r="AE27" s="409"/>
      <c r="AF27" s="45">
        <v>590</v>
      </c>
      <c r="AG27" s="8">
        <f t="shared" si="19"/>
        <v>339176.25</v>
      </c>
      <c r="AH27" s="8"/>
      <c r="AI27" s="8"/>
      <c r="AJ27" s="8">
        <f t="shared" si="20"/>
        <v>132.75</v>
      </c>
      <c r="AK27" s="8">
        <f t="shared" si="26"/>
        <v>929.25</v>
      </c>
      <c r="AL27" s="8">
        <f t="shared" si="21"/>
        <v>557.54999999999995</v>
      </c>
      <c r="AM27" s="8">
        <f t="shared" si="23"/>
        <v>203505.74999999997</v>
      </c>
      <c r="AN27" s="8">
        <f t="shared" si="27"/>
        <v>20629.349999999999</v>
      </c>
      <c r="AO27" s="8">
        <f t="shared" si="28"/>
        <v>9.3118593749999992E-2</v>
      </c>
      <c r="AP27" s="8">
        <f t="shared" si="29"/>
        <v>2234.8462499999996</v>
      </c>
      <c r="AQ27" s="381"/>
      <c r="AR27" s="397"/>
      <c r="AS27" s="397"/>
    </row>
    <row r="28" spans="2:46" ht="29.4" thickBot="1" x14ac:dyDescent="0.35">
      <c r="B28" s="441"/>
      <c r="C28" s="417"/>
      <c r="D28" s="426"/>
      <c r="E28" s="27" t="s">
        <v>158</v>
      </c>
      <c r="F28" s="2"/>
      <c r="G28" s="57" t="s">
        <v>75</v>
      </c>
      <c r="H28" s="50" t="s">
        <v>155</v>
      </c>
      <c r="I28" s="51">
        <v>12</v>
      </c>
      <c r="J28" s="50" t="s">
        <v>62</v>
      </c>
      <c r="K28" s="51">
        <v>85</v>
      </c>
      <c r="L28" s="50" t="s">
        <v>63</v>
      </c>
      <c r="M28" s="51">
        <v>55</v>
      </c>
      <c r="N28" s="50"/>
      <c r="O28" s="50"/>
      <c r="P28" s="50"/>
      <c r="Q28" s="400"/>
      <c r="R28" s="401"/>
      <c r="S28" s="13"/>
      <c r="T28" s="9">
        <f t="shared" si="24"/>
        <v>0</v>
      </c>
      <c r="U28" s="9">
        <f t="shared" si="25"/>
        <v>0</v>
      </c>
      <c r="V28" s="21">
        <f t="shared" si="16"/>
        <v>0</v>
      </c>
      <c r="W28" s="11">
        <f t="shared" si="17"/>
        <v>0</v>
      </c>
      <c r="X28" s="424"/>
      <c r="Y28" s="11">
        <f t="shared" si="18"/>
        <v>0</v>
      </c>
      <c r="Z28" s="424"/>
      <c r="AA28" s="11">
        <f t="shared" si="22"/>
        <v>0</v>
      </c>
      <c r="AB28" s="431"/>
      <c r="AC28" s="409"/>
      <c r="AD28" s="412"/>
      <c r="AE28" s="409"/>
      <c r="AF28" s="45">
        <v>500</v>
      </c>
      <c r="AG28" s="8">
        <f t="shared" si="19"/>
        <v>0</v>
      </c>
      <c r="AH28" s="8"/>
      <c r="AI28" s="8"/>
      <c r="AJ28" s="8">
        <f t="shared" si="20"/>
        <v>0</v>
      </c>
      <c r="AK28" s="8">
        <f t="shared" si="26"/>
        <v>0</v>
      </c>
      <c r="AL28" s="8">
        <f t="shared" si="21"/>
        <v>0</v>
      </c>
      <c r="AM28" s="8">
        <f t="shared" si="23"/>
        <v>0</v>
      </c>
      <c r="AN28" s="8">
        <f t="shared" si="27"/>
        <v>0</v>
      </c>
      <c r="AO28" s="8">
        <f t="shared" si="28"/>
        <v>0</v>
      </c>
      <c r="AP28" s="8">
        <f t="shared" si="29"/>
        <v>0</v>
      </c>
      <c r="AQ28" s="381"/>
      <c r="AR28" s="397"/>
      <c r="AS28" s="397"/>
    </row>
    <row r="29" spans="2:46" ht="29.4" thickBot="1" x14ac:dyDescent="0.35">
      <c r="B29" s="441"/>
      <c r="C29" s="417"/>
      <c r="D29" s="426"/>
      <c r="E29" s="26" t="s">
        <v>64</v>
      </c>
      <c r="F29" s="24" t="s">
        <v>112</v>
      </c>
      <c r="G29" s="57" t="s">
        <v>79</v>
      </c>
      <c r="H29" s="55" t="s">
        <v>21</v>
      </c>
      <c r="I29" s="51">
        <v>8</v>
      </c>
      <c r="J29" s="50" t="s">
        <v>65</v>
      </c>
      <c r="K29" s="51">
        <v>83</v>
      </c>
      <c r="L29" s="50" t="s">
        <v>66</v>
      </c>
      <c r="M29" s="51">
        <v>58</v>
      </c>
      <c r="N29" s="55" t="s">
        <v>73</v>
      </c>
      <c r="O29" s="50"/>
      <c r="P29" s="50"/>
      <c r="Q29" s="400"/>
      <c r="R29" s="401"/>
      <c r="S29" s="13">
        <f>73*365</f>
        <v>26645</v>
      </c>
      <c r="T29" s="9">
        <f t="shared" si="24"/>
        <v>2220.4166666666665</v>
      </c>
      <c r="U29" s="9">
        <f t="shared" si="25"/>
        <v>73</v>
      </c>
      <c r="V29" s="21">
        <f t="shared" si="16"/>
        <v>58.4</v>
      </c>
      <c r="W29" s="11">
        <f t="shared" si="17"/>
        <v>2131.6</v>
      </c>
      <c r="X29" s="424"/>
      <c r="Y29" s="11">
        <f t="shared" si="18"/>
        <v>1769.2279999999998</v>
      </c>
      <c r="Z29" s="424"/>
      <c r="AA29" s="37">
        <f t="shared" si="22"/>
        <v>33.091432901644602</v>
      </c>
      <c r="AB29" s="431"/>
      <c r="AC29" s="409"/>
      <c r="AD29" s="412"/>
      <c r="AE29" s="409"/>
      <c r="AF29" s="45">
        <v>400</v>
      </c>
      <c r="AG29" s="8">
        <f t="shared" si="19"/>
        <v>707691.2</v>
      </c>
      <c r="AH29" s="8">
        <f>AK34/AR22</f>
        <v>1.2623027191611085</v>
      </c>
      <c r="AI29" s="8">
        <f>AK34/(Z22-AD22)</f>
        <v>613.32613311405385</v>
      </c>
      <c r="AJ29" s="8">
        <f t="shared" si="20"/>
        <v>26.56</v>
      </c>
      <c r="AK29" s="8">
        <f t="shared" si="26"/>
        <v>1938.8799999999999</v>
      </c>
      <c r="AL29" s="8">
        <f t="shared" si="21"/>
        <v>1124.5503999999999</v>
      </c>
      <c r="AM29" s="8">
        <f t="shared" si="23"/>
        <v>410460.89599999995</v>
      </c>
      <c r="AN29" s="8">
        <f t="shared" si="27"/>
        <v>41608.364799999996</v>
      </c>
      <c r="AO29" s="8">
        <f t="shared" si="28"/>
        <v>0.18781553555555552</v>
      </c>
      <c r="AP29" s="8">
        <f t="shared" si="29"/>
        <v>4507.5728533333331</v>
      </c>
      <c r="AQ29" s="128">
        <v>9900000</v>
      </c>
      <c r="AR29" s="397"/>
      <c r="AS29" s="397"/>
    </row>
    <row r="30" spans="2:46" ht="29.4" thickBot="1" x14ac:dyDescent="0.35">
      <c r="B30" s="441"/>
      <c r="C30" s="417"/>
      <c r="D30" s="88" t="s">
        <v>13</v>
      </c>
      <c r="E30" s="25" t="s">
        <v>156</v>
      </c>
      <c r="F30" s="24"/>
      <c r="G30" s="49" t="s">
        <v>37</v>
      </c>
      <c r="H30" s="50" t="s">
        <v>38</v>
      </c>
      <c r="I30" s="51">
        <v>40</v>
      </c>
      <c r="J30" s="50" t="s">
        <v>39</v>
      </c>
      <c r="K30" s="51">
        <v>97</v>
      </c>
      <c r="L30" s="50" t="s">
        <v>50</v>
      </c>
      <c r="M30" s="51">
        <v>69</v>
      </c>
      <c r="N30" s="50" t="s">
        <v>35</v>
      </c>
      <c r="O30" s="50"/>
      <c r="P30" s="50"/>
      <c r="Q30" s="399" t="s">
        <v>36</v>
      </c>
      <c r="R30" s="399"/>
      <c r="S30" s="12"/>
      <c r="T30" s="9">
        <f t="shared" si="24"/>
        <v>0</v>
      </c>
      <c r="U30" s="9">
        <f t="shared" si="25"/>
        <v>0</v>
      </c>
      <c r="V30" s="21">
        <f t="shared" si="16"/>
        <v>0</v>
      </c>
      <c r="W30" s="11">
        <f t="shared" si="17"/>
        <v>0</v>
      </c>
      <c r="X30" s="424"/>
      <c r="Y30" s="11">
        <f t="shared" si="18"/>
        <v>0</v>
      </c>
      <c r="Z30" s="424"/>
      <c r="AA30" s="11">
        <f t="shared" si="22"/>
        <v>0</v>
      </c>
      <c r="AB30" s="431"/>
      <c r="AC30" s="409"/>
      <c r="AD30" s="412"/>
      <c r="AE30" s="409"/>
      <c r="AF30" s="45">
        <v>500</v>
      </c>
      <c r="AG30" s="8">
        <f t="shared" si="19"/>
        <v>0</v>
      </c>
      <c r="AH30" s="8"/>
      <c r="AI30" s="8"/>
      <c r="AJ30" s="8">
        <f t="shared" si="20"/>
        <v>0</v>
      </c>
      <c r="AK30" s="8">
        <f t="shared" si="26"/>
        <v>0</v>
      </c>
      <c r="AL30" s="8">
        <f t="shared" si="21"/>
        <v>0</v>
      </c>
      <c r="AM30" s="8">
        <f t="shared" si="23"/>
        <v>0</v>
      </c>
      <c r="AN30" s="8">
        <f t="shared" si="27"/>
        <v>0</v>
      </c>
      <c r="AO30" s="8">
        <f t="shared" si="28"/>
        <v>0</v>
      </c>
      <c r="AP30" s="8">
        <f t="shared" si="29"/>
        <v>0</v>
      </c>
      <c r="AQ30" s="381"/>
      <c r="AR30" s="397"/>
      <c r="AS30" s="397"/>
    </row>
    <row r="31" spans="2:46" ht="29.4" thickBot="1" x14ac:dyDescent="0.35">
      <c r="B31" s="441"/>
      <c r="C31" s="417"/>
      <c r="D31" s="88" t="s">
        <v>14</v>
      </c>
      <c r="E31" s="25" t="s">
        <v>55</v>
      </c>
      <c r="F31" s="2"/>
      <c r="G31" s="49" t="s">
        <v>80</v>
      </c>
      <c r="H31" s="50" t="s">
        <v>56</v>
      </c>
      <c r="I31" s="51">
        <v>22</v>
      </c>
      <c r="J31" s="50" t="s">
        <v>30</v>
      </c>
      <c r="K31" s="51">
        <v>90</v>
      </c>
      <c r="L31" s="50" t="s">
        <v>57</v>
      </c>
      <c r="M31" s="51">
        <v>54</v>
      </c>
      <c r="N31" s="50">
        <v>1.5</v>
      </c>
      <c r="O31" s="50"/>
      <c r="P31" s="50"/>
      <c r="Q31" s="399" t="s">
        <v>72</v>
      </c>
      <c r="R31" s="399"/>
      <c r="S31" s="12">
        <f>28*365</f>
        <v>10220</v>
      </c>
      <c r="T31" s="9">
        <f t="shared" si="24"/>
        <v>851.66666666666663</v>
      </c>
      <c r="U31" s="9">
        <f t="shared" si="25"/>
        <v>28</v>
      </c>
      <c r="V31" s="21">
        <f t="shared" si="16"/>
        <v>22.4</v>
      </c>
      <c r="W31" s="11">
        <f t="shared" si="17"/>
        <v>2248.4</v>
      </c>
      <c r="X31" s="424"/>
      <c r="Y31" s="11">
        <f t="shared" si="18"/>
        <v>2023.5600000000002</v>
      </c>
      <c r="Z31" s="424"/>
      <c r="AA31" s="37">
        <f t="shared" si="22"/>
        <v>37.848428785013553</v>
      </c>
      <c r="AB31" s="431"/>
      <c r="AC31" s="409"/>
      <c r="AD31" s="412"/>
      <c r="AE31" s="409"/>
      <c r="AF31" s="45">
        <v>170</v>
      </c>
      <c r="AG31" s="8">
        <f t="shared" si="19"/>
        <v>344005.2</v>
      </c>
      <c r="AH31" s="8"/>
      <c r="AI31" s="8"/>
      <c r="AJ31" s="8">
        <f t="shared" si="20"/>
        <v>33.660000000000004</v>
      </c>
      <c r="AK31" s="8">
        <f t="shared" si="26"/>
        <v>942.48</v>
      </c>
      <c r="AL31" s="8">
        <f t="shared" si="21"/>
        <v>508.93920000000003</v>
      </c>
      <c r="AM31" s="8">
        <f t="shared" si="23"/>
        <v>185762.80800000002</v>
      </c>
      <c r="AN31" s="8">
        <f t="shared" si="27"/>
        <v>18830.750400000001</v>
      </c>
      <c r="AO31" s="8">
        <f t="shared" si="28"/>
        <v>8.4999915000000009E-2</v>
      </c>
      <c r="AP31" s="8">
        <f t="shared" si="29"/>
        <v>2039.9979600000004</v>
      </c>
      <c r="AQ31" s="381"/>
      <c r="AR31" s="397"/>
      <c r="AS31" s="397"/>
    </row>
    <row r="32" spans="2:46" ht="15" thickBot="1" x14ac:dyDescent="0.35">
      <c r="B32" s="441"/>
      <c r="C32" s="417"/>
      <c r="D32" s="88" t="s">
        <v>15</v>
      </c>
      <c r="E32" s="25" t="s">
        <v>7</v>
      </c>
      <c r="F32" s="2"/>
      <c r="G32" s="49">
        <v>5.7</v>
      </c>
      <c r="H32" s="58" t="s">
        <v>51</v>
      </c>
      <c r="I32" s="51">
        <v>21</v>
      </c>
      <c r="J32" s="50" t="s">
        <v>32</v>
      </c>
      <c r="K32" s="51">
        <v>65</v>
      </c>
      <c r="L32" s="50" t="s">
        <v>52</v>
      </c>
      <c r="M32" s="51">
        <v>58</v>
      </c>
      <c r="N32" s="50"/>
      <c r="O32" s="50"/>
      <c r="P32" s="50"/>
      <c r="Q32" s="399" t="e">
        <f>O32/N32</f>
        <v>#DIV/0!</v>
      </c>
      <c r="R32" s="399"/>
      <c r="S32" s="12">
        <f>10*365</f>
        <v>3650</v>
      </c>
      <c r="T32" s="9">
        <f t="shared" si="24"/>
        <v>304.16666666666669</v>
      </c>
      <c r="U32" s="9">
        <f t="shared" si="25"/>
        <v>10</v>
      </c>
      <c r="V32" s="21">
        <f t="shared" si="16"/>
        <v>8.0000000000000018</v>
      </c>
      <c r="W32" s="11">
        <f t="shared" si="17"/>
        <v>766.5</v>
      </c>
      <c r="X32" s="424"/>
      <c r="Y32" s="11">
        <f t="shared" si="18"/>
        <v>498.22500000000002</v>
      </c>
      <c r="Z32" s="424"/>
      <c r="AA32" s="11">
        <f t="shared" si="22"/>
        <v>9.318741935704093</v>
      </c>
      <c r="AB32" s="431"/>
      <c r="AC32" s="409"/>
      <c r="AD32" s="412"/>
      <c r="AE32" s="409"/>
      <c r="AF32" s="45">
        <v>580</v>
      </c>
      <c r="AG32" s="8">
        <f t="shared" si="19"/>
        <v>288970.5</v>
      </c>
      <c r="AH32" s="8"/>
      <c r="AI32" s="8"/>
      <c r="AJ32" s="8">
        <f t="shared" si="20"/>
        <v>79.17</v>
      </c>
      <c r="AK32" s="8">
        <f t="shared" si="26"/>
        <v>791.7</v>
      </c>
      <c r="AL32" s="8">
        <f t="shared" si="21"/>
        <v>459.18599999999998</v>
      </c>
      <c r="AM32" s="8">
        <f t="shared" si="23"/>
        <v>167602.88999999998</v>
      </c>
      <c r="AN32" s="8">
        <f t="shared" si="27"/>
        <v>16989.881999999998</v>
      </c>
      <c r="AO32" s="8">
        <f t="shared" si="28"/>
        <v>7.6690439583333325E-2</v>
      </c>
      <c r="AP32" s="8">
        <f t="shared" si="29"/>
        <v>1840.5705499999999</v>
      </c>
      <c r="AQ32" s="381"/>
      <c r="AR32" s="397"/>
      <c r="AS32" s="397"/>
    </row>
    <row r="33" spans="2:45" ht="58.2" thickBot="1" x14ac:dyDescent="0.35">
      <c r="B33" s="441"/>
      <c r="C33" s="418"/>
      <c r="D33" s="88" t="s">
        <v>16</v>
      </c>
      <c r="E33" s="25" t="s">
        <v>53</v>
      </c>
      <c r="F33" s="2"/>
      <c r="G33" s="59"/>
      <c r="H33" s="60" t="s">
        <v>28</v>
      </c>
      <c r="I33" s="61">
        <v>16</v>
      </c>
      <c r="J33" s="60" t="s">
        <v>34</v>
      </c>
      <c r="K33" s="61">
        <v>85</v>
      </c>
      <c r="L33" s="60" t="s">
        <v>54</v>
      </c>
      <c r="M33" s="61">
        <v>52</v>
      </c>
      <c r="N33" s="60" t="s">
        <v>76</v>
      </c>
      <c r="O33" s="60"/>
      <c r="P33" s="60"/>
      <c r="Q33" s="427" t="e">
        <f>O33/N33</f>
        <v>#VALUE!</v>
      </c>
      <c r="R33" s="427"/>
      <c r="S33" s="14"/>
      <c r="T33" s="33">
        <f t="shared" si="24"/>
        <v>0</v>
      </c>
      <c r="U33" s="33">
        <f t="shared" si="25"/>
        <v>0</v>
      </c>
      <c r="V33" s="34">
        <f t="shared" si="16"/>
        <v>0</v>
      </c>
      <c r="W33" s="35">
        <f t="shared" si="17"/>
        <v>0</v>
      </c>
      <c r="X33" s="425"/>
      <c r="Y33" s="35">
        <f t="shared" si="18"/>
        <v>0</v>
      </c>
      <c r="Z33" s="425"/>
      <c r="AA33" s="35">
        <f t="shared" si="22"/>
        <v>0</v>
      </c>
      <c r="AB33" s="433"/>
      <c r="AC33" s="410"/>
      <c r="AD33" s="413"/>
      <c r="AE33" s="410"/>
      <c r="AF33" s="46">
        <v>700</v>
      </c>
      <c r="AG33" s="36">
        <f t="shared" si="19"/>
        <v>0</v>
      </c>
      <c r="AH33" s="36"/>
      <c r="AI33" s="36"/>
      <c r="AJ33" s="36">
        <f t="shared" si="20"/>
        <v>0</v>
      </c>
      <c r="AK33" s="36">
        <f t="shared" si="26"/>
        <v>0</v>
      </c>
      <c r="AL33" s="36">
        <f t="shared" si="21"/>
        <v>0</v>
      </c>
      <c r="AM33" s="36">
        <f t="shared" si="23"/>
        <v>0</v>
      </c>
      <c r="AN33" s="36">
        <f t="shared" si="27"/>
        <v>0</v>
      </c>
      <c r="AO33" s="36">
        <f t="shared" si="28"/>
        <v>0</v>
      </c>
      <c r="AP33" s="36">
        <f t="shared" si="29"/>
        <v>0</v>
      </c>
      <c r="AQ33" s="415"/>
      <c r="AR33" s="398"/>
      <c r="AS33" s="398"/>
    </row>
    <row r="34" spans="2:45" ht="18" x14ac:dyDescent="0.3">
      <c r="B34" s="441"/>
      <c r="S34" s="17">
        <f t="shared" ref="S34:W34" si="30">SUM(S22:S33)</f>
        <v>45625</v>
      </c>
      <c r="T34" s="17">
        <f t="shared" si="30"/>
        <v>3802.083333333333</v>
      </c>
      <c r="U34" s="17">
        <f t="shared" si="30"/>
        <v>125</v>
      </c>
      <c r="V34" s="17">
        <f t="shared" si="30"/>
        <v>100</v>
      </c>
      <c r="W34" s="16">
        <f t="shared" si="30"/>
        <v>6628.4</v>
      </c>
      <c r="X34" s="16"/>
      <c r="Y34" s="16">
        <f>SUM(Y22:Y33)</f>
        <v>5346.4835000000003</v>
      </c>
      <c r="Z34" s="16"/>
      <c r="AA34" s="16">
        <f>SUM(AA22:AA33)</f>
        <v>100</v>
      </c>
      <c r="AB34" s="16"/>
      <c r="AC34" s="16"/>
      <c r="AD34" s="16"/>
      <c r="AE34" s="16"/>
      <c r="AF34" s="16"/>
      <c r="AG34" s="16">
        <f>SUM(AG22:AG33)</f>
        <v>1824021.8</v>
      </c>
      <c r="AH34" s="16"/>
      <c r="AI34" s="16"/>
      <c r="AJ34" s="16"/>
      <c r="AK34" s="16">
        <f t="shared" ref="AK34:AP34" si="31">SUM(AK22:AK33)</f>
        <v>4997.32</v>
      </c>
      <c r="AL34" s="18">
        <f t="shared" si="31"/>
        <v>2867.4811</v>
      </c>
      <c r="AM34" s="18">
        <f t="shared" si="31"/>
        <v>1046630.6015</v>
      </c>
      <c r="AN34" s="16">
        <f t="shared" si="31"/>
        <v>106096.80069999999</v>
      </c>
      <c r="AO34" s="16">
        <f t="shared" si="31"/>
        <v>0.47890916982638887</v>
      </c>
      <c r="AP34" s="16">
        <f t="shared" si="31"/>
        <v>11493.820075833333</v>
      </c>
      <c r="AQ34" s="16"/>
      <c r="AR34" s="16"/>
    </row>
    <row r="35" spans="2:45" x14ac:dyDescent="0.3">
      <c r="B35" s="441"/>
    </row>
    <row r="36" spans="2:45" ht="15" thickBot="1" x14ac:dyDescent="0.35">
      <c r="B36" s="441"/>
    </row>
    <row r="37" spans="2:45" ht="15" thickBot="1" x14ac:dyDescent="0.35">
      <c r="B37" s="441"/>
      <c r="C37" s="416" t="s">
        <v>115</v>
      </c>
      <c r="D37" s="419" t="s">
        <v>9</v>
      </c>
      <c r="E37" s="25" t="s">
        <v>17</v>
      </c>
      <c r="F37" s="2"/>
      <c r="G37" s="62">
        <v>8.1</v>
      </c>
      <c r="H37" s="51" t="s">
        <v>42</v>
      </c>
      <c r="I37" s="51">
        <v>17</v>
      </c>
      <c r="J37" s="51" t="s">
        <v>43</v>
      </c>
      <c r="K37" s="51">
        <v>72</v>
      </c>
      <c r="L37" s="51">
        <v>58</v>
      </c>
      <c r="M37" s="51">
        <v>55</v>
      </c>
      <c r="N37" s="51">
        <v>1.77</v>
      </c>
      <c r="O37" s="51">
        <v>35.69</v>
      </c>
      <c r="P37" s="48"/>
      <c r="Q37" s="422">
        <f>O37/N37</f>
        <v>20.163841807909602</v>
      </c>
      <c r="R37" s="422"/>
      <c r="S37" s="29"/>
      <c r="T37" s="28">
        <f>S37/12</f>
        <v>0</v>
      </c>
      <c r="U37" s="28">
        <f>S37/365</f>
        <v>0</v>
      </c>
      <c r="V37" s="30">
        <f>(T37*100)/$T$49</f>
        <v>0</v>
      </c>
      <c r="W37" s="31">
        <f t="shared" ref="W37:W48" si="32">I37%*S37</f>
        <v>0</v>
      </c>
      <c r="X37" s="423">
        <f>W49/365</f>
        <v>13.209999999999999</v>
      </c>
      <c r="Y37" s="31">
        <f t="shared" ref="Y37:Y48" si="33">W37*K37%</f>
        <v>0</v>
      </c>
      <c r="Z37" s="423">
        <f>Y49/365</f>
        <v>11.036800000000001</v>
      </c>
      <c r="AA37" s="31">
        <f>(Y37*100)/$Y$49</f>
        <v>0</v>
      </c>
      <c r="AB37" s="430">
        <v>7</v>
      </c>
      <c r="AC37" s="408">
        <f>(X37-AB37)/X37</f>
        <v>0.47009841029523086</v>
      </c>
      <c r="AD37" s="411">
        <v>8</v>
      </c>
      <c r="AE37" s="408">
        <f>(Z37-AD37)/Z37</f>
        <v>0.27515221803421291</v>
      </c>
      <c r="AF37" s="47">
        <v>280</v>
      </c>
      <c r="AG37" s="32">
        <f t="shared" ref="AG37:AG48" si="34">Y37*AF37</f>
        <v>0</v>
      </c>
      <c r="AH37" s="32"/>
      <c r="AI37" s="32"/>
      <c r="AJ37" s="32">
        <f t="shared" ref="AJ37:AJ48" si="35">IFERROR(AG37/S37,0)</f>
        <v>0</v>
      </c>
      <c r="AK37" s="32">
        <f>AG37/365</f>
        <v>0</v>
      </c>
      <c r="AL37" s="32">
        <f t="shared" ref="AL37:AL48" si="36">IFERROR(AG37*M37%/365,0)</f>
        <v>0</v>
      </c>
      <c r="AM37" s="32">
        <f>AL37*365</f>
        <v>0</v>
      </c>
      <c r="AN37" s="32">
        <f>AL37*37</f>
        <v>0</v>
      </c>
      <c r="AO37" s="32">
        <f>AN37/3600/24*0.39</f>
        <v>0</v>
      </c>
      <c r="AP37" s="32">
        <f>AO37*1000*24</f>
        <v>0</v>
      </c>
      <c r="AQ37" s="414">
        <v>9000000</v>
      </c>
      <c r="AR37" s="396">
        <f>(Z37*1000)/3.7</f>
        <v>2982.9189189189192</v>
      </c>
      <c r="AS37" s="396">
        <f>AR37/U49</f>
        <v>49.715315315315323</v>
      </c>
    </row>
    <row r="38" spans="2:45" ht="29.4" thickBot="1" x14ac:dyDescent="0.35">
      <c r="B38" s="441"/>
      <c r="C38" s="417"/>
      <c r="D38" s="420"/>
      <c r="E38" s="25" t="s">
        <v>45</v>
      </c>
      <c r="F38" s="2"/>
      <c r="G38" s="49">
        <v>5.09</v>
      </c>
      <c r="H38" s="50" t="s">
        <v>46</v>
      </c>
      <c r="I38" s="51">
        <v>33</v>
      </c>
      <c r="J38" s="52" t="s">
        <v>47</v>
      </c>
      <c r="K38" s="51">
        <v>57</v>
      </c>
      <c r="L38" s="50">
        <v>55</v>
      </c>
      <c r="M38" s="51">
        <v>55</v>
      </c>
      <c r="N38" s="50">
        <v>4.33</v>
      </c>
      <c r="O38" s="50">
        <v>42.82</v>
      </c>
      <c r="P38" s="50"/>
      <c r="Q38" s="399">
        <f>O38/N38</f>
        <v>9.8891454965357966</v>
      </c>
      <c r="R38" s="399"/>
      <c r="S38" s="12">
        <f>5*365</f>
        <v>1825</v>
      </c>
      <c r="T38" s="9">
        <f>S38/12</f>
        <v>152.08333333333334</v>
      </c>
      <c r="U38" s="9">
        <f>S38/365</f>
        <v>5</v>
      </c>
      <c r="V38" s="21">
        <f t="shared" ref="V38:V48" si="37">(T38*100)/$T$49</f>
        <v>8.3333333333333339</v>
      </c>
      <c r="W38" s="11">
        <f t="shared" si="32"/>
        <v>602.25</v>
      </c>
      <c r="X38" s="424"/>
      <c r="Y38" s="11">
        <f t="shared" si="33"/>
        <v>343.28249999999997</v>
      </c>
      <c r="Z38" s="424"/>
      <c r="AA38" s="11">
        <f t="shared" ref="AA38:AA48" si="38">(Y38*100)/$Y$49</f>
        <v>8.5214917367352854</v>
      </c>
      <c r="AB38" s="431"/>
      <c r="AC38" s="409"/>
      <c r="AD38" s="412"/>
      <c r="AE38" s="409"/>
      <c r="AF38" s="45">
        <v>300</v>
      </c>
      <c r="AG38" s="8">
        <f t="shared" si="34"/>
        <v>102984.74999999999</v>
      </c>
      <c r="AH38" s="8"/>
      <c r="AI38" s="8"/>
      <c r="AJ38" s="8">
        <f t="shared" si="35"/>
        <v>56.429999999999993</v>
      </c>
      <c r="AK38" s="8">
        <f>AG38/365</f>
        <v>282.14999999999998</v>
      </c>
      <c r="AL38" s="8">
        <f t="shared" si="36"/>
        <v>155.18249999999998</v>
      </c>
      <c r="AM38" s="8">
        <f t="shared" ref="AM38:AM48" si="39">AL38*365</f>
        <v>56641.612499999988</v>
      </c>
      <c r="AN38" s="8">
        <f>AL38*37</f>
        <v>5741.7524999999987</v>
      </c>
      <c r="AO38" s="8">
        <f>AN38/3600/24*0.39</f>
        <v>2.5917632812499994E-2</v>
      </c>
      <c r="AP38" s="8">
        <f>AO38*1000*24</f>
        <v>622.02318749999995</v>
      </c>
      <c r="AQ38" s="381"/>
      <c r="AR38" s="397"/>
      <c r="AS38" s="397"/>
    </row>
    <row r="39" spans="2:45" ht="15" thickBot="1" x14ac:dyDescent="0.35">
      <c r="B39" s="441"/>
      <c r="C39" s="417"/>
      <c r="D39" s="421"/>
      <c r="E39" s="25" t="s">
        <v>6</v>
      </c>
      <c r="F39" s="2"/>
      <c r="G39" s="49">
        <v>7.8</v>
      </c>
      <c r="H39" s="50" t="s">
        <v>48</v>
      </c>
      <c r="I39" s="51">
        <v>20</v>
      </c>
      <c r="J39" s="50" t="s">
        <v>154</v>
      </c>
      <c r="K39" s="51">
        <v>68</v>
      </c>
      <c r="L39" s="50">
        <v>58</v>
      </c>
      <c r="M39" s="51">
        <v>60</v>
      </c>
      <c r="N39" s="50">
        <v>2.15</v>
      </c>
      <c r="O39" s="50">
        <v>38.4</v>
      </c>
      <c r="P39" s="50"/>
      <c r="Q39" s="399">
        <f>O39/N39</f>
        <v>17.86046511627907</v>
      </c>
      <c r="R39" s="399"/>
      <c r="S39" s="12"/>
      <c r="T39" s="9">
        <f>S39/12</f>
        <v>0</v>
      </c>
      <c r="U39" s="9">
        <f>S39/365</f>
        <v>0</v>
      </c>
      <c r="V39" s="21">
        <f t="shared" si="37"/>
        <v>0</v>
      </c>
      <c r="W39" s="11">
        <f t="shared" si="32"/>
        <v>0</v>
      </c>
      <c r="X39" s="424"/>
      <c r="Y39" s="11">
        <f t="shared" si="33"/>
        <v>0</v>
      </c>
      <c r="Z39" s="424"/>
      <c r="AA39" s="11">
        <f t="shared" si="38"/>
        <v>0</v>
      </c>
      <c r="AB39" s="431"/>
      <c r="AC39" s="409"/>
      <c r="AD39" s="412"/>
      <c r="AE39" s="409"/>
      <c r="AF39" s="45">
        <v>280</v>
      </c>
      <c r="AG39" s="8">
        <f t="shared" si="34"/>
        <v>0</v>
      </c>
      <c r="AH39" s="8"/>
      <c r="AI39" s="8"/>
      <c r="AJ39" s="8">
        <f t="shared" si="35"/>
        <v>0</v>
      </c>
      <c r="AK39" s="8">
        <f>AG39/365</f>
        <v>0</v>
      </c>
      <c r="AL39" s="8">
        <f t="shared" si="36"/>
        <v>0</v>
      </c>
      <c r="AM39" s="8">
        <f t="shared" si="39"/>
        <v>0</v>
      </c>
      <c r="AN39" s="8">
        <f>AL39*37</f>
        <v>0</v>
      </c>
      <c r="AO39" s="8">
        <f>AN39/3600/24*0.39</f>
        <v>0</v>
      </c>
      <c r="AP39" s="8">
        <f>AO39*1000*24</f>
        <v>0</v>
      </c>
      <c r="AQ39" s="381"/>
      <c r="AR39" s="397"/>
      <c r="AS39" s="397"/>
    </row>
    <row r="40" spans="2:45" ht="15" thickBot="1" x14ac:dyDescent="0.35">
      <c r="B40" s="441"/>
      <c r="C40" s="417"/>
      <c r="D40" s="88" t="s">
        <v>10</v>
      </c>
      <c r="E40" s="25" t="s">
        <v>18</v>
      </c>
      <c r="F40" s="2"/>
      <c r="G40" s="53" t="s">
        <v>22</v>
      </c>
      <c r="H40" s="54" t="s">
        <v>20</v>
      </c>
      <c r="I40" s="51">
        <v>8</v>
      </c>
      <c r="J40" s="52" t="s">
        <v>23</v>
      </c>
      <c r="K40" s="51">
        <v>80</v>
      </c>
      <c r="L40" s="52" t="s">
        <v>44</v>
      </c>
      <c r="M40" s="51">
        <v>50</v>
      </c>
      <c r="N40" s="55" t="s">
        <v>24</v>
      </c>
      <c r="O40" s="50"/>
      <c r="P40" s="50"/>
      <c r="Q40" s="399">
        <f>O40/N40</f>
        <v>0</v>
      </c>
      <c r="R40" s="399"/>
      <c r="S40" s="12"/>
      <c r="T40" s="9">
        <f t="shared" ref="T40:T48" si="40">S40/12</f>
        <v>0</v>
      </c>
      <c r="U40" s="9">
        <f t="shared" ref="U40:U48" si="41">S40/365</f>
        <v>0</v>
      </c>
      <c r="V40" s="21">
        <f t="shared" si="37"/>
        <v>0</v>
      </c>
      <c r="W40" s="11">
        <f t="shared" si="32"/>
        <v>0</v>
      </c>
      <c r="X40" s="424"/>
      <c r="Y40" s="11">
        <f t="shared" si="33"/>
        <v>0</v>
      </c>
      <c r="Z40" s="424"/>
      <c r="AA40" s="11">
        <f t="shared" si="38"/>
        <v>0</v>
      </c>
      <c r="AB40" s="431"/>
      <c r="AC40" s="409"/>
      <c r="AD40" s="412"/>
      <c r="AE40" s="409"/>
      <c r="AF40" s="45">
        <v>200</v>
      </c>
      <c r="AG40" s="8">
        <f t="shared" si="34"/>
        <v>0</v>
      </c>
      <c r="AH40" s="8"/>
      <c r="AI40" s="8"/>
      <c r="AJ40" s="8">
        <f t="shared" si="35"/>
        <v>0</v>
      </c>
      <c r="AK40" s="8">
        <f t="shared" ref="AK40:AK48" si="42">AG40/365</f>
        <v>0</v>
      </c>
      <c r="AL40" s="8">
        <f t="shared" si="36"/>
        <v>0</v>
      </c>
      <c r="AM40" s="8">
        <f t="shared" si="39"/>
        <v>0</v>
      </c>
      <c r="AN40" s="8">
        <f t="shared" ref="AN40:AN48" si="43">AL40*37</f>
        <v>0</v>
      </c>
      <c r="AO40" s="8">
        <f t="shared" ref="AO40:AO48" si="44">AN40/3600/24*0.39</f>
        <v>0</v>
      </c>
      <c r="AP40" s="8">
        <f t="shared" ref="AP40:AP48" si="45">AO40*1000*24</f>
        <v>0</v>
      </c>
      <c r="AQ40" s="381"/>
      <c r="AR40" s="397"/>
      <c r="AS40" s="397"/>
    </row>
    <row r="41" spans="2:45" ht="28.5" customHeight="1" thickBot="1" x14ac:dyDescent="0.35">
      <c r="B41" s="441"/>
      <c r="C41" s="417"/>
      <c r="D41" s="88" t="s">
        <v>11</v>
      </c>
      <c r="E41" s="27" t="s">
        <v>58</v>
      </c>
      <c r="F41" s="24"/>
      <c r="G41" s="56" t="s">
        <v>67</v>
      </c>
      <c r="H41" s="50" t="s">
        <v>59</v>
      </c>
      <c r="I41" s="51">
        <v>12</v>
      </c>
      <c r="J41" s="50">
        <v>89</v>
      </c>
      <c r="K41" s="51">
        <v>89</v>
      </c>
      <c r="L41" s="50" t="s">
        <v>57</v>
      </c>
      <c r="M41" s="51">
        <v>51</v>
      </c>
      <c r="N41" s="50">
        <v>1.4</v>
      </c>
      <c r="O41" s="50"/>
      <c r="P41" s="50"/>
      <c r="Q41" s="399" t="s">
        <v>70</v>
      </c>
      <c r="R41" s="399"/>
      <c r="S41" s="12">
        <f>5*365</f>
        <v>1825</v>
      </c>
      <c r="T41" s="9">
        <f t="shared" si="40"/>
        <v>152.08333333333334</v>
      </c>
      <c r="U41" s="9">
        <f t="shared" si="41"/>
        <v>5</v>
      </c>
      <c r="V41" s="21">
        <f t="shared" si="37"/>
        <v>8.3333333333333339</v>
      </c>
      <c r="W41" s="11">
        <f t="shared" si="32"/>
        <v>219</v>
      </c>
      <c r="X41" s="424"/>
      <c r="Y41" s="11">
        <f t="shared" si="33"/>
        <v>194.91</v>
      </c>
      <c r="Z41" s="424"/>
      <c r="AA41" s="11">
        <f t="shared" si="38"/>
        <v>4.8383589446216293</v>
      </c>
      <c r="AB41" s="431"/>
      <c r="AC41" s="409"/>
      <c r="AD41" s="412"/>
      <c r="AE41" s="409"/>
      <c r="AF41" s="45">
        <v>300</v>
      </c>
      <c r="AG41" s="8">
        <f t="shared" si="34"/>
        <v>58473</v>
      </c>
      <c r="AH41" s="8"/>
      <c r="AI41" s="8"/>
      <c r="AJ41" s="8">
        <f t="shared" si="35"/>
        <v>32.04</v>
      </c>
      <c r="AK41" s="8">
        <f t="shared" si="42"/>
        <v>160.19999999999999</v>
      </c>
      <c r="AL41" s="8">
        <f t="shared" si="36"/>
        <v>81.701999999999998</v>
      </c>
      <c r="AM41" s="8">
        <f t="shared" si="39"/>
        <v>29821.23</v>
      </c>
      <c r="AN41" s="8">
        <f t="shared" si="43"/>
        <v>3022.9740000000002</v>
      </c>
      <c r="AO41" s="8">
        <f t="shared" si="44"/>
        <v>1.3645368750000001E-2</v>
      </c>
      <c r="AP41" s="8">
        <f t="shared" si="45"/>
        <v>327.48885000000001</v>
      </c>
      <c r="AQ41" s="381"/>
      <c r="AR41" s="397"/>
      <c r="AS41" s="397"/>
    </row>
    <row r="42" spans="2:45" ht="29.4" thickBot="1" x14ac:dyDescent="0.35">
      <c r="B42" s="441"/>
      <c r="C42" s="417"/>
      <c r="D42" s="426" t="s">
        <v>12</v>
      </c>
      <c r="E42" s="26" t="s">
        <v>27</v>
      </c>
      <c r="F42" s="24" t="s">
        <v>112</v>
      </c>
      <c r="G42" s="57" t="s">
        <v>29</v>
      </c>
      <c r="H42" s="50" t="s">
        <v>28</v>
      </c>
      <c r="I42" s="51">
        <v>25</v>
      </c>
      <c r="J42" s="50" t="s">
        <v>60</v>
      </c>
      <c r="K42" s="51">
        <v>90</v>
      </c>
      <c r="L42" s="50">
        <v>65</v>
      </c>
      <c r="M42" s="51">
        <v>60</v>
      </c>
      <c r="N42" s="55" t="s">
        <v>61</v>
      </c>
      <c r="O42" s="50"/>
      <c r="P42" s="50"/>
      <c r="Q42" s="399">
        <v>35</v>
      </c>
      <c r="R42" s="399"/>
      <c r="S42" s="12">
        <f>33*365</f>
        <v>12045</v>
      </c>
      <c r="T42" s="9">
        <f t="shared" si="40"/>
        <v>1003.75</v>
      </c>
      <c r="U42" s="9">
        <f t="shared" si="41"/>
        <v>33</v>
      </c>
      <c r="V42" s="21">
        <f t="shared" si="37"/>
        <v>55</v>
      </c>
      <c r="W42" s="11">
        <f t="shared" si="32"/>
        <v>3011.25</v>
      </c>
      <c r="X42" s="424"/>
      <c r="Y42" s="11">
        <f t="shared" si="33"/>
        <v>2710.125</v>
      </c>
      <c r="Z42" s="424"/>
      <c r="AA42" s="37">
        <f t="shared" si="38"/>
        <v>67.274934763699619</v>
      </c>
      <c r="AB42" s="431"/>
      <c r="AC42" s="409"/>
      <c r="AD42" s="412"/>
      <c r="AE42" s="409"/>
      <c r="AF42" s="45">
        <v>590</v>
      </c>
      <c r="AG42" s="8">
        <f t="shared" si="34"/>
        <v>1598973.75</v>
      </c>
      <c r="AH42" s="8"/>
      <c r="AI42" s="8"/>
      <c r="AJ42" s="8">
        <f t="shared" si="35"/>
        <v>132.75</v>
      </c>
      <c r="AK42" s="8">
        <f t="shared" si="42"/>
        <v>4380.75</v>
      </c>
      <c r="AL42" s="8">
        <f t="shared" si="36"/>
        <v>2628.45</v>
      </c>
      <c r="AM42" s="8">
        <f t="shared" si="39"/>
        <v>959384.24999999988</v>
      </c>
      <c r="AN42" s="8">
        <f t="shared" si="43"/>
        <v>97252.65</v>
      </c>
      <c r="AO42" s="8">
        <f t="shared" si="44"/>
        <v>0.43898765625000002</v>
      </c>
      <c r="AP42" s="8">
        <f t="shared" si="45"/>
        <v>10535.703750000001</v>
      </c>
      <c r="AQ42" s="381"/>
      <c r="AR42" s="397"/>
      <c r="AS42" s="397"/>
    </row>
    <row r="43" spans="2:45" ht="29.4" thickBot="1" x14ac:dyDescent="0.35">
      <c r="B43" s="441"/>
      <c r="C43" s="417"/>
      <c r="D43" s="426"/>
      <c r="E43" s="27" t="s">
        <v>158</v>
      </c>
      <c r="F43" s="2"/>
      <c r="G43" s="57" t="s">
        <v>75</v>
      </c>
      <c r="H43" s="50" t="s">
        <v>155</v>
      </c>
      <c r="I43" s="51">
        <v>12</v>
      </c>
      <c r="J43" s="50" t="s">
        <v>62</v>
      </c>
      <c r="K43" s="51">
        <v>85</v>
      </c>
      <c r="L43" s="50" t="s">
        <v>63</v>
      </c>
      <c r="M43" s="51">
        <v>55</v>
      </c>
      <c r="N43" s="50"/>
      <c r="O43" s="50"/>
      <c r="P43" s="50"/>
      <c r="Q43" s="400"/>
      <c r="R43" s="401"/>
      <c r="S43" s="13"/>
      <c r="T43" s="9">
        <f t="shared" si="40"/>
        <v>0</v>
      </c>
      <c r="U43" s="9">
        <f t="shared" si="41"/>
        <v>0</v>
      </c>
      <c r="V43" s="21">
        <f t="shared" si="37"/>
        <v>0</v>
      </c>
      <c r="W43" s="11">
        <f t="shared" si="32"/>
        <v>0</v>
      </c>
      <c r="X43" s="424"/>
      <c r="Y43" s="11">
        <f t="shared" si="33"/>
        <v>0</v>
      </c>
      <c r="Z43" s="424"/>
      <c r="AA43" s="11">
        <f t="shared" si="38"/>
        <v>0</v>
      </c>
      <c r="AB43" s="431"/>
      <c r="AC43" s="409"/>
      <c r="AD43" s="412"/>
      <c r="AE43" s="409"/>
      <c r="AF43" s="45">
        <v>500</v>
      </c>
      <c r="AG43" s="8">
        <f t="shared" si="34"/>
        <v>0</v>
      </c>
      <c r="AH43" s="8"/>
      <c r="AI43" s="8"/>
      <c r="AJ43" s="8">
        <f t="shared" si="35"/>
        <v>0</v>
      </c>
      <c r="AK43" s="8">
        <f t="shared" si="42"/>
        <v>0</v>
      </c>
      <c r="AL43" s="8">
        <f t="shared" si="36"/>
        <v>0</v>
      </c>
      <c r="AM43" s="8">
        <f t="shared" si="39"/>
        <v>0</v>
      </c>
      <c r="AN43" s="8">
        <f t="shared" si="43"/>
        <v>0</v>
      </c>
      <c r="AO43" s="8">
        <f t="shared" si="44"/>
        <v>0</v>
      </c>
      <c r="AP43" s="8">
        <f t="shared" si="45"/>
        <v>0</v>
      </c>
      <c r="AQ43" s="381"/>
      <c r="AR43" s="397"/>
      <c r="AS43" s="397"/>
    </row>
    <row r="44" spans="2:45" ht="29.4" thickBot="1" x14ac:dyDescent="0.35">
      <c r="B44" s="441"/>
      <c r="C44" s="417"/>
      <c r="D44" s="426"/>
      <c r="E44" s="27" t="s">
        <v>64</v>
      </c>
      <c r="F44" s="24"/>
      <c r="G44" s="57" t="s">
        <v>79</v>
      </c>
      <c r="H44" s="55" t="s">
        <v>21</v>
      </c>
      <c r="I44" s="51">
        <v>8</v>
      </c>
      <c r="J44" s="50" t="s">
        <v>65</v>
      </c>
      <c r="K44" s="51">
        <v>83</v>
      </c>
      <c r="L44" s="50" t="s">
        <v>66</v>
      </c>
      <c r="M44" s="51">
        <v>58</v>
      </c>
      <c r="N44" s="55" t="s">
        <v>73</v>
      </c>
      <c r="O44" s="50"/>
      <c r="P44" s="50"/>
      <c r="Q44" s="400"/>
      <c r="R44" s="401"/>
      <c r="S44" s="13">
        <f>7*365</f>
        <v>2555</v>
      </c>
      <c r="T44" s="9">
        <f t="shared" si="40"/>
        <v>212.91666666666666</v>
      </c>
      <c r="U44" s="9">
        <f t="shared" si="41"/>
        <v>7</v>
      </c>
      <c r="V44" s="21">
        <f t="shared" si="37"/>
        <v>11.666666666666666</v>
      </c>
      <c r="W44" s="11">
        <f t="shared" si="32"/>
        <v>204.4</v>
      </c>
      <c r="X44" s="424"/>
      <c r="Y44" s="11">
        <f t="shared" si="33"/>
        <v>169.65199999999999</v>
      </c>
      <c r="Z44" s="424"/>
      <c r="AA44" s="11">
        <f t="shared" si="38"/>
        <v>4.2113656132212229</v>
      </c>
      <c r="AB44" s="431"/>
      <c r="AC44" s="409"/>
      <c r="AD44" s="412"/>
      <c r="AE44" s="409"/>
      <c r="AF44" s="45">
        <v>400</v>
      </c>
      <c r="AG44" s="8">
        <f t="shared" si="34"/>
        <v>67860.799999999988</v>
      </c>
      <c r="AH44" s="8"/>
      <c r="AI44" s="8"/>
      <c r="AJ44" s="8">
        <f t="shared" si="35"/>
        <v>26.559999999999995</v>
      </c>
      <c r="AK44" s="8">
        <f t="shared" si="42"/>
        <v>185.91999999999996</v>
      </c>
      <c r="AL44" s="8">
        <f t="shared" si="36"/>
        <v>107.83359999999996</v>
      </c>
      <c r="AM44" s="8">
        <f t="shared" si="39"/>
        <v>39359.263999999988</v>
      </c>
      <c r="AN44" s="8">
        <f t="shared" si="43"/>
        <v>3989.8431999999984</v>
      </c>
      <c r="AO44" s="8">
        <f t="shared" si="44"/>
        <v>1.8009708888888882E-2</v>
      </c>
      <c r="AP44" s="8">
        <f t="shared" si="45"/>
        <v>432.23301333333313</v>
      </c>
      <c r="AQ44" s="381"/>
      <c r="AR44" s="397"/>
      <c r="AS44" s="397"/>
    </row>
    <row r="45" spans="2:45" ht="29.4" thickBot="1" x14ac:dyDescent="0.35">
      <c r="B45" s="441"/>
      <c r="C45" s="417"/>
      <c r="D45" s="88" t="s">
        <v>13</v>
      </c>
      <c r="E45" s="25" t="s">
        <v>156</v>
      </c>
      <c r="F45" s="24"/>
      <c r="G45" s="49" t="s">
        <v>37</v>
      </c>
      <c r="H45" s="50" t="s">
        <v>38</v>
      </c>
      <c r="I45" s="51">
        <v>40</v>
      </c>
      <c r="J45" s="50" t="s">
        <v>39</v>
      </c>
      <c r="K45" s="51">
        <v>97</v>
      </c>
      <c r="L45" s="50" t="s">
        <v>50</v>
      </c>
      <c r="M45" s="51">
        <v>69</v>
      </c>
      <c r="N45" s="50" t="s">
        <v>35</v>
      </c>
      <c r="O45" s="50"/>
      <c r="P45" s="50"/>
      <c r="Q45" s="399" t="s">
        <v>36</v>
      </c>
      <c r="R45" s="399"/>
      <c r="S45" s="12"/>
      <c r="T45" s="9">
        <f t="shared" si="40"/>
        <v>0</v>
      </c>
      <c r="U45" s="9">
        <f t="shared" si="41"/>
        <v>0</v>
      </c>
      <c r="V45" s="21">
        <f t="shared" si="37"/>
        <v>0</v>
      </c>
      <c r="W45" s="11">
        <f t="shared" si="32"/>
        <v>0</v>
      </c>
      <c r="X45" s="424"/>
      <c r="Y45" s="11">
        <f t="shared" si="33"/>
        <v>0</v>
      </c>
      <c r="Z45" s="424"/>
      <c r="AA45" s="11">
        <f t="shared" si="38"/>
        <v>0</v>
      </c>
      <c r="AB45" s="431"/>
      <c r="AC45" s="409"/>
      <c r="AD45" s="412"/>
      <c r="AE45" s="409"/>
      <c r="AF45" s="45">
        <v>500</v>
      </c>
      <c r="AG45" s="8">
        <f t="shared" si="34"/>
        <v>0</v>
      </c>
      <c r="AH45" s="8"/>
      <c r="AI45" s="8"/>
      <c r="AJ45" s="8">
        <f t="shared" si="35"/>
        <v>0</v>
      </c>
      <c r="AK45" s="8">
        <f t="shared" si="42"/>
        <v>0</v>
      </c>
      <c r="AL45" s="8">
        <f t="shared" si="36"/>
        <v>0</v>
      </c>
      <c r="AM45" s="8">
        <f t="shared" si="39"/>
        <v>0</v>
      </c>
      <c r="AN45" s="8">
        <f t="shared" si="43"/>
        <v>0</v>
      </c>
      <c r="AO45" s="8">
        <f t="shared" si="44"/>
        <v>0</v>
      </c>
      <c r="AP45" s="8">
        <f t="shared" si="45"/>
        <v>0</v>
      </c>
      <c r="AQ45" s="381"/>
      <c r="AR45" s="397"/>
      <c r="AS45" s="397"/>
    </row>
    <row r="46" spans="2:45" ht="29.4" thickBot="1" x14ac:dyDescent="0.35">
      <c r="B46" s="441"/>
      <c r="C46" s="417"/>
      <c r="D46" s="88" t="s">
        <v>14</v>
      </c>
      <c r="E46" s="25" t="s">
        <v>55</v>
      </c>
      <c r="F46" s="2"/>
      <c r="G46" s="49" t="s">
        <v>80</v>
      </c>
      <c r="H46" s="50" t="s">
        <v>56</v>
      </c>
      <c r="I46" s="51">
        <v>22</v>
      </c>
      <c r="J46" s="50" t="s">
        <v>30</v>
      </c>
      <c r="K46" s="51">
        <v>90</v>
      </c>
      <c r="L46" s="50" t="s">
        <v>57</v>
      </c>
      <c r="M46" s="51">
        <v>54</v>
      </c>
      <c r="N46" s="50">
        <v>1.5</v>
      </c>
      <c r="O46" s="50"/>
      <c r="P46" s="50"/>
      <c r="Q46" s="399" t="s">
        <v>72</v>
      </c>
      <c r="R46" s="399"/>
      <c r="S46" s="12">
        <f>5*365</f>
        <v>1825</v>
      </c>
      <c r="T46" s="9">
        <f t="shared" si="40"/>
        <v>152.08333333333334</v>
      </c>
      <c r="U46" s="9">
        <f t="shared" si="41"/>
        <v>5</v>
      </c>
      <c r="V46" s="21">
        <f t="shared" si="37"/>
        <v>8.3333333333333339</v>
      </c>
      <c r="W46" s="11">
        <f t="shared" si="32"/>
        <v>401.5</v>
      </c>
      <c r="X46" s="424"/>
      <c r="Y46" s="11">
        <f t="shared" si="33"/>
        <v>361.35</v>
      </c>
      <c r="Z46" s="424"/>
      <c r="AA46" s="11">
        <f t="shared" si="38"/>
        <v>8.9699913018266155</v>
      </c>
      <c r="AB46" s="431"/>
      <c r="AC46" s="409"/>
      <c r="AD46" s="412"/>
      <c r="AE46" s="409"/>
      <c r="AF46" s="45">
        <v>170</v>
      </c>
      <c r="AG46" s="8">
        <f t="shared" si="34"/>
        <v>61429.500000000007</v>
      </c>
      <c r="AH46" s="8"/>
      <c r="AI46" s="8"/>
      <c r="AJ46" s="8">
        <f t="shared" si="35"/>
        <v>33.660000000000004</v>
      </c>
      <c r="AK46" s="8">
        <f t="shared" si="42"/>
        <v>168.3</v>
      </c>
      <c r="AL46" s="8">
        <f t="shared" si="36"/>
        <v>90.882000000000019</v>
      </c>
      <c r="AM46" s="8">
        <f t="shared" si="39"/>
        <v>33171.930000000008</v>
      </c>
      <c r="AN46" s="8">
        <f t="shared" si="43"/>
        <v>3362.6340000000009</v>
      </c>
      <c r="AO46" s="8">
        <f t="shared" si="44"/>
        <v>1.5178556250000006E-2</v>
      </c>
      <c r="AP46" s="8">
        <f t="shared" si="45"/>
        <v>364.28535000000016</v>
      </c>
      <c r="AQ46" s="381"/>
      <c r="AR46" s="397"/>
      <c r="AS46" s="397"/>
    </row>
    <row r="47" spans="2:45" ht="15" thickBot="1" x14ac:dyDescent="0.35">
      <c r="B47" s="441"/>
      <c r="C47" s="417"/>
      <c r="D47" s="88" t="s">
        <v>15</v>
      </c>
      <c r="E47" s="25" t="s">
        <v>7</v>
      </c>
      <c r="F47" s="2"/>
      <c r="G47" s="49">
        <v>5.7</v>
      </c>
      <c r="H47" s="58" t="s">
        <v>51</v>
      </c>
      <c r="I47" s="51">
        <v>21</v>
      </c>
      <c r="J47" s="50" t="s">
        <v>32</v>
      </c>
      <c r="K47" s="51">
        <v>65</v>
      </c>
      <c r="L47" s="50" t="s">
        <v>52</v>
      </c>
      <c r="M47" s="51">
        <v>58</v>
      </c>
      <c r="N47" s="50"/>
      <c r="O47" s="50"/>
      <c r="P47" s="50"/>
      <c r="Q47" s="399" t="e">
        <f>O47/N47</f>
        <v>#DIV/0!</v>
      </c>
      <c r="R47" s="399"/>
      <c r="S47" s="12">
        <f>5*365</f>
        <v>1825</v>
      </c>
      <c r="T47" s="9">
        <f t="shared" si="40"/>
        <v>152.08333333333334</v>
      </c>
      <c r="U47" s="9">
        <f t="shared" si="41"/>
        <v>5</v>
      </c>
      <c r="V47" s="21">
        <f t="shared" si="37"/>
        <v>8.3333333333333339</v>
      </c>
      <c r="W47" s="11">
        <f t="shared" si="32"/>
        <v>383.25</v>
      </c>
      <c r="X47" s="424"/>
      <c r="Y47" s="11">
        <f t="shared" si="33"/>
        <v>249.11250000000001</v>
      </c>
      <c r="Z47" s="424"/>
      <c r="AA47" s="11">
        <f t="shared" si="38"/>
        <v>6.1838576398956215</v>
      </c>
      <c r="AB47" s="431"/>
      <c r="AC47" s="409"/>
      <c r="AD47" s="412"/>
      <c r="AE47" s="409"/>
      <c r="AF47" s="45">
        <v>580</v>
      </c>
      <c r="AG47" s="8">
        <f t="shared" si="34"/>
        <v>144485.25</v>
      </c>
      <c r="AH47" s="8"/>
      <c r="AI47" s="8"/>
      <c r="AJ47" s="8">
        <f t="shared" si="35"/>
        <v>79.17</v>
      </c>
      <c r="AK47" s="8">
        <f t="shared" si="42"/>
        <v>395.85</v>
      </c>
      <c r="AL47" s="8">
        <f t="shared" si="36"/>
        <v>229.59299999999999</v>
      </c>
      <c r="AM47" s="8">
        <f t="shared" si="39"/>
        <v>83801.444999999992</v>
      </c>
      <c r="AN47" s="8">
        <f t="shared" si="43"/>
        <v>8494.9409999999989</v>
      </c>
      <c r="AO47" s="8">
        <f t="shared" si="44"/>
        <v>3.8345219791666663E-2</v>
      </c>
      <c r="AP47" s="8">
        <f t="shared" si="45"/>
        <v>920.28527499999996</v>
      </c>
      <c r="AQ47" s="381"/>
      <c r="AR47" s="397"/>
      <c r="AS47" s="397"/>
    </row>
    <row r="48" spans="2:45" ht="58.2" thickBot="1" x14ac:dyDescent="0.35">
      <c r="B48" s="441"/>
      <c r="C48" s="418"/>
      <c r="D48" s="88" t="s">
        <v>16</v>
      </c>
      <c r="E48" s="25" t="s">
        <v>53</v>
      </c>
      <c r="F48" s="2"/>
      <c r="G48" s="59"/>
      <c r="H48" s="60" t="s">
        <v>28</v>
      </c>
      <c r="I48" s="61">
        <v>16</v>
      </c>
      <c r="J48" s="60" t="s">
        <v>34</v>
      </c>
      <c r="K48" s="61">
        <v>85</v>
      </c>
      <c r="L48" s="60" t="s">
        <v>54</v>
      </c>
      <c r="M48" s="61">
        <v>52</v>
      </c>
      <c r="N48" s="60" t="s">
        <v>76</v>
      </c>
      <c r="O48" s="60"/>
      <c r="P48" s="60"/>
      <c r="Q48" s="427" t="e">
        <f>O48/N48</f>
        <v>#VALUE!</v>
      </c>
      <c r="R48" s="427"/>
      <c r="S48" s="14"/>
      <c r="T48" s="33">
        <f t="shared" si="40"/>
        <v>0</v>
      </c>
      <c r="U48" s="33">
        <f t="shared" si="41"/>
        <v>0</v>
      </c>
      <c r="V48" s="34">
        <f t="shared" si="37"/>
        <v>0</v>
      </c>
      <c r="W48" s="35">
        <f t="shared" si="32"/>
        <v>0</v>
      </c>
      <c r="X48" s="425"/>
      <c r="Y48" s="35">
        <f t="shared" si="33"/>
        <v>0</v>
      </c>
      <c r="Z48" s="425"/>
      <c r="AA48" s="35">
        <f t="shared" si="38"/>
        <v>0</v>
      </c>
      <c r="AB48" s="433"/>
      <c r="AC48" s="410"/>
      <c r="AD48" s="413"/>
      <c r="AE48" s="410"/>
      <c r="AF48" s="46">
        <v>700</v>
      </c>
      <c r="AG48" s="36">
        <f t="shared" si="34"/>
        <v>0</v>
      </c>
      <c r="AH48" s="36"/>
      <c r="AI48" s="36"/>
      <c r="AJ48" s="36">
        <f t="shared" si="35"/>
        <v>0</v>
      </c>
      <c r="AK48" s="36">
        <f t="shared" si="42"/>
        <v>0</v>
      </c>
      <c r="AL48" s="36">
        <f t="shared" si="36"/>
        <v>0</v>
      </c>
      <c r="AM48" s="36">
        <f t="shared" si="39"/>
        <v>0</v>
      </c>
      <c r="AN48" s="36">
        <f t="shared" si="43"/>
        <v>0</v>
      </c>
      <c r="AO48" s="36">
        <f t="shared" si="44"/>
        <v>0</v>
      </c>
      <c r="AP48" s="36">
        <f t="shared" si="45"/>
        <v>0</v>
      </c>
      <c r="AQ48" s="415"/>
      <c r="AR48" s="398"/>
      <c r="AS48" s="398"/>
    </row>
    <row r="49" spans="2:45" ht="18" x14ac:dyDescent="0.3">
      <c r="B49" s="441"/>
      <c r="S49" s="17">
        <f t="shared" ref="S49:W49" si="46">SUM(S37:S48)</f>
        <v>21900</v>
      </c>
      <c r="T49" s="17">
        <f t="shared" si="46"/>
        <v>1825</v>
      </c>
      <c r="U49" s="17">
        <f t="shared" si="46"/>
        <v>60</v>
      </c>
      <c r="V49" s="17">
        <f t="shared" si="46"/>
        <v>100</v>
      </c>
      <c r="W49" s="16">
        <f t="shared" si="46"/>
        <v>4821.6499999999996</v>
      </c>
      <c r="X49" s="16"/>
      <c r="Y49" s="16">
        <f>SUM(Y37:Y48)</f>
        <v>4028.4320000000002</v>
      </c>
      <c r="Z49" s="16"/>
      <c r="AA49" s="16">
        <f>SUM(AA37:AA48)</f>
        <v>99.999999999999986</v>
      </c>
      <c r="AB49" s="16"/>
      <c r="AC49" s="16"/>
      <c r="AD49" s="16"/>
      <c r="AE49" s="16"/>
      <c r="AF49" s="16"/>
      <c r="AG49" s="16">
        <f>SUM(AG37:AG48)</f>
        <v>2034207.05</v>
      </c>
      <c r="AH49" s="16"/>
      <c r="AI49" s="16"/>
      <c r="AJ49" s="16"/>
      <c r="AK49" s="16">
        <f t="shared" ref="AK49:AP49" si="47">SUM(AK37:AK48)</f>
        <v>5573.170000000001</v>
      </c>
      <c r="AL49" s="18">
        <f t="shared" si="47"/>
        <v>3293.6430999999998</v>
      </c>
      <c r="AM49" s="18">
        <f t="shared" si="47"/>
        <v>1202179.7315</v>
      </c>
      <c r="AN49" s="16">
        <f t="shared" si="47"/>
        <v>121864.7947</v>
      </c>
      <c r="AO49" s="16">
        <f t="shared" si="47"/>
        <v>0.55008414274305562</v>
      </c>
      <c r="AP49" s="16">
        <f t="shared" si="47"/>
        <v>13202.019425833334</v>
      </c>
      <c r="AQ49" s="16"/>
      <c r="AR49" s="16"/>
    </row>
    <row r="50" spans="2:45" x14ac:dyDescent="0.3">
      <c r="B50" s="441"/>
    </row>
    <row r="51" spans="2:45" x14ac:dyDescent="0.3">
      <c r="B51" s="441"/>
    </row>
    <row r="52" spans="2:45" x14ac:dyDescent="0.3">
      <c r="B52" s="441"/>
    </row>
    <row r="53" spans="2:45" ht="15" thickBot="1" x14ac:dyDescent="0.35">
      <c r="B53" s="441"/>
    </row>
    <row r="54" spans="2:45" ht="15" customHeight="1" thickBot="1" x14ac:dyDescent="0.35">
      <c r="B54" s="441"/>
      <c r="C54" s="428" t="s">
        <v>143</v>
      </c>
      <c r="D54" s="419" t="s">
        <v>9</v>
      </c>
      <c r="E54" s="26" t="s">
        <v>17</v>
      </c>
      <c r="F54" s="24" t="s">
        <v>112</v>
      </c>
      <c r="G54" s="62">
        <v>8.1</v>
      </c>
      <c r="H54" s="51" t="s">
        <v>42</v>
      </c>
      <c r="I54" s="51">
        <v>17</v>
      </c>
      <c r="J54" s="51" t="s">
        <v>43</v>
      </c>
      <c r="K54" s="51">
        <v>72</v>
      </c>
      <c r="L54" s="51">
        <v>58</v>
      </c>
      <c r="M54" s="51">
        <v>55</v>
      </c>
      <c r="N54" s="51">
        <v>1.77</v>
      </c>
      <c r="O54" s="51">
        <v>35.69</v>
      </c>
      <c r="P54" s="51"/>
      <c r="Q54" s="432">
        <f>O54/N54</f>
        <v>20.163841807909602</v>
      </c>
      <c r="R54" s="432"/>
      <c r="S54" s="10">
        <f>29*365</f>
        <v>10585</v>
      </c>
      <c r="T54" s="9">
        <f>S54/12</f>
        <v>882.08333333333337</v>
      </c>
      <c r="U54" s="9">
        <f>S54/365</f>
        <v>29</v>
      </c>
      <c r="V54" s="21">
        <f t="shared" ref="V54:V65" si="48">(T54*100)/$T$66</f>
        <v>25.438596491228068</v>
      </c>
      <c r="W54" s="11">
        <f t="shared" ref="W54:W65" si="49">I54%*S54</f>
        <v>1799.45</v>
      </c>
      <c r="X54" s="423">
        <f>W66/365</f>
        <v>24.1</v>
      </c>
      <c r="Y54" s="11">
        <f t="shared" ref="Y54:Y65" si="50">W54*K54%</f>
        <v>1295.604</v>
      </c>
      <c r="Z54" s="423">
        <f>Y66/365</f>
        <v>16.675699999999999</v>
      </c>
      <c r="AA54" s="11">
        <f>(Y54*100)/$Y$66</f>
        <v>21.286062953879</v>
      </c>
      <c r="AB54" s="430">
        <v>10</v>
      </c>
      <c r="AC54" s="408">
        <f>(X54-AB54)/X54</f>
        <v>0.58506224066390045</v>
      </c>
      <c r="AD54" s="411">
        <v>12</v>
      </c>
      <c r="AE54" s="408">
        <f>(Z54-AD54)/Z54</f>
        <v>0.2803900286044963</v>
      </c>
      <c r="AF54" s="47">
        <v>280</v>
      </c>
      <c r="AG54" s="8">
        <f t="shared" ref="AG54:AG65" si="51">Y54*AF54</f>
        <v>362769.12</v>
      </c>
      <c r="AH54" s="8"/>
      <c r="AI54" s="8"/>
      <c r="AJ54" s="8">
        <f t="shared" ref="AJ54:AJ65" si="52">IFERROR(AG54/S54,0)</f>
        <v>34.271999999999998</v>
      </c>
      <c r="AK54" s="8">
        <f>AG54/365</f>
        <v>993.88800000000003</v>
      </c>
      <c r="AL54" s="8">
        <f t="shared" ref="AL54:AL65" si="53">IFERROR(AG54*M54%/365,0)</f>
        <v>546.63840000000005</v>
      </c>
      <c r="AM54" s="8">
        <f>AL54*365</f>
        <v>199523.016</v>
      </c>
      <c r="AN54" s="8">
        <f>AL54*37</f>
        <v>20225.620800000001</v>
      </c>
      <c r="AO54" s="8">
        <f>AN54/3600/24*0.39</f>
        <v>9.1296205000000005E-2</v>
      </c>
      <c r="AP54" s="8">
        <f>AO54*1000*24</f>
        <v>2191.1089200000001</v>
      </c>
      <c r="AQ54" s="414">
        <v>10000000</v>
      </c>
      <c r="AR54" s="396">
        <f>(Z54*1000)/3.7</f>
        <v>4506.9459459459458</v>
      </c>
      <c r="AS54" s="396">
        <f>AR54/U66</f>
        <v>39.534613560929351</v>
      </c>
    </row>
    <row r="55" spans="2:45" ht="29.4" thickBot="1" x14ac:dyDescent="0.35">
      <c r="B55" s="441"/>
      <c r="C55" s="428"/>
      <c r="D55" s="420"/>
      <c r="E55" s="25" t="s">
        <v>45</v>
      </c>
      <c r="F55" s="2"/>
      <c r="G55" s="49">
        <v>5.09</v>
      </c>
      <c r="H55" s="50" t="s">
        <v>46</v>
      </c>
      <c r="I55" s="51">
        <v>33</v>
      </c>
      <c r="J55" s="52" t="s">
        <v>47</v>
      </c>
      <c r="K55" s="51">
        <v>57</v>
      </c>
      <c r="L55" s="50">
        <v>55</v>
      </c>
      <c r="M55" s="51">
        <v>55</v>
      </c>
      <c r="N55" s="50">
        <v>4.33</v>
      </c>
      <c r="O55" s="50">
        <v>42.82</v>
      </c>
      <c r="P55" s="50"/>
      <c r="Q55" s="399">
        <f>O55/N55</f>
        <v>9.8891454965357966</v>
      </c>
      <c r="R55" s="399"/>
      <c r="S55" s="12">
        <f>16*365</f>
        <v>5840</v>
      </c>
      <c r="T55" s="9">
        <f>S55/12</f>
        <v>486.66666666666669</v>
      </c>
      <c r="U55" s="9">
        <f>S55/365</f>
        <v>16</v>
      </c>
      <c r="V55" s="21">
        <f t="shared" si="48"/>
        <v>14.035087719298245</v>
      </c>
      <c r="W55" s="11">
        <f t="shared" si="49"/>
        <v>1927.2</v>
      </c>
      <c r="X55" s="424"/>
      <c r="Y55" s="11">
        <f t="shared" si="50"/>
        <v>1098.5039999999999</v>
      </c>
      <c r="Z55" s="424"/>
      <c r="AA55" s="11">
        <f t="shared" ref="AA55:AA65" si="54">(Y55*100)/$Y$66</f>
        <v>18.047818082599228</v>
      </c>
      <c r="AB55" s="431"/>
      <c r="AC55" s="409"/>
      <c r="AD55" s="412"/>
      <c r="AE55" s="409"/>
      <c r="AF55" s="45">
        <v>300</v>
      </c>
      <c r="AG55" s="8">
        <f t="shared" si="51"/>
        <v>329551.19999999995</v>
      </c>
      <c r="AH55" s="8"/>
      <c r="AI55" s="8"/>
      <c r="AJ55" s="8">
        <f t="shared" si="52"/>
        <v>56.429999999999993</v>
      </c>
      <c r="AK55" s="8">
        <f>AG55/365</f>
        <v>902.87999999999988</v>
      </c>
      <c r="AL55" s="8">
        <f t="shared" si="53"/>
        <v>496.584</v>
      </c>
      <c r="AM55" s="8">
        <f t="shared" ref="AM55:AM65" si="55">AL55*365</f>
        <v>181253.16</v>
      </c>
      <c r="AN55" s="8">
        <f>AL55*37</f>
        <v>18373.608</v>
      </c>
      <c r="AO55" s="8">
        <f>AN55/3600/24*0.39</f>
        <v>8.2936425000000008E-2</v>
      </c>
      <c r="AP55" s="8">
        <f>AO55*1000*24</f>
        <v>1990.4742000000003</v>
      </c>
      <c r="AQ55" s="381"/>
      <c r="AR55" s="397"/>
      <c r="AS55" s="397"/>
    </row>
    <row r="56" spans="2:45" ht="15" thickBot="1" x14ac:dyDescent="0.35">
      <c r="B56" s="441"/>
      <c r="C56" s="428"/>
      <c r="D56" s="421"/>
      <c r="E56" s="26" t="s">
        <v>6</v>
      </c>
      <c r="F56" s="24" t="s">
        <v>112</v>
      </c>
      <c r="G56" s="49">
        <v>7.8</v>
      </c>
      <c r="H56" s="50" t="s">
        <v>48</v>
      </c>
      <c r="I56" s="51">
        <v>20</v>
      </c>
      <c r="J56" s="50" t="s">
        <v>154</v>
      </c>
      <c r="K56" s="51">
        <v>68</v>
      </c>
      <c r="L56" s="50">
        <v>58</v>
      </c>
      <c r="M56" s="51">
        <v>60</v>
      </c>
      <c r="N56" s="50">
        <v>2.15</v>
      </c>
      <c r="O56" s="50">
        <v>38.4</v>
      </c>
      <c r="P56" s="50"/>
      <c r="Q56" s="399">
        <f>O56/N56</f>
        <v>17.86046511627907</v>
      </c>
      <c r="R56" s="399"/>
      <c r="S56" s="12">
        <f>29*365</f>
        <v>10585</v>
      </c>
      <c r="T56" s="9">
        <f>S56/12</f>
        <v>882.08333333333337</v>
      </c>
      <c r="U56" s="9">
        <f>S56/365</f>
        <v>29</v>
      </c>
      <c r="V56" s="21">
        <f t="shared" si="48"/>
        <v>25.438596491228068</v>
      </c>
      <c r="W56" s="11">
        <f t="shared" si="49"/>
        <v>2117</v>
      </c>
      <c r="X56" s="424"/>
      <c r="Y56" s="11">
        <f t="shared" si="50"/>
        <v>1439.5600000000002</v>
      </c>
      <c r="Z56" s="424"/>
      <c r="AA56" s="11">
        <f t="shared" si="54"/>
        <v>23.651181059865557</v>
      </c>
      <c r="AB56" s="431"/>
      <c r="AC56" s="409"/>
      <c r="AD56" s="412"/>
      <c r="AE56" s="409"/>
      <c r="AF56" s="45">
        <v>280</v>
      </c>
      <c r="AG56" s="8">
        <f t="shared" si="51"/>
        <v>403076.80000000005</v>
      </c>
      <c r="AH56" s="8"/>
      <c r="AI56" s="8"/>
      <c r="AJ56" s="8">
        <f t="shared" si="52"/>
        <v>38.080000000000005</v>
      </c>
      <c r="AK56" s="8">
        <f>AG56/365</f>
        <v>1104.3200000000002</v>
      </c>
      <c r="AL56" s="8">
        <f t="shared" si="53"/>
        <v>662.5920000000001</v>
      </c>
      <c r="AM56" s="8">
        <f t="shared" si="55"/>
        <v>241846.08000000005</v>
      </c>
      <c r="AN56" s="8">
        <f>AL56*37</f>
        <v>24515.904000000002</v>
      </c>
      <c r="AO56" s="8">
        <f>AN56/3600/24*0.39</f>
        <v>0.11066206666666667</v>
      </c>
      <c r="AP56" s="8">
        <f>AO56*1000*24</f>
        <v>2655.8896000000004</v>
      </c>
      <c r="AQ56" s="381"/>
      <c r="AR56" s="397"/>
      <c r="AS56" s="397"/>
    </row>
    <row r="57" spans="2:45" ht="15" thickBot="1" x14ac:dyDescent="0.35">
      <c r="B57" s="441"/>
      <c r="C57" s="428"/>
      <c r="D57" s="88" t="s">
        <v>10</v>
      </c>
      <c r="E57" s="25" t="s">
        <v>18</v>
      </c>
      <c r="F57" s="2"/>
      <c r="G57" s="53" t="s">
        <v>22</v>
      </c>
      <c r="H57" s="54" t="s">
        <v>20</v>
      </c>
      <c r="I57" s="51">
        <v>8</v>
      </c>
      <c r="J57" s="52" t="s">
        <v>23</v>
      </c>
      <c r="K57" s="51">
        <v>80</v>
      </c>
      <c r="L57" s="52" t="s">
        <v>44</v>
      </c>
      <c r="M57" s="51">
        <v>50</v>
      </c>
      <c r="N57" s="55" t="s">
        <v>24</v>
      </c>
      <c r="O57" s="50"/>
      <c r="P57" s="50"/>
      <c r="Q57" s="399">
        <f>O57/N57</f>
        <v>0</v>
      </c>
      <c r="R57" s="399"/>
      <c r="S57" s="12"/>
      <c r="T57" s="9">
        <f t="shared" ref="T57:T65" si="56">S57/12</f>
        <v>0</v>
      </c>
      <c r="U57" s="9">
        <f t="shared" ref="U57:U65" si="57">S57/365</f>
        <v>0</v>
      </c>
      <c r="V57" s="21">
        <f t="shared" si="48"/>
        <v>0</v>
      </c>
      <c r="W57" s="11">
        <f t="shared" si="49"/>
        <v>0</v>
      </c>
      <c r="X57" s="424"/>
      <c r="Y57" s="11">
        <f t="shared" si="50"/>
        <v>0</v>
      </c>
      <c r="Z57" s="424"/>
      <c r="AA57" s="92">
        <f t="shared" si="54"/>
        <v>0</v>
      </c>
      <c r="AB57" s="431"/>
      <c r="AC57" s="409"/>
      <c r="AD57" s="412"/>
      <c r="AE57" s="409"/>
      <c r="AF57" s="45">
        <v>200</v>
      </c>
      <c r="AG57" s="8">
        <f t="shared" si="51"/>
        <v>0</v>
      </c>
      <c r="AH57" s="8"/>
      <c r="AI57" s="8"/>
      <c r="AJ57" s="8">
        <f t="shared" si="52"/>
        <v>0</v>
      </c>
      <c r="AK57" s="8">
        <f t="shared" ref="AK57:AK65" si="58">AG57/365</f>
        <v>0</v>
      </c>
      <c r="AL57" s="8">
        <f t="shared" si="53"/>
        <v>0</v>
      </c>
      <c r="AM57" s="8">
        <f t="shared" si="55"/>
        <v>0</v>
      </c>
      <c r="AN57" s="8">
        <f t="shared" ref="AN57:AN65" si="59">AL57*37</f>
        <v>0</v>
      </c>
      <c r="AO57" s="8">
        <f t="shared" ref="AO57:AO65" si="60">AN57/3600/24*0.39</f>
        <v>0</v>
      </c>
      <c r="AP57" s="8">
        <f t="shared" ref="AP57:AP65" si="61">AO57*1000*24</f>
        <v>0</v>
      </c>
      <c r="AQ57" s="381"/>
      <c r="AR57" s="397"/>
      <c r="AS57" s="397"/>
    </row>
    <row r="58" spans="2:45" ht="22.5" customHeight="1" thickBot="1" x14ac:dyDescent="0.35">
      <c r="B58" s="441"/>
      <c r="C58" s="428"/>
      <c r="D58" s="88" t="s">
        <v>11</v>
      </c>
      <c r="E58" s="27" t="s">
        <v>58</v>
      </c>
      <c r="F58" s="91"/>
      <c r="G58" s="56" t="s">
        <v>67</v>
      </c>
      <c r="H58" s="50" t="s">
        <v>59</v>
      </c>
      <c r="I58" s="51">
        <v>12</v>
      </c>
      <c r="J58" s="50">
        <v>89</v>
      </c>
      <c r="K58" s="51">
        <v>89</v>
      </c>
      <c r="L58" s="50" t="s">
        <v>57</v>
      </c>
      <c r="M58" s="51">
        <v>51</v>
      </c>
      <c r="N58" s="50">
        <v>1.4</v>
      </c>
      <c r="O58" s="50"/>
      <c r="P58" s="50"/>
      <c r="Q58" s="399" t="s">
        <v>70</v>
      </c>
      <c r="R58" s="399"/>
      <c r="S58" s="12">
        <f>5*365</f>
        <v>1825</v>
      </c>
      <c r="T58" s="9">
        <f t="shared" si="56"/>
        <v>152.08333333333334</v>
      </c>
      <c r="U58" s="9">
        <f t="shared" si="57"/>
        <v>5</v>
      </c>
      <c r="V58" s="21">
        <f t="shared" si="48"/>
        <v>4.3859649122807012</v>
      </c>
      <c r="W58" s="11">
        <f t="shared" si="49"/>
        <v>219</v>
      </c>
      <c r="X58" s="424"/>
      <c r="Y58" s="11">
        <f t="shared" si="50"/>
        <v>194.91</v>
      </c>
      <c r="Z58" s="424"/>
      <c r="AA58" s="93">
        <f t="shared" si="54"/>
        <v>3.2022643727099909</v>
      </c>
      <c r="AB58" s="431"/>
      <c r="AC58" s="409"/>
      <c r="AD58" s="412"/>
      <c r="AE58" s="409"/>
      <c r="AF58" s="45">
        <v>300</v>
      </c>
      <c r="AG58" s="8">
        <f t="shared" si="51"/>
        <v>58473</v>
      </c>
      <c r="AH58" s="8"/>
      <c r="AI58" s="8"/>
      <c r="AJ58" s="8">
        <f t="shared" si="52"/>
        <v>32.04</v>
      </c>
      <c r="AK58" s="8">
        <f t="shared" si="58"/>
        <v>160.19999999999999</v>
      </c>
      <c r="AL58" s="8">
        <f t="shared" si="53"/>
        <v>81.701999999999998</v>
      </c>
      <c r="AM58" s="8">
        <f t="shared" si="55"/>
        <v>29821.23</v>
      </c>
      <c r="AN58" s="8">
        <f t="shared" si="59"/>
        <v>3022.9740000000002</v>
      </c>
      <c r="AO58" s="8">
        <f t="shared" si="60"/>
        <v>1.3645368750000001E-2</v>
      </c>
      <c r="AP58" s="8">
        <f t="shared" si="61"/>
        <v>327.48885000000001</v>
      </c>
      <c r="AQ58" s="381"/>
      <c r="AR58" s="397"/>
      <c r="AS58" s="397"/>
    </row>
    <row r="59" spans="2:45" ht="29.4" thickBot="1" x14ac:dyDescent="0.35">
      <c r="B59" s="441"/>
      <c r="C59" s="428"/>
      <c r="D59" s="426" t="s">
        <v>12</v>
      </c>
      <c r="E59" s="25" t="s">
        <v>27</v>
      </c>
      <c r="F59" s="2"/>
      <c r="G59" s="57" t="s">
        <v>29</v>
      </c>
      <c r="H59" s="50" t="s">
        <v>28</v>
      </c>
      <c r="I59" s="51">
        <v>25</v>
      </c>
      <c r="J59" s="50" t="s">
        <v>60</v>
      </c>
      <c r="K59" s="51">
        <v>90</v>
      </c>
      <c r="L59" s="50">
        <v>65</v>
      </c>
      <c r="M59" s="51">
        <v>60</v>
      </c>
      <c r="N59" s="55" t="s">
        <v>61</v>
      </c>
      <c r="O59" s="50"/>
      <c r="P59" s="50"/>
      <c r="Q59" s="399">
        <v>35</v>
      </c>
      <c r="R59" s="399"/>
      <c r="S59" s="12"/>
      <c r="T59" s="9">
        <f t="shared" si="56"/>
        <v>0</v>
      </c>
      <c r="U59" s="9">
        <f t="shared" si="57"/>
        <v>0</v>
      </c>
      <c r="V59" s="21">
        <f t="shared" si="48"/>
        <v>0</v>
      </c>
      <c r="W59" s="11">
        <f t="shared" si="49"/>
        <v>0</v>
      </c>
      <c r="X59" s="424"/>
      <c r="Y59" s="11">
        <f t="shared" si="50"/>
        <v>0</v>
      </c>
      <c r="Z59" s="424"/>
      <c r="AA59" s="92">
        <f t="shared" si="54"/>
        <v>0</v>
      </c>
      <c r="AB59" s="431"/>
      <c r="AC59" s="409"/>
      <c r="AD59" s="412"/>
      <c r="AE59" s="409"/>
      <c r="AF59" s="45">
        <v>590</v>
      </c>
      <c r="AG59" s="8">
        <f t="shared" si="51"/>
        <v>0</v>
      </c>
      <c r="AH59" s="8"/>
      <c r="AI59" s="8"/>
      <c r="AJ59" s="8">
        <f t="shared" si="52"/>
        <v>0</v>
      </c>
      <c r="AK59" s="8">
        <f t="shared" si="58"/>
        <v>0</v>
      </c>
      <c r="AL59" s="8">
        <f t="shared" si="53"/>
        <v>0</v>
      </c>
      <c r="AM59" s="8">
        <f t="shared" si="55"/>
        <v>0</v>
      </c>
      <c r="AN59" s="8">
        <f t="shared" si="59"/>
        <v>0</v>
      </c>
      <c r="AO59" s="8">
        <f t="shared" si="60"/>
        <v>0</v>
      </c>
      <c r="AP59" s="8">
        <f t="shared" si="61"/>
        <v>0</v>
      </c>
      <c r="AQ59" s="381"/>
      <c r="AR59" s="397"/>
      <c r="AS59" s="397"/>
    </row>
    <row r="60" spans="2:45" ht="29.4" thickBot="1" x14ac:dyDescent="0.35">
      <c r="B60" s="441"/>
      <c r="C60" s="428"/>
      <c r="D60" s="426"/>
      <c r="E60" s="27" t="s">
        <v>158</v>
      </c>
      <c r="F60" s="2"/>
      <c r="G60" s="57" t="s">
        <v>75</v>
      </c>
      <c r="H60" s="50" t="s">
        <v>155</v>
      </c>
      <c r="I60" s="51">
        <v>12</v>
      </c>
      <c r="J60" s="50" t="s">
        <v>62</v>
      </c>
      <c r="K60" s="51">
        <v>85</v>
      </c>
      <c r="L60" s="50" t="s">
        <v>63</v>
      </c>
      <c r="M60" s="51">
        <v>55</v>
      </c>
      <c r="N60" s="50"/>
      <c r="O60" s="50"/>
      <c r="P60" s="50"/>
      <c r="Q60" s="400"/>
      <c r="R60" s="401"/>
      <c r="S60" s="13"/>
      <c r="T60" s="9">
        <f t="shared" si="56"/>
        <v>0</v>
      </c>
      <c r="U60" s="9">
        <f t="shared" si="57"/>
        <v>0</v>
      </c>
      <c r="V60" s="21">
        <f t="shared" si="48"/>
        <v>0</v>
      </c>
      <c r="W60" s="11">
        <f t="shared" si="49"/>
        <v>0</v>
      </c>
      <c r="X60" s="424"/>
      <c r="Y60" s="11">
        <f t="shared" si="50"/>
        <v>0</v>
      </c>
      <c r="Z60" s="424"/>
      <c r="AA60" s="92">
        <f t="shared" si="54"/>
        <v>0</v>
      </c>
      <c r="AB60" s="431"/>
      <c r="AC60" s="409"/>
      <c r="AD60" s="412"/>
      <c r="AE60" s="409"/>
      <c r="AF60" s="45">
        <v>500</v>
      </c>
      <c r="AG60" s="8">
        <f t="shared" si="51"/>
        <v>0</v>
      </c>
      <c r="AH60" s="8"/>
      <c r="AI60" s="8"/>
      <c r="AJ60" s="8">
        <f t="shared" si="52"/>
        <v>0</v>
      </c>
      <c r="AK60" s="8">
        <f t="shared" si="58"/>
        <v>0</v>
      </c>
      <c r="AL60" s="8">
        <f t="shared" si="53"/>
        <v>0</v>
      </c>
      <c r="AM60" s="8">
        <f t="shared" si="55"/>
        <v>0</v>
      </c>
      <c r="AN60" s="8">
        <f t="shared" si="59"/>
        <v>0</v>
      </c>
      <c r="AO60" s="8">
        <f t="shared" si="60"/>
        <v>0</v>
      </c>
      <c r="AP60" s="8">
        <f t="shared" si="61"/>
        <v>0</v>
      </c>
      <c r="AQ60" s="381"/>
      <c r="AR60" s="397"/>
      <c r="AS60" s="397"/>
    </row>
    <row r="61" spans="2:45" ht="29.4" thickBot="1" x14ac:dyDescent="0.35">
      <c r="B61" s="441"/>
      <c r="C61" s="428"/>
      <c r="D61" s="426"/>
      <c r="E61" s="25" t="s">
        <v>64</v>
      </c>
      <c r="F61" s="2"/>
      <c r="G61" s="57" t="s">
        <v>79</v>
      </c>
      <c r="H61" s="55" t="s">
        <v>21</v>
      </c>
      <c r="I61" s="51">
        <v>8</v>
      </c>
      <c r="J61" s="50" t="s">
        <v>65</v>
      </c>
      <c r="K61" s="51">
        <v>83</v>
      </c>
      <c r="L61" s="50" t="s">
        <v>66</v>
      </c>
      <c r="M61" s="51">
        <v>58</v>
      </c>
      <c r="N61" s="55" t="s">
        <v>73</v>
      </c>
      <c r="O61" s="50"/>
      <c r="P61" s="50"/>
      <c r="Q61" s="400"/>
      <c r="R61" s="401"/>
      <c r="S61" s="13"/>
      <c r="T61" s="9">
        <f t="shared" si="56"/>
        <v>0</v>
      </c>
      <c r="U61" s="9">
        <f t="shared" si="57"/>
        <v>0</v>
      </c>
      <c r="V61" s="21">
        <f t="shared" si="48"/>
        <v>0</v>
      </c>
      <c r="W61" s="11">
        <f t="shared" si="49"/>
        <v>0</v>
      </c>
      <c r="X61" s="424"/>
      <c r="Y61" s="11">
        <f t="shared" si="50"/>
        <v>0</v>
      </c>
      <c r="Z61" s="424"/>
      <c r="AA61" s="92">
        <f t="shared" si="54"/>
        <v>0</v>
      </c>
      <c r="AB61" s="431"/>
      <c r="AC61" s="409"/>
      <c r="AD61" s="412"/>
      <c r="AE61" s="409"/>
      <c r="AF61" s="45">
        <v>400</v>
      </c>
      <c r="AG61" s="8">
        <f t="shared" si="51"/>
        <v>0</v>
      </c>
      <c r="AH61" s="8"/>
      <c r="AI61" s="8"/>
      <c r="AJ61" s="8">
        <f t="shared" si="52"/>
        <v>0</v>
      </c>
      <c r="AK61" s="8">
        <f t="shared" si="58"/>
        <v>0</v>
      </c>
      <c r="AL61" s="8">
        <f t="shared" si="53"/>
        <v>0</v>
      </c>
      <c r="AM61" s="8">
        <f t="shared" si="55"/>
        <v>0</v>
      </c>
      <c r="AN61" s="8">
        <f t="shared" si="59"/>
        <v>0</v>
      </c>
      <c r="AO61" s="8">
        <f t="shared" si="60"/>
        <v>0</v>
      </c>
      <c r="AP61" s="8">
        <f t="shared" si="61"/>
        <v>0</v>
      </c>
      <c r="AQ61" s="381"/>
      <c r="AR61" s="397"/>
      <c r="AS61" s="397"/>
    </row>
    <row r="62" spans="2:45" ht="29.4" thickBot="1" x14ac:dyDescent="0.35">
      <c r="B62" s="441"/>
      <c r="C62" s="428"/>
      <c r="D62" s="88" t="s">
        <v>13</v>
      </c>
      <c r="E62" s="25" t="s">
        <v>156</v>
      </c>
      <c r="F62" s="24"/>
      <c r="G62" s="49" t="s">
        <v>37</v>
      </c>
      <c r="H62" s="50" t="s">
        <v>38</v>
      </c>
      <c r="I62" s="51">
        <v>40</v>
      </c>
      <c r="J62" s="50" t="s">
        <v>39</v>
      </c>
      <c r="K62" s="51">
        <v>97</v>
      </c>
      <c r="L62" s="50" t="s">
        <v>50</v>
      </c>
      <c r="M62" s="51">
        <v>69</v>
      </c>
      <c r="N62" s="50" t="s">
        <v>35</v>
      </c>
      <c r="O62" s="50"/>
      <c r="P62" s="50"/>
      <c r="Q62" s="399" t="s">
        <v>36</v>
      </c>
      <c r="R62" s="399"/>
      <c r="S62" s="12"/>
      <c r="T62" s="9">
        <f t="shared" si="56"/>
        <v>0</v>
      </c>
      <c r="U62" s="9">
        <f t="shared" si="57"/>
        <v>0</v>
      </c>
      <c r="V62" s="21">
        <f t="shared" si="48"/>
        <v>0</v>
      </c>
      <c r="W62" s="11">
        <f t="shared" si="49"/>
        <v>0</v>
      </c>
      <c r="X62" s="424"/>
      <c r="Y62" s="11">
        <f t="shared" si="50"/>
        <v>0</v>
      </c>
      <c r="Z62" s="424"/>
      <c r="AA62" s="92">
        <f t="shared" si="54"/>
        <v>0</v>
      </c>
      <c r="AB62" s="431"/>
      <c r="AC62" s="409"/>
      <c r="AD62" s="412"/>
      <c r="AE62" s="409"/>
      <c r="AF62" s="45">
        <v>500</v>
      </c>
      <c r="AG62" s="8">
        <f t="shared" si="51"/>
        <v>0</v>
      </c>
      <c r="AH62" s="8"/>
      <c r="AI62" s="8"/>
      <c r="AJ62" s="8">
        <f t="shared" si="52"/>
        <v>0</v>
      </c>
      <c r="AK62" s="8">
        <f t="shared" si="58"/>
        <v>0</v>
      </c>
      <c r="AL62" s="8">
        <f t="shared" si="53"/>
        <v>0</v>
      </c>
      <c r="AM62" s="8">
        <f t="shared" si="55"/>
        <v>0</v>
      </c>
      <c r="AN62" s="8">
        <f t="shared" si="59"/>
        <v>0</v>
      </c>
      <c r="AO62" s="8">
        <f t="shared" si="60"/>
        <v>0</v>
      </c>
      <c r="AP62" s="8">
        <f t="shared" si="61"/>
        <v>0</v>
      </c>
      <c r="AQ62" s="381"/>
      <c r="AR62" s="397"/>
      <c r="AS62" s="397"/>
    </row>
    <row r="63" spans="2:45" ht="29.4" thickBot="1" x14ac:dyDescent="0.35">
      <c r="B63" s="441"/>
      <c r="C63" s="428"/>
      <c r="D63" s="88" t="s">
        <v>14</v>
      </c>
      <c r="E63" s="25" t="s">
        <v>55</v>
      </c>
      <c r="F63" s="2"/>
      <c r="G63" s="49" t="s">
        <v>80</v>
      </c>
      <c r="H63" s="50" t="s">
        <v>56</v>
      </c>
      <c r="I63" s="51">
        <v>22</v>
      </c>
      <c r="J63" s="50" t="s">
        <v>30</v>
      </c>
      <c r="K63" s="51">
        <v>90</v>
      </c>
      <c r="L63" s="50" t="s">
        <v>57</v>
      </c>
      <c r="M63" s="51">
        <v>54</v>
      </c>
      <c r="N63" s="50">
        <v>1.5</v>
      </c>
      <c r="O63" s="50"/>
      <c r="P63" s="50"/>
      <c r="Q63" s="399" t="s">
        <v>72</v>
      </c>
      <c r="R63" s="399"/>
      <c r="S63" s="12">
        <f>14*365</f>
        <v>5110</v>
      </c>
      <c r="T63" s="9">
        <f t="shared" si="56"/>
        <v>425.83333333333331</v>
      </c>
      <c r="U63" s="9">
        <f t="shared" si="57"/>
        <v>14</v>
      </c>
      <c r="V63" s="21">
        <f t="shared" si="48"/>
        <v>12.280701754385962</v>
      </c>
      <c r="W63" s="11">
        <f t="shared" si="49"/>
        <v>1124.2</v>
      </c>
      <c r="X63" s="424"/>
      <c r="Y63" s="11">
        <f t="shared" si="50"/>
        <v>1011.7800000000001</v>
      </c>
      <c r="Z63" s="424"/>
      <c r="AA63" s="93">
        <f t="shared" si="54"/>
        <v>16.622990339236136</v>
      </c>
      <c r="AB63" s="431"/>
      <c r="AC63" s="409"/>
      <c r="AD63" s="412"/>
      <c r="AE63" s="409"/>
      <c r="AF63" s="45">
        <v>170</v>
      </c>
      <c r="AG63" s="8">
        <f t="shared" si="51"/>
        <v>172002.6</v>
      </c>
      <c r="AH63" s="8"/>
      <c r="AI63" s="8"/>
      <c r="AJ63" s="8">
        <f t="shared" si="52"/>
        <v>33.660000000000004</v>
      </c>
      <c r="AK63" s="8">
        <f t="shared" si="58"/>
        <v>471.24</v>
      </c>
      <c r="AL63" s="8">
        <f t="shared" si="53"/>
        <v>254.46960000000001</v>
      </c>
      <c r="AM63" s="8">
        <f t="shared" si="55"/>
        <v>92881.40400000001</v>
      </c>
      <c r="AN63" s="8">
        <f t="shared" si="59"/>
        <v>9415.3752000000004</v>
      </c>
      <c r="AO63" s="8">
        <f t="shared" si="60"/>
        <v>4.2499957500000005E-2</v>
      </c>
      <c r="AP63" s="8">
        <f t="shared" si="61"/>
        <v>1019.9989800000002</v>
      </c>
      <c r="AQ63" s="381"/>
      <c r="AR63" s="397"/>
      <c r="AS63" s="397"/>
    </row>
    <row r="64" spans="2:45" ht="15" thickBot="1" x14ac:dyDescent="0.35">
      <c r="B64" s="441"/>
      <c r="C64" s="428"/>
      <c r="D64" s="88" t="s">
        <v>15</v>
      </c>
      <c r="E64" s="25" t="s">
        <v>7</v>
      </c>
      <c r="F64" s="2"/>
      <c r="G64" s="49">
        <v>5.7</v>
      </c>
      <c r="H64" s="58" t="s">
        <v>51</v>
      </c>
      <c r="I64" s="51">
        <v>21</v>
      </c>
      <c r="J64" s="50" t="s">
        <v>32</v>
      </c>
      <c r="K64" s="51">
        <v>65</v>
      </c>
      <c r="L64" s="50" t="s">
        <v>52</v>
      </c>
      <c r="M64" s="51">
        <v>58</v>
      </c>
      <c r="N64" s="50"/>
      <c r="O64" s="50"/>
      <c r="P64" s="50"/>
      <c r="Q64" s="399" t="e">
        <f>O64/N64</f>
        <v>#DIV/0!</v>
      </c>
      <c r="R64" s="399"/>
      <c r="S64" s="12">
        <f>21*365</f>
        <v>7665</v>
      </c>
      <c r="T64" s="9">
        <f t="shared" si="56"/>
        <v>638.75</v>
      </c>
      <c r="U64" s="9">
        <f t="shared" si="57"/>
        <v>21</v>
      </c>
      <c r="V64" s="21">
        <f t="shared" si="48"/>
        <v>18.421052631578945</v>
      </c>
      <c r="W64" s="11">
        <f t="shared" si="49"/>
        <v>1609.6499999999999</v>
      </c>
      <c r="X64" s="424"/>
      <c r="Y64" s="11">
        <f t="shared" si="50"/>
        <v>1046.2725</v>
      </c>
      <c r="Z64" s="424"/>
      <c r="AA64" s="92">
        <f t="shared" si="54"/>
        <v>17.189683191710092</v>
      </c>
      <c r="AB64" s="431"/>
      <c r="AC64" s="409"/>
      <c r="AD64" s="412"/>
      <c r="AE64" s="409"/>
      <c r="AF64" s="45">
        <v>580</v>
      </c>
      <c r="AG64" s="8">
        <f t="shared" si="51"/>
        <v>606838.05000000005</v>
      </c>
      <c r="AH64" s="8"/>
      <c r="AI64" s="8"/>
      <c r="AJ64" s="8">
        <f t="shared" si="52"/>
        <v>79.17</v>
      </c>
      <c r="AK64" s="8">
        <f t="shared" si="58"/>
        <v>1662.5700000000002</v>
      </c>
      <c r="AL64" s="8">
        <f t="shared" si="53"/>
        <v>964.29060000000004</v>
      </c>
      <c r="AM64" s="8">
        <f t="shared" si="55"/>
        <v>351966.06900000002</v>
      </c>
      <c r="AN64" s="8">
        <f t="shared" si="59"/>
        <v>35678.752200000003</v>
      </c>
      <c r="AO64" s="8">
        <f t="shared" si="60"/>
        <v>0.16104992312500002</v>
      </c>
      <c r="AP64" s="8">
        <f t="shared" si="61"/>
        <v>3865.1981550000005</v>
      </c>
      <c r="AQ64" s="381"/>
      <c r="AR64" s="397"/>
      <c r="AS64" s="397"/>
    </row>
    <row r="65" spans="2:45" ht="58.2" thickBot="1" x14ac:dyDescent="0.35">
      <c r="B65" s="441"/>
      <c r="C65" s="428"/>
      <c r="D65" s="88" t="s">
        <v>16</v>
      </c>
      <c r="E65" s="25" t="s">
        <v>53</v>
      </c>
      <c r="F65" s="2"/>
      <c r="G65" s="59"/>
      <c r="H65" s="60" t="s">
        <v>28</v>
      </c>
      <c r="I65" s="61">
        <v>16</v>
      </c>
      <c r="J65" s="60" t="s">
        <v>34</v>
      </c>
      <c r="K65" s="61">
        <v>85</v>
      </c>
      <c r="L65" s="60" t="s">
        <v>54</v>
      </c>
      <c r="M65" s="61">
        <v>52</v>
      </c>
      <c r="N65" s="60" t="s">
        <v>76</v>
      </c>
      <c r="O65" s="60"/>
      <c r="P65" s="60"/>
      <c r="Q65" s="427" t="e">
        <f>O65/N65</f>
        <v>#VALUE!</v>
      </c>
      <c r="R65" s="427"/>
      <c r="S65" s="14"/>
      <c r="T65" s="9">
        <f t="shared" si="56"/>
        <v>0</v>
      </c>
      <c r="U65" s="9">
        <f t="shared" si="57"/>
        <v>0</v>
      </c>
      <c r="V65" s="21">
        <f t="shared" si="48"/>
        <v>0</v>
      </c>
      <c r="W65" s="11">
        <f t="shared" si="49"/>
        <v>0</v>
      </c>
      <c r="X65" s="429"/>
      <c r="Y65" s="11">
        <f t="shared" si="50"/>
        <v>0</v>
      </c>
      <c r="Z65" s="429"/>
      <c r="AA65" s="92">
        <f t="shared" si="54"/>
        <v>0</v>
      </c>
      <c r="AB65" s="431"/>
      <c r="AC65" s="409"/>
      <c r="AD65" s="412"/>
      <c r="AE65" s="409"/>
      <c r="AF65" s="46">
        <v>700</v>
      </c>
      <c r="AG65" s="8">
        <f t="shared" si="51"/>
        <v>0</v>
      </c>
      <c r="AH65" s="8"/>
      <c r="AI65" s="8"/>
      <c r="AJ65" s="8">
        <f t="shared" si="52"/>
        <v>0</v>
      </c>
      <c r="AK65" s="8">
        <f t="shared" si="58"/>
        <v>0</v>
      </c>
      <c r="AL65" s="8">
        <f t="shared" si="53"/>
        <v>0</v>
      </c>
      <c r="AM65" s="8">
        <f t="shared" si="55"/>
        <v>0</v>
      </c>
      <c r="AN65" s="8">
        <f t="shared" si="59"/>
        <v>0</v>
      </c>
      <c r="AO65" s="8">
        <f t="shared" si="60"/>
        <v>0</v>
      </c>
      <c r="AP65" s="8">
        <f t="shared" si="61"/>
        <v>0</v>
      </c>
      <c r="AQ65" s="382"/>
      <c r="AR65" s="398"/>
      <c r="AS65" s="398"/>
    </row>
    <row r="66" spans="2:45" ht="18" x14ac:dyDescent="0.3">
      <c r="B66" s="441"/>
      <c r="S66" s="17">
        <f t="shared" ref="S66:W66" si="62">SUM(S54:S65)</f>
        <v>41610</v>
      </c>
      <c r="T66" s="17">
        <f t="shared" si="62"/>
        <v>3467.5000000000005</v>
      </c>
      <c r="U66" s="17">
        <f t="shared" si="62"/>
        <v>114</v>
      </c>
      <c r="V66" s="17">
        <f t="shared" si="62"/>
        <v>99.999999999999986</v>
      </c>
      <c r="W66" s="16">
        <f t="shared" si="62"/>
        <v>8796.5</v>
      </c>
      <c r="X66" s="16"/>
      <c r="Y66" s="16">
        <f>SUM(Y54:Y65)</f>
        <v>6086.6305000000002</v>
      </c>
      <c r="Z66" s="16"/>
      <c r="AA66" s="16">
        <f>SUM(AA54:AA65)</f>
        <v>100.00000000000001</v>
      </c>
      <c r="AB66" s="16"/>
      <c r="AC66" s="16"/>
      <c r="AD66" s="16"/>
      <c r="AE66" s="16"/>
      <c r="AF66" s="16"/>
      <c r="AG66" s="16">
        <f>SUM(AG54:AG65)</f>
        <v>1932710.7700000003</v>
      </c>
      <c r="AH66" s="16"/>
      <c r="AI66" s="16"/>
      <c r="AJ66" s="16"/>
      <c r="AK66" s="16">
        <f t="shared" ref="AK66:AP66" si="63">SUM(AK54:AK65)</f>
        <v>5295.098</v>
      </c>
      <c r="AL66" s="18">
        <f t="shared" si="63"/>
        <v>3006.2766000000001</v>
      </c>
      <c r="AM66" s="18">
        <f t="shared" si="63"/>
        <v>1097290.959</v>
      </c>
      <c r="AN66" s="16">
        <f t="shared" si="63"/>
        <v>111232.23419999999</v>
      </c>
      <c r="AO66" s="16">
        <f t="shared" si="63"/>
        <v>0.50208994604166668</v>
      </c>
      <c r="AP66" s="16">
        <f t="shared" si="63"/>
        <v>12050.158705000002</v>
      </c>
      <c r="AQ66" s="16"/>
      <c r="AR66" s="16"/>
    </row>
    <row r="67" spans="2:45" x14ac:dyDescent="0.3">
      <c r="B67" s="441"/>
      <c r="AL67" t="s">
        <v>92</v>
      </c>
      <c r="AO67" t="s">
        <v>91</v>
      </c>
    </row>
    <row r="68" spans="2:45" ht="15" thickBot="1" x14ac:dyDescent="0.35">
      <c r="B68" s="441"/>
    </row>
    <row r="69" spans="2:45" ht="15" thickBot="1" x14ac:dyDescent="0.35">
      <c r="B69" s="441"/>
      <c r="C69" s="428" t="s">
        <v>144</v>
      </c>
      <c r="D69" s="419" t="s">
        <v>9</v>
      </c>
      <c r="E69" s="25" t="s">
        <v>17</v>
      </c>
      <c r="F69" s="2"/>
      <c r="G69" s="62">
        <v>8.1</v>
      </c>
      <c r="H69" s="51" t="s">
        <v>42</v>
      </c>
      <c r="I69" s="51">
        <v>17</v>
      </c>
      <c r="J69" s="51" t="s">
        <v>43</v>
      </c>
      <c r="K69" s="51">
        <v>72</v>
      </c>
      <c r="L69" s="51">
        <v>58</v>
      </c>
      <c r="M69" s="51">
        <v>55</v>
      </c>
      <c r="N69" s="51">
        <v>1.77</v>
      </c>
      <c r="O69" s="51">
        <v>35.69</v>
      </c>
      <c r="P69" s="48"/>
      <c r="Q69" s="422">
        <f>O69/N69</f>
        <v>20.163841807909602</v>
      </c>
      <c r="R69" s="422"/>
      <c r="S69" s="29"/>
      <c r="T69" s="9">
        <f>S69/12</f>
        <v>0</v>
      </c>
      <c r="U69" s="9">
        <f>S69/365</f>
        <v>0</v>
      </c>
      <c r="V69" s="21">
        <f t="shared" ref="V69:V80" si="64">(T69*100)/$T$81</f>
        <v>0</v>
      </c>
      <c r="W69" s="11">
        <f t="shared" ref="W69:W80" si="65">I69%*S69</f>
        <v>0</v>
      </c>
      <c r="X69" s="423">
        <f>W81/365</f>
        <v>27.1</v>
      </c>
      <c r="Y69" s="11">
        <f t="shared" ref="Y69:Y80" si="66">W69*K69%</f>
        <v>0</v>
      </c>
      <c r="Z69" s="423">
        <f>Y81/365</f>
        <v>16.4985</v>
      </c>
      <c r="AA69" s="11">
        <f>(Y69*100)/$Y$81</f>
        <v>0</v>
      </c>
      <c r="AB69" s="430">
        <v>23</v>
      </c>
      <c r="AC69" s="408">
        <f>(X69-AB69)/X69</f>
        <v>0.15129151291512918</v>
      </c>
      <c r="AD69" s="411">
        <v>15</v>
      </c>
      <c r="AE69" s="408">
        <f>(Z69-AD69)/Z69</f>
        <v>9.082643876716065E-2</v>
      </c>
      <c r="AF69" s="47">
        <v>280</v>
      </c>
      <c r="AG69" s="8">
        <f t="shared" ref="AG69:AG80" si="67">Y69*AF69</f>
        <v>0</v>
      </c>
      <c r="AH69" s="8"/>
      <c r="AI69" s="8"/>
      <c r="AJ69" s="8">
        <f t="shared" ref="AJ69:AJ80" si="68">IFERROR(AG69/S69,0)</f>
        <v>0</v>
      </c>
      <c r="AK69" s="8">
        <f>AG69/365</f>
        <v>0</v>
      </c>
      <c r="AL69" s="8">
        <f t="shared" ref="AL69:AL80" si="69">IFERROR(AG69*M69%/365,0)</f>
        <v>0</v>
      </c>
      <c r="AM69" s="8">
        <f>AL69*365</f>
        <v>0</v>
      </c>
      <c r="AN69" s="8">
        <f>AL69*37</f>
        <v>0</v>
      </c>
      <c r="AO69" s="8">
        <f>AN69/3600/24*0.39</f>
        <v>0</v>
      </c>
      <c r="AP69" s="8">
        <f>AO69*1000*24</f>
        <v>0</v>
      </c>
      <c r="AQ69" s="414">
        <v>10000000</v>
      </c>
      <c r="AR69" s="396">
        <f>(Z69*1000)/3.7</f>
        <v>4459.0540540540542</v>
      </c>
      <c r="AS69" s="396">
        <f>AR69/U81</f>
        <v>49.545045045045043</v>
      </c>
    </row>
    <row r="70" spans="2:45" ht="29.4" thickBot="1" x14ac:dyDescent="0.35">
      <c r="B70" s="441"/>
      <c r="C70" s="428"/>
      <c r="D70" s="420"/>
      <c r="E70" s="95" t="s">
        <v>45</v>
      </c>
      <c r="F70" s="24" t="s">
        <v>112</v>
      </c>
      <c r="G70" s="49">
        <v>5.09</v>
      </c>
      <c r="H70" s="50" t="s">
        <v>46</v>
      </c>
      <c r="I70" s="51">
        <v>33</v>
      </c>
      <c r="J70" s="52" t="s">
        <v>47</v>
      </c>
      <c r="K70" s="51">
        <v>57</v>
      </c>
      <c r="L70" s="50">
        <v>55</v>
      </c>
      <c r="M70" s="51">
        <v>55</v>
      </c>
      <c r="N70" s="50">
        <v>4.33</v>
      </c>
      <c r="O70" s="50">
        <v>42.82</v>
      </c>
      <c r="P70" s="50"/>
      <c r="Q70" s="399">
        <f>O70/N70</f>
        <v>9.8891454965357966</v>
      </c>
      <c r="R70" s="399"/>
      <c r="S70" s="12">
        <f>70*365</f>
        <v>25550</v>
      </c>
      <c r="T70" s="9">
        <f>S70/12</f>
        <v>2129.1666666666665</v>
      </c>
      <c r="U70" s="9">
        <f>S70/365</f>
        <v>70</v>
      </c>
      <c r="V70" s="21">
        <f t="shared" si="64"/>
        <v>77.777777777777757</v>
      </c>
      <c r="W70" s="11">
        <f t="shared" si="65"/>
        <v>8431.5</v>
      </c>
      <c r="X70" s="424"/>
      <c r="Y70" s="11">
        <f t="shared" si="66"/>
        <v>4805.9549999999999</v>
      </c>
      <c r="Z70" s="424"/>
      <c r="AA70" s="11">
        <f t="shared" ref="AA70:AA80" si="70">(Y70*100)/$Y$81</f>
        <v>79.807255205018635</v>
      </c>
      <c r="AB70" s="431"/>
      <c r="AC70" s="409"/>
      <c r="AD70" s="412"/>
      <c r="AE70" s="409"/>
      <c r="AF70" s="45">
        <v>300</v>
      </c>
      <c r="AG70" s="8">
        <f t="shared" si="67"/>
        <v>1441786.5</v>
      </c>
      <c r="AH70" s="8"/>
      <c r="AI70" s="8"/>
      <c r="AJ70" s="8">
        <f t="shared" si="68"/>
        <v>56.43</v>
      </c>
      <c r="AK70" s="8">
        <f>AG70/365</f>
        <v>3950.1</v>
      </c>
      <c r="AL70" s="8">
        <f t="shared" si="69"/>
        <v>2172.5550000000003</v>
      </c>
      <c r="AM70" s="8">
        <f t="shared" ref="AM70:AM80" si="71">AL70*365</f>
        <v>792982.57500000007</v>
      </c>
      <c r="AN70" s="8">
        <f>AL70*37</f>
        <v>80384.535000000003</v>
      </c>
      <c r="AO70" s="8">
        <f>AN70/3600/24*0.39</f>
        <v>0.36284685937500005</v>
      </c>
      <c r="AP70" s="8">
        <f>AO70*1000*24</f>
        <v>8708.3246250000011</v>
      </c>
      <c r="AQ70" s="381"/>
      <c r="AR70" s="397"/>
      <c r="AS70" s="397"/>
    </row>
    <row r="71" spans="2:45" ht="15" thickBot="1" x14ac:dyDescent="0.35">
      <c r="B71" s="441"/>
      <c r="C71" s="428"/>
      <c r="D71" s="421"/>
      <c r="E71" s="25" t="s">
        <v>6</v>
      </c>
      <c r="F71" s="2"/>
      <c r="G71" s="49">
        <v>7.8</v>
      </c>
      <c r="H71" s="50" t="s">
        <v>48</v>
      </c>
      <c r="I71" s="51">
        <v>20</v>
      </c>
      <c r="J71" s="50" t="s">
        <v>154</v>
      </c>
      <c r="K71" s="51">
        <v>68</v>
      </c>
      <c r="L71" s="50">
        <v>58</v>
      </c>
      <c r="M71" s="51">
        <v>60</v>
      </c>
      <c r="N71" s="50">
        <v>2.15</v>
      </c>
      <c r="O71" s="50">
        <v>38.4</v>
      </c>
      <c r="P71" s="50"/>
      <c r="Q71" s="399">
        <f>O71/N71</f>
        <v>17.86046511627907</v>
      </c>
      <c r="R71" s="399"/>
      <c r="S71" s="12"/>
      <c r="T71" s="9">
        <f>S71/12</f>
        <v>0</v>
      </c>
      <c r="U71" s="9">
        <f>S71/365</f>
        <v>0</v>
      </c>
      <c r="V71" s="21">
        <f t="shared" si="64"/>
        <v>0</v>
      </c>
      <c r="W71" s="11">
        <f t="shared" si="65"/>
        <v>0</v>
      </c>
      <c r="X71" s="424"/>
      <c r="Y71" s="11">
        <f t="shared" si="66"/>
        <v>0</v>
      </c>
      <c r="Z71" s="424"/>
      <c r="AA71" s="68">
        <f t="shared" si="70"/>
        <v>0</v>
      </c>
      <c r="AB71" s="431"/>
      <c r="AC71" s="409"/>
      <c r="AD71" s="412"/>
      <c r="AE71" s="409"/>
      <c r="AF71" s="45">
        <v>280</v>
      </c>
      <c r="AG71" s="8">
        <f t="shared" si="67"/>
        <v>0</v>
      </c>
      <c r="AH71" s="8"/>
      <c r="AI71" s="8"/>
      <c r="AJ71" s="8">
        <f t="shared" si="68"/>
        <v>0</v>
      </c>
      <c r="AK71" s="8">
        <f>AG71/365</f>
        <v>0</v>
      </c>
      <c r="AL71" s="8">
        <f t="shared" si="69"/>
        <v>0</v>
      </c>
      <c r="AM71" s="8">
        <f t="shared" si="71"/>
        <v>0</v>
      </c>
      <c r="AN71" s="8">
        <f>AL71*37</f>
        <v>0</v>
      </c>
      <c r="AO71" s="8">
        <f>AN71/3600/24*0.39</f>
        <v>0</v>
      </c>
      <c r="AP71" s="8">
        <f>AO71*1000*24</f>
        <v>0</v>
      </c>
      <c r="AQ71" s="381"/>
      <c r="AR71" s="397"/>
      <c r="AS71" s="397"/>
    </row>
    <row r="72" spans="2:45" ht="19.5" customHeight="1" thickBot="1" x14ac:dyDescent="0.35">
      <c r="B72" s="441"/>
      <c r="C72" s="428"/>
      <c r="D72" s="88" t="s">
        <v>10</v>
      </c>
      <c r="E72" s="25" t="s">
        <v>18</v>
      </c>
      <c r="F72" s="2"/>
      <c r="G72" s="53" t="s">
        <v>22</v>
      </c>
      <c r="H72" s="54" t="s">
        <v>20</v>
      </c>
      <c r="I72" s="51">
        <v>8</v>
      </c>
      <c r="J72" s="52" t="s">
        <v>23</v>
      </c>
      <c r="K72" s="51">
        <v>80</v>
      </c>
      <c r="L72" s="52" t="s">
        <v>44</v>
      </c>
      <c r="M72" s="51">
        <v>50</v>
      </c>
      <c r="N72" s="55" t="s">
        <v>24</v>
      </c>
      <c r="O72" s="50"/>
      <c r="P72" s="50"/>
      <c r="Q72" s="399">
        <f>O72/N72</f>
        <v>0</v>
      </c>
      <c r="R72" s="399"/>
      <c r="S72" s="12"/>
      <c r="T72" s="9">
        <f t="shared" ref="T72:T80" si="72">S72/12</f>
        <v>0</v>
      </c>
      <c r="U72" s="9">
        <f t="shared" ref="U72:U80" si="73">S72/365</f>
        <v>0</v>
      </c>
      <c r="V72" s="21">
        <f t="shared" si="64"/>
        <v>0</v>
      </c>
      <c r="W72" s="11">
        <f t="shared" si="65"/>
        <v>0</v>
      </c>
      <c r="X72" s="424"/>
      <c r="Y72" s="11">
        <f t="shared" si="66"/>
        <v>0</v>
      </c>
      <c r="Z72" s="424"/>
      <c r="AA72" s="68">
        <f t="shared" si="70"/>
        <v>0</v>
      </c>
      <c r="AB72" s="431"/>
      <c r="AC72" s="409"/>
      <c r="AD72" s="412"/>
      <c r="AE72" s="409"/>
      <c r="AF72" s="45">
        <v>200</v>
      </c>
      <c r="AG72" s="8">
        <f t="shared" si="67"/>
        <v>0</v>
      </c>
      <c r="AH72" s="8"/>
      <c r="AI72" s="8"/>
      <c r="AJ72" s="8">
        <f t="shared" si="68"/>
        <v>0</v>
      </c>
      <c r="AK72" s="8">
        <f t="shared" ref="AK72:AK80" si="74">AG72/365</f>
        <v>0</v>
      </c>
      <c r="AL72" s="8">
        <f t="shared" si="69"/>
        <v>0</v>
      </c>
      <c r="AM72" s="8">
        <f t="shared" si="71"/>
        <v>0</v>
      </c>
      <c r="AN72" s="8">
        <f t="shared" ref="AN72:AN80" si="75">AL72*37</f>
        <v>0</v>
      </c>
      <c r="AO72" s="8">
        <f t="shared" ref="AO72:AO80" si="76">AN72/3600/24*0.39</f>
        <v>0</v>
      </c>
      <c r="AP72" s="8">
        <f t="shared" ref="AP72:AP80" si="77">AO72*1000*24</f>
        <v>0</v>
      </c>
      <c r="AQ72" s="381"/>
      <c r="AR72" s="397"/>
      <c r="AS72" s="397"/>
    </row>
    <row r="73" spans="2:45" ht="30.45" customHeight="1" thickBot="1" x14ac:dyDescent="0.35">
      <c r="B73" s="441"/>
      <c r="C73" s="428"/>
      <c r="D73" s="88" t="s">
        <v>11</v>
      </c>
      <c r="E73" s="27" t="s">
        <v>58</v>
      </c>
      <c r="F73" s="24"/>
      <c r="G73" s="56" t="s">
        <v>67</v>
      </c>
      <c r="H73" s="50" t="s">
        <v>59</v>
      </c>
      <c r="I73" s="51">
        <v>12</v>
      </c>
      <c r="J73" s="50">
        <v>89</v>
      </c>
      <c r="K73" s="51">
        <v>89</v>
      </c>
      <c r="L73" s="50" t="s">
        <v>57</v>
      </c>
      <c r="M73" s="51">
        <v>51</v>
      </c>
      <c r="N73" s="50">
        <v>1.4</v>
      </c>
      <c r="O73" s="50"/>
      <c r="P73" s="50"/>
      <c r="Q73" s="399" t="s">
        <v>70</v>
      </c>
      <c r="R73" s="399"/>
      <c r="S73" s="12">
        <f>5*365</f>
        <v>1825</v>
      </c>
      <c r="T73" s="9">
        <f t="shared" si="72"/>
        <v>152.08333333333334</v>
      </c>
      <c r="U73" s="9">
        <f t="shared" si="73"/>
        <v>5</v>
      </c>
      <c r="V73" s="21">
        <f t="shared" si="64"/>
        <v>5.5555555555555545</v>
      </c>
      <c r="W73" s="11">
        <f t="shared" si="65"/>
        <v>219</v>
      </c>
      <c r="X73" s="424"/>
      <c r="Y73" s="11">
        <f t="shared" si="66"/>
        <v>194.91</v>
      </c>
      <c r="Z73" s="424"/>
      <c r="AA73" s="68">
        <f t="shared" si="70"/>
        <v>3.2366578779889079</v>
      </c>
      <c r="AB73" s="431"/>
      <c r="AC73" s="409"/>
      <c r="AD73" s="412"/>
      <c r="AE73" s="409"/>
      <c r="AF73" s="45">
        <v>300</v>
      </c>
      <c r="AG73" s="8">
        <f t="shared" si="67"/>
        <v>58473</v>
      </c>
      <c r="AH73" s="8"/>
      <c r="AI73" s="8"/>
      <c r="AJ73" s="8">
        <f t="shared" si="68"/>
        <v>32.04</v>
      </c>
      <c r="AK73" s="8">
        <f t="shared" si="74"/>
        <v>160.19999999999999</v>
      </c>
      <c r="AL73" s="8">
        <f t="shared" si="69"/>
        <v>81.701999999999998</v>
      </c>
      <c r="AM73" s="8">
        <f t="shared" si="71"/>
        <v>29821.23</v>
      </c>
      <c r="AN73" s="8">
        <f t="shared" si="75"/>
        <v>3022.9740000000002</v>
      </c>
      <c r="AO73" s="8">
        <f t="shared" si="76"/>
        <v>1.3645368750000001E-2</v>
      </c>
      <c r="AP73" s="8">
        <f t="shared" si="77"/>
        <v>327.48885000000001</v>
      </c>
      <c r="AQ73" s="381"/>
      <c r="AR73" s="397"/>
      <c r="AS73" s="397"/>
    </row>
    <row r="74" spans="2:45" ht="29.4" thickBot="1" x14ac:dyDescent="0.35">
      <c r="B74" s="441"/>
      <c r="C74" s="428"/>
      <c r="D74" s="426" t="s">
        <v>12</v>
      </c>
      <c r="E74" s="25" t="s">
        <v>27</v>
      </c>
      <c r="F74" s="2"/>
      <c r="G74" s="57" t="s">
        <v>29</v>
      </c>
      <c r="H74" s="50" t="s">
        <v>28</v>
      </c>
      <c r="I74" s="51">
        <v>25</v>
      </c>
      <c r="J74" s="50" t="s">
        <v>60</v>
      </c>
      <c r="K74" s="51">
        <v>90</v>
      </c>
      <c r="L74" s="50">
        <v>65</v>
      </c>
      <c r="M74" s="51">
        <v>60</v>
      </c>
      <c r="N74" s="55" t="s">
        <v>61</v>
      </c>
      <c r="O74" s="50"/>
      <c r="P74" s="50"/>
      <c r="Q74" s="399">
        <v>35</v>
      </c>
      <c r="R74" s="399"/>
      <c r="S74" s="12">
        <f>5*365</f>
        <v>1825</v>
      </c>
      <c r="T74" s="9">
        <f t="shared" si="72"/>
        <v>152.08333333333334</v>
      </c>
      <c r="U74" s="9">
        <f t="shared" si="73"/>
        <v>5</v>
      </c>
      <c r="V74" s="21">
        <f t="shared" si="64"/>
        <v>5.5555555555555545</v>
      </c>
      <c r="W74" s="11">
        <f t="shared" si="65"/>
        <v>456.25</v>
      </c>
      <c r="X74" s="424"/>
      <c r="Y74" s="11">
        <f t="shared" si="66"/>
        <v>410.625</v>
      </c>
      <c r="Z74" s="424"/>
      <c r="AA74" s="68">
        <f t="shared" si="70"/>
        <v>6.8188017092462951</v>
      </c>
      <c r="AB74" s="431"/>
      <c r="AC74" s="409"/>
      <c r="AD74" s="412"/>
      <c r="AE74" s="409"/>
      <c r="AF74" s="45">
        <v>590</v>
      </c>
      <c r="AG74" s="8">
        <f t="shared" si="67"/>
        <v>242268.75</v>
      </c>
      <c r="AH74" s="8"/>
      <c r="AI74" s="8"/>
      <c r="AJ74" s="8">
        <f t="shared" si="68"/>
        <v>132.75</v>
      </c>
      <c r="AK74" s="8">
        <f t="shared" si="74"/>
        <v>663.75</v>
      </c>
      <c r="AL74" s="8">
        <f t="shared" si="69"/>
        <v>398.25</v>
      </c>
      <c r="AM74" s="8">
        <f t="shared" si="71"/>
        <v>145361.25</v>
      </c>
      <c r="AN74" s="8">
        <f t="shared" si="75"/>
        <v>14735.25</v>
      </c>
      <c r="AO74" s="8">
        <f t="shared" si="76"/>
        <v>6.651328125E-2</v>
      </c>
      <c r="AP74" s="8">
        <f t="shared" si="77"/>
        <v>1596.3187500000001</v>
      </c>
      <c r="AQ74" s="381"/>
      <c r="AR74" s="397"/>
      <c r="AS74" s="397"/>
    </row>
    <row r="75" spans="2:45" ht="29.4" thickBot="1" x14ac:dyDescent="0.35">
      <c r="B75" s="441"/>
      <c r="C75" s="428"/>
      <c r="D75" s="426"/>
      <c r="E75" s="27" t="s">
        <v>158</v>
      </c>
      <c r="F75" s="2"/>
      <c r="G75" s="57" t="s">
        <v>75</v>
      </c>
      <c r="H75" s="50" t="s">
        <v>155</v>
      </c>
      <c r="I75" s="51">
        <v>12</v>
      </c>
      <c r="J75" s="50" t="s">
        <v>62</v>
      </c>
      <c r="K75" s="51">
        <v>85</v>
      </c>
      <c r="L75" s="50" t="s">
        <v>63</v>
      </c>
      <c r="M75" s="51">
        <v>55</v>
      </c>
      <c r="N75" s="50"/>
      <c r="O75" s="50"/>
      <c r="P75" s="50"/>
      <c r="Q75" s="400"/>
      <c r="R75" s="401"/>
      <c r="S75" s="13"/>
      <c r="T75" s="9">
        <f t="shared" si="72"/>
        <v>0</v>
      </c>
      <c r="U75" s="9">
        <f t="shared" si="73"/>
        <v>0</v>
      </c>
      <c r="V75" s="21">
        <f t="shared" si="64"/>
        <v>0</v>
      </c>
      <c r="W75" s="11">
        <f t="shared" si="65"/>
        <v>0</v>
      </c>
      <c r="X75" s="424"/>
      <c r="Y75" s="11">
        <f t="shared" si="66"/>
        <v>0</v>
      </c>
      <c r="Z75" s="424"/>
      <c r="AA75" s="68">
        <f t="shared" si="70"/>
        <v>0</v>
      </c>
      <c r="AB75" s="431"/>
      <c r="AC75" s="409"/>
      <c r="AD75" s="412"/>
      <c r="AE75" s="409"/>
      <c r="AF75" s="45">
        <v>500</v>
      </c>
      <c r="AG75" s="8">
        <f t="shared" si="67"/>
        <v>0</v>
      </c>
      <c r="AH75" s="8"/>
      <c r="AI75" s="8"/>
      <c r="AJ75" s="8">
        <f t="shared" si="68"/>
        <v>0</v>
      </c>
      <c r="AK75" s="8">
        <f t="shared" si="74"/>
        <v>0</v>
      </c>
      <c r="AL75" s="8">
        <f t="shared" si="69"/>
        <v>0</v>
      </c>
      <c r="AM75" s="8">
        <f t="shared" si="71"/>
        <v>0</v>
      </c>
      <c r="AN75" s="8">
        <f t="shared" si="75"/>
        <v>0</v>
      </c>
      <c r="AO75" s="8">
        <f t="shared" si="76"/>
        <v>0</v>
      </c>
      <c r="AP75" s="8">
        <f t="shared" si="77"/>
        <v>0</v>
      </c>
      <c r="AQ75" s="381"/>
      <c r="AR75" s="397"/>
      <c r="AS75" s="397"/>
    </row>
    <row r="76" spans="2:45" ht="29.4" thickBot="1" x14ac:dyDescent="0.35">
      <c r="B76" s="441"/>
      <c r="C76" s="428"/>
      <c r="D76" s="426"/>
      <c r="E76" s="27" t="s">
        <v>64</v>
      </c>
      <c r="F76" s="91"/>
      <c r="G76" s="57" t="s">
        <v>79</v>
      </c>
      <c r="H76" s="55" t="s">
        <v>21</v>
      </c>
      <c r="I76" s="51">
        <v>8</v>
      </c>
      <c r="J76" s="50" t="s">
        <v>65</v>
      </c>
      <c r="K76" s="51">
        <v>83</v>
      </c>
      <c r="L76" s="50" t="s">
        <v>66</v>
      </c>
      <c r="M76" s="51">
        <v>58</v>
      </c>
      <c r="N76" s="55" t="s">
        <v>73</v>
      </c>
      <c r="O76" s="50"/>
      <c r="P76" s="50"/>
      <c r="Q76" s="400"/>
      <c r="R76" s="401"/>
      <c r="S76" s="13"/>
      <c r="T76" s="9">
        <f t="shared" si="72"/>
        <v>0</v>
      </c>
      <c r="U76" s="9">
        <f t="shared" si="73"/>
        <v>0</v>
      </c>
      <c r="V76" s="21">
        <f t="shared" si="64"/>
        <v>0</v>
      </c>
      <c r="W76" s="11">
        <f t="shared" si="65"/>
        <v>0</v>
      </c>
      <c r="X76" s="424"/>
      <c r="Y76" s="11">
        <f t="shared" si="66"/>
        <v>0</v>
      </c>
      <c r="Z76" s="424"/>
      <c r="AA76" s="94">
        <f t="shared" si="70"/>
        <v>0</v>
      </c>
      <c r="AB76" s="431"/>
      <c r="AC76" s="409"/>
      <c r="AD76" s="412"/>
      <c r="AE76" s="409"/>
      <c r="AF76" s="45">
        <v>400</v>
      </c>
      <c r="AG76" s="8">
        <f t="shared" si="67"/>
        <v>0</v>
      </c>
      <c r="AH76" s="8"/>
      <c r="AI76" s="8"/>
      <c r="AJ76" s="8">
        <f t="shared" si="68"/>
        <v>0</v>
      </c>
      <c r="AK76" s="8">
        <f t="shared" si="74"/>
        <v>0</v>
      </c>
      <c r="AL76" s="8">
        <f t="shared" si="69"/>
        <v>0</v>
      </c>
      <c r="AM76" s="8">
        <f t="shared" si="71"/>
        <v>0</v>
      </c>
      <c r="AN76" s="8">
        <f t="shared" si="75"/>
        <v>0</v>
      </c>
      <c r="AO76" s="8">
        <f t="shared" si="76"/>
        <v>0</v>
      </c>
      <c r="AP76" s="8">
        <f t="shared" si="77"/>
        <v>0</v>
      </c>
      <c r="AQ76" s="381"/>
      <c r="AR76" s="397"/>
      <c r="AS76" s="397"/>
    </row>
    <row r="77" spans="2:45" ht="29.4" thickBot="1" x14ac:dyDescent="0.35">
      <c r="B77" s="441"/>
      <c r="C77" s="428"/>
      <c r="D77" s="88" t="s">
        <v>13</v>
      </c>
      <c r="E77" s="25" t="s">
        <v>156</v>
      </c>
      <c r="F77" s="24"/>
      <c r="G77" s="49" t="s">
        <v>37</v>
      </c>
      <c r="H77" s="50" t="s">
        <v>38</v>
      </c>
      <c r="I77" s="51">
        <v>40</v>
      </c>
      <c r="J77" s="50" t="s">
        <v>39</v>
      </c>
      <c r="K77" s="51">
        <v>97</v>
      </c>
      <c r="L77" s="50" t="s">
        <v>50</v>
      </c>
      <c r="M77" s="51">
        <v>69</v>
      </c>
      <c r="N77" s="50" t="s">
        <v>35</v>
      </c>
      <c r="O77" s="50"/>
      <c r="P77" s="50"/>
      <c r="Q77" s="399" t="s">
        <v>36</v>
      </c>
      <c r="R77" s="399"/>
      <c r="S77" s="12"/>
      <c r="T77" s="9">
        <f t="shared" si="72"/>
        <v>0</v>
      </c>
      <c r="U77" s="9">
        <f t="shared" si="73"/>
        <v>0</v>
      </c>
      <c r="V77" s="21">
        <f t="shared" si="64"/>
        <v>0</v>
      </c>
      <c r="W77" s="11">
        <f t="shared" si="65"/>
        <v>0</v>
      </c>
      <c r="X77" s="424"/>
      <c r="Y77" s="11">
        <f t="shared" si="66"/>
        <v>0</v>
      </c>
      <c r="Z77" s="424"/>
      <c r="AA77" s="68">
        <f t="shared" si="70"/>
        <v>0</v>
      </c>
      <c r="AB77" s="431"/>
      <c r="AC77" s="409"/>
      <c r="AD77" s="412"/>
      <c r="AE77" s="409"/>
      <c r="AF77" s="45">
        <v>500</v>
      </c>
      <c r="AG77" s="8">
        <f t="shared" si="67"/>
        <v>0</v>
      </c>
      <c r="AH77" s="8"/>
      <c r="AI77" s="8"/>
      <c r="AJ77" s="8">
        <f t="shared" si="68"/>
        <v>0</v>
      </c>
      <c r="AK77" s="8">
        <f t="shared" si="74"/>
        <v>0</v>
      </c>
      <c r="AL77" s="8">
        <f t="shared" si="69"/>
        <v>0</v>
      </c>
      <c r="AM77" s="8">
        <f t="shared" si="71"/>
        <v>0</v>
      </c>
      <c r="AN77" s="8">
        <f t="shared" si="75"/>
        <v>0</v>
      </c>
      <c r="AO77" s="8">
        <f t="shared" si="76"/>
        <v>0</v>
      </c>
      <c r="AP77" s="8">
        <f t="shared" si="77"/>
        <v>0</v>
      </c>
      <c r="AQ77" s="381"/>
      <c r="AR77" s="397"/>
      <c r="AS77" s="397"/>
    </row>
    <row r="78" spans="2:45" ht="29.4" thickBot="1" x14ac:dyDescent="0.35">
      <c r="B78" s="441"/>
      <c r="C78" s="428"/>
      <c r="D78" s="88" t="s">
        <v>14</v>
      </c>
      <c r="E78" s="25" t="s">
        <v>55</v>
      </c>
      <c r="F78" s="2"/>
      <c r="G78" s="49" t="s">
        <v>80</v>
      </c>
      <c r="H78" s="50" t="s">
        <v>56</v>
      </c>
      <c r="I78" s="51">
        <v>22</v>
      </c>
      <c r="J78" s="50" t="s">
        <v>30</v>
      </c>
      <c r="K78" s="51">
        <v>90</v>
      </c>
      <c r="L78" s="50" t="s">
        <v>57</v>
      </c>
      <c r="M78" s="51">
        <v>54</v>
      </c>
      <c r="N78" s="50">
        <v>1.5</v>
      </c>
      <c r="O78" s="50"/>
      <c r="P78" s="50"/>
      <c r="Q78" s="399" t="s">
        <v>72</v>
      </c>
      <c r="R78" s="399"/>
      <c r="S78" s="12">
        <f>5*365</f>
        <v>1825</v>
      </c>
      <c r="T78" s="9">
        <f t="shared" si="72"/>
        <v>152.08333333333334</v>
      </c>
      <c r="U78" s="9">
        <f t="shared" si="73"/>
        <v>5</v>
      </c>
      <c r="V78" s="21">
        <f t="shared" si="64"/>
        <v>5.5555555555555545</v>
      </c>
      <c r="W78" s="11">
        <f t="shared" si="65"/>
        <v>401.5</v>
      </c>
      <c r="X78" s="424"/>
      <c r="Y78" s="11">
        <f t="shared" si="66"/>
        <v>361.35</v>
      </c>
      <c r="Z78" s="424"/>
      <c r="AA78" s="94">
        <f t="shared" si="70"/>
        <v>6.0005455041367393</v>
      </c>
      <c r="AB78" s="431"/>
      <c r="AC78" s="409"/>
      <c r="AD78" s="412"/>
      <c r="AE78" s="409"/>
      <c r="AF78" s="45">
        <v>170</v>
      </c>
      <c r="AG78" s="8">
        <f t="shared" si="67"/>
        <v>61429.500000000007</v>
      </c>
      <c r="AH78" s="8"/>
      <c r="AI78" s="8"/>
      <c r="AJ78" s="8">
        <f t="shared" si="68"/>
        <v>33.660000000000004</v>
      </c>
      <c r="AK78" s="8">
        <f t="shared" si="74"/>
        <v>168.3</v>
      </c>
      <c r="AL78" s="8">
        <f t="shared" si="69"/>
        <v>90.882000000000019</v>
      </c>
      <c r="AM78" s="8">
        <f t="shared" si="71"/>
        <v>33171.930000000008</v>
      </c>
      <c r="AN78" s="8">
        <f t="shared" si="75"/>
        <v>3362.6340000000009</v>
      </c>
      <c r="AO78" s="8">
        <f t="shared" si="76"/>
        <v>1.5178556250000006E-2</v>
      </c>
      <c r="AP78" s="8">
        <f t="shared" si="77"/>
        <v>364.28535000000016</v>
      </c>
      <c r="AQ78" s="381"/>
      <c r="AR78" s="397"/>
      <c r="AS78" s="397"/>
    </row>
    <row r="79" spans="2:45" ht="15" thickBot="1" x14ac:dyDescent="0.35">
      <c r="B79" s="441"/>
      <c r="C79" s="428"/>
      <c r="D79" s="88" t="s">
        <v>15</v>
      </c>
      <c r="E79" s="25" t="s">
        <v>7</v>
      </c>
      <c r="F79" s="2"/>
      <c r="G79" s="49">
        <v>5.7</v>
      </c>
      <c r="H79" s="58" t="s">
        <v>51</v>
      </c>
      <c r="I79" s="51">
        <v>21</v>
      </c>
      <c r="J79" s="50" t="s">
        <v>32</v>
      </c>
      <c r="K79" s="51">
        <v>65</v>
      </c>
      <c r="L79" s="50" t="s">
        <v>52</v>
      </c>
      <c r="M79" s="51">
        <v>58</v>
      </c>
      <c r="N79" s="50"/>
      <c r="O79" s="50"/>
      <c r="P79" s="50"/>
      <c r="Q79" s="399" t="e">
        <f>O79/N79</f>
        <v>#DIV/0!</v>
      </c>
      <c r="R79" s="399"/>
      <c r="S79" s="12">
        <f>5*365</f>
        <v>1825</v>
      </c>
      <c r="T79" s="9">
        <f t="shared" si="72"/>
        <v>152.08333333333334</v>
      </c>
      <c r="U79" s="9">
        <f t="shared" si="73"/>
        <v>5</v>
      </c>
      <c r="V79" s="21">
        <f t="shared" si="64"/>
        <v>5.5555555555555545</v>
      </c>
      <c r="W79" s="11">
        <f t="shared" si="65"/>
        <v>383.25</v>
      </c>
      <c r="X79" s="424"/>
      <c r="Y79" s="11">
        <f t="shared" si="66"/>
        <v>249.11250000000001</v>
      </c>
      <c r="Z79" s="424"/>
      <c r="AA79" s="68">
        <f t="shared" si="70"/>
        <v>4.1367397036094191</v>
      </c>
      <c r="AB79" s="431"/>
      <c r="AC79" s="409"/>
      <c r="AD79" s="412"/>
      <c r="AE79" s="409"/>
      <c r="AF79" s="45">
        <v>580</v>
      </c>
      <c r="AG79" s="8">
        <f t="shared" si="67"/>
        <v>144485.25</v>
      </c>
      <c r="AH79" s="8"/>
      <c r="AI79" s="8"/>
      <c r="AJ79" s="8">
        <f t="shared" si="68"/>
        <v>79.17</v>
      </c>
      <c r="AK79" s="8">
        <f t="shared" si="74"/>
        <v>395.85</v>
      </c>
      <c r="AL79" s="8">
        <f t="shared" si="69"/>
        <v>229.59299999999999</v>
      </c>
      <c r="AM79" s="8">
        <f t="shared" si="71"/>
        <v>83801.444999999992</v>
      </c>
      <c r="AN79" s="8">
        <f t="shared" si="75"/>
        <v>8494.9409999999989</v>
      </c>
      <c r="AO79" s="8">
        <f t="shared" si="76"/>
        <v>3.8345219791666663E-2</v>
      </c>
      <c r="AP79" s="8">
        <f t="shared" si="77"/>
        <v>920.28527499999996</v>
      </c>
      <c r="AQ79" s="381"/>
      <c r="AR79" s="397"/>
      <c r="AS79" s="397"/>
    </row>
    <row r="80" spans="2:45" ht="58.2" thickBot="1" x14ac:dyDescent="0.35">
      <c r="B80" s="441"/>
      <c r="C80" s="428"/>
      <c r="D80" s="88" t="s">
        <v>16</v>
      </c>
      <c r="E80" s="25" t="s">
        <v>53</v>
      </c>
      <c r="F80" s="2"/>
      <c r="G80" s="59"/>
      <c r="H80" s="60" t="s">
        <v>28</v>
      </c>
      <c r="I80" s="61">
        <v>16</v>
      </c>
      <c r="J80" s="60" t="s">
        <v>34</v>
      </c>
      <c r="K80" s="61">
        <v>85</v>
      </c>
      <c r="L80" s="60" t="s">
        <v>54</v>
      </c>
      <c r="M80" s="61">
        <v>52</v>
      </c>
      <c r="N80" s="60" t="s">
        <v>76</v>
      </c>
      <c r="O80" s="60"/>
      <c r="P80" s="60"/>
      <c r="Q80" s="427" t="e">
        <f>O80/N80</f>
        <v>#VALUE!</v>
      </c>
      <c r="R80" s="427"/>
      <c r="S80" s="14"/>
      <c r="T80" s="9">
        <f t="shared" si="72"/>
        <v>0</v>
      </c>
      <c r="U80" s="9">
        <f t="shared" si="73"/>
        <v>0</v>
      </c>
      <c r="V80" s="21">
        <f t="shared" si="64"/>
        <v>0</v>
      </c>
      <c r="W80" s="11">
        <f t="shared" si="65"/>
        <v>0</v>
      </c>
      <c r="X80" s="429"/>
      <c r="Y80" s="11">
        <f t="shared" si="66"/>
        <v>0</v>
      </c>
      <c r="Z80" s="429"/>
      <c r="AA80" s="68">
        <f t="shared" si="70"/>
        <v>0</v>
      </c>
      <c r="AB80" s="431"/>
      <c r="AC80" s="409"/>
      <c r="AD80" s="412"/>
      <c r="AE80" s="409"/>
      <c r="AF80" s="46">
        <v>700</v>
      </c>
      <c r="AG80" s="8">
        <f t="shared" si="67"/>
        <v>0</v>
      </c>
      <c r="AH80" s="8"/>
      <c r="AI80" s="8"/>
      <c r="AJ80" s="8">
        <f t="shared" si="68"/>
        <v>0</v>
      </c>
      <c r="AK80" s="8">
        <f t="shared" si="74"/>
        <v>0</v>
      </c>
      <c r="AL80" s="8">
        <f t="shared" si="69"/>
        <v>0</v>
      </c>
      <c r="AM80" s="8">
        <f t="shared" si="71"/>
        <v>0</v>
      </c>
      <c r="AN80" s="8">
        <f t="shared" si="75"/>
        <v>0</v>
      </c>
      <c r="AO80" s="8">
        <f t="shared" si="76"/>
        <v>0</v>
      </c>
      <c r="AP80" s="8">
        <f t="shared" si="77"/>
        <v>0</v>
      </c>
      <c r="AQ80" s="382"/>
      <c r="AR80" s="398"/>
      <c r="AS80" s="398"/>
    </row>
    <row r="81" spans="2:45" ht="18" x14ac:dyDescent="0.3">
      <c r="B81" s="441"/>
      <c r="S81" s="17">
        <f t="shared" ref="S81:W81" si="78">SUM(S69:S80)</f>
        <v>32850</v>
      </c>
      <c r="T81" s="17">
        <f t="shared" si="78"/>
        <v>2737.5000000000005</v>
      </c>
      <c r="U81" s="17">
        <f t="shared" si="78"/>
        <v>90</v>
      </c>
      <c r="V81" s="17">
        <f t="shared" si="78"/>
        <v>99.999999999999986</v>
      </c>
      <c r="W81" s="16">
        <f t="shared" si="78"/>
        <v>9891.5</v>
      </c>
      <c r="X81" s="16"/>
      <c r="Y81" s="16">
        <f>SUM(Y69:Y80)</f>
        <v>6021.9525000000003</v>
      </c>
      <c r="Z81" s="16"/>
      <c r="AA81" s="16">
        <f>SUM(AA69:AA80)</f>
        <v>100</v>
      </c>
      <c r="AB81" s="16"/>
      <c r="AC81" s="16"/>
      <c r="AD81" s="16"/>
      <c r="AE81" s="16"/>
      <c r="AF81" s="16"/>
      <c r="AG81" s="16">
        <f>SUM(AG69:AG80)</f>
        <v>1948443</v>
      </c>
      <c r="AH81" s="16"/>
      <c r="AI81" s="16"/>
      <c r="AJ81" s="16"/>
      <c r="AK81" s="16">
        <f t="shared" ref="AK81:AP81" si="79">SUM(AK69:AK80)</f>
        <v>5338.2000000000007</v>
      </c>
      <c r="AL81" s="18">
        <f t="shared" si="79"/>
        <v>2972.9820000000004</v>
      </c>
      <c r="AM81" s="18">
        <f t="shared" si="79"/>
        <v>1085138.4300000002</v>
      </c>
      <c r="AN81" s="16">
        <f t="shared" si="79"/>
        <v>110000.334</v>
      </c>
      <c r="AO81" s="16">
        <f t="shared" si="79"/>
        <v>0.49652928541666674</v>
      </c>
      <c r="AP81" s="16">
        <f t="shared" si="79"/>
        <v>11916.702850000001</v>
      </c>
      <c r="AQ81" s="16"/>
      <c r="AR81" s="16"/>
    </row>
    <row r="82" spans="2:45" x14ac:dyDescent="0.3">
      <c r="B82" s="441"/>
    </row>
    <row r="83" spans="2:45" ht="15" thickBot="1" x14ac:dyDescent="0.35">
      <c r="B83" s="441"/>
    </row>
    <row r="84" spans="2:45" ht="15" thickBot="1" x14ac:dyDescent="0.35">
      <c r="B84" s="441"/>
      <c r="C84" s="416" t="s">
        <v>145</v>
      </c>
      <c r="D84" s="419" t="s">
        <v>9</v>
      </c>
      <c r="E84" s="25" t="s">
        <v>17</v>
      </c>
      <c r="F84" s="2"/>
      <c r="G84" s="62">
        <v>8.1</v>
      </c>
      <c r="H84" s="51" t="s">
        <v>42</v>
      </c>
      <c r="I84" s="51">
        <v>17</v>
      </c>
      <c r="J84" s="51" t="s">
        <v>43</v>
      </c>
      <c r="K84" s="51">
        <v>72</v>
      </c>
      <c r="L84" s="51">
        <v>58</v>
      </c>
      <c r="M84" s="51">
        <v>55</v>
      </c>
      <c r="N84" s="51">
        <v>1.77</v>
      </c>
      <c r="O84" s="51">
        <v>35.69</v>
      </c>
      <c r="P84" s="48"/>
      <c r="Q84" s="422">
        <f>O84/N84</f>
        <v>20.163841807909602</v>
      </c>
      <c r="R84" s="422"/>
      <c r="S84" s="29"/>
      <c r="T84" s="28">
        <f>S84/12</f>
        <v>0</v>
      </c>
      <c r="U84" s="31">
        <f>S84/365</f>
        <v>0</v>
      </c>
      <c r="V84" s="38">
        <f>(T84*100)/$T$96</f>
        <v>0</v>
      </c>
      <c r="W84" s="31">
        <f t="shared" ref="W84:W95" si="80">I84%*S84</f>
        <v>0</v>
      </c>
      <c r="X84" s="423">
        <f>W96/365</f>
        <v>13</v>
      </c>
      <c r="Y84" s="31">
        <f t="shared" ref="Y84:Y95" si="81">W84*K84%</f>
        <v>0</v>
      </c>
      <c r="Z84" s="402">
        <f>Y96/365</f>
        <v>10.278999999999998</v>
      </c>
      <c r="AA84" s="41">
        <f>(Y84*100)/$Y$96</f>
        <v>0</v>
      </c>
      <c r="AB84" s="405">
        <v>3.5</v>
      </c>
      <c r="AC84" s="408">
        <f>(X84-AB84)/X84</f>
        <v>0.73076923076923073</v>
      </c>
      <c r="AD84" s="411">
        <v>6.5</v>
      </c>
      <c r="AE84" s="408">
        <f>(Z84-AD84)/Z84</f>
        <v>0.36764276680610941</v>
      </c>
      <c r="AF84" s="47">
        <v>280</v>
      </c>
      <c r="AG84" s="32">
        <f t="shared" ref="AG84:AG95" si="82">Y84*AF84</f>
        <v>0</v>
      </c>
      <c r="AH84" s="32"/>
      <c r="AI84" s="32"/>
      <c r="AJ84" s="32">
        <f t="shared" ref="AJ84:AJ95" si="83">IFERROR(AG84/S84,0)</f>
        <v>0</v>
      </c>
      <c r="AK84" s="32">
        <f>AG84/365</f>
        <v>0</v>
      </c>
      <c r="AL84" s="32">
        <f t="shared" ref="AL84:AL95" si="84">IFERROR(AG84*M84%/365,0)</f>
        <v>0</v>
      </c>
      <c r="AM84" s="32">
        <f>AL84*365</f>
        <v>0</v>
      </c>
      <c r="AN84" s="32">
        <f>AL84*37</f>
        <v>0</v>
      </c>
      <c r="AO84" s="32">
        <f>AN84/3600/24*0.39</f>
        <v>0</v>
      </c>
      <c r="AP84" s="32">
        <f>AO84*1000*24</f>
        <v>0</v>
      </c>
      <c r="AQ84" s="414">
        <v>12000000</v>
      </c>
      <c r="AR84" s="396">
        <f>(Z84*1000)/3.7</f>
        <v>2778.1081081081074</v>
      </c>
      <c r="AS84" s="396">
        <f>AR84/U96</f>
        <v>37.041441441441435</v>
      </c>
    </row>
    <row r="85" spans="2:45" ht="29.4" thickBot="1" x14ac:dyDescent="0.35">
      <c r="B85" s="441"/>
      <c r="C85" s="417"/>
      <c r="D85" s="420"/>
      <c r="E85" s="25" t="s">
        <v>45</v>
      </c>
      <c r="F85" s="2"/>
      <c r="G85" s="49">
        <v>5.09</v>
      </c>
      <c r="H85" s="50" t="s">
        <v>46</v>
      </c>
      <c r="I85" s="51">
        <v>33</v>
      </c>
      <c r="J85" s="52" t="s">
        <v>47</v>
      </c>
      <c r="K85" s="51">
        <v>57</v>
      </c>
      <c r="L85" s="50">
        <v>55</v>
      </c>
      <c r="M85" s="51">
        <v>55</v>
      </c>
      <c r="N85" s="50">
        <v>4.33</v>
      </c>
      <c r="O85" s="50">
        <v>42.82</v>
      </c>
      <c r="P85" s="50"/>
      <c r="Q85" s="399">
        <f>O85/N85</f>
        <v>9.8891454965357966</v>
      </c>
      <c r="R85" s="399"/>
      <c r="S85" s="12">
        <f>5*365</f>
        <v>1825</v>
      </c>
      <c r="T85" s="9">
        <f>S85/12</f>
        <v>152.08333333333334</v>
      </c>
      <c r="U85" s="11">
        <f>S85/365</f>
        <v>5</v>
      </c>
      <c r="V85" s="39">
        <f t="shared" ref="V85:V95" si="85">(T85*100)/$T$96</f>
        <v>6.666666666666667</v>
      </c>
      <c r="W85" s="11">
        <f t="shared" si="80"/>
        <v>602.25</v>
      </c>
      <c r="X85" s="424"/>
      <c r="Y85" s="11">
        <f t="shared" si="81"/>
        <v>343.28249999999997</v>
      </c>
      <c r="Z85" s="403"/>
      <c r="AA85" s="42">
        <f t="shared" ref="AA85:AA95" si="86">(Y85*100)/$Y$96</f>
        <v>9.1497227356746773</v>
      </c>
      <c r="AB85" s="406"/>
      <c r="AC85" s="409"/>
      <c r="AD85" s="412"/>
      <c r="AE85" s="409"/>
      <c r="AF85" s="45">
        <v>300</v>
      </c>
      <c r="AG85" s="8">
        <f t="shared" si="82"/>
        <v>102984.74999999999</v>
      </c>
      <c r="AH85" s="8"/>
      <c r="AI85" s="8"/>
      <c r="AJ85" s="8">
        <f t="shared" si="83"/>
        <v>56.429999999999993</v>
      </c>
      <c r="AK85" s="8">
        <f>AG85/365</f>
        <v>282.14999999999998</v>
      </c>
      <c r="AL85" s="8">
        <f t="shared" si="84"/>
        <v>155.18249999999998</v>
      </c>
      <c r="AM85" s="8">
        <f t="shared" ref="AM85:AM95" si="87">AL85*365</f>
        <v>56641.612499999988</v>
      </c>
      <c r="AN85" s="8">
        <f>AL85*37</f>
        <v>5741.7524999999987</v>
      </c>
      <c r="AO85" s="8">
        <f>AN85/3600/24*0.39</f>
        <v>2.5917632812499994E-2</v>
      </c>
      <c r="AP85" s="8">
        <f>AO85*1000*24</f>
        <v>622.02318749999995</v>
      </c>
      <c r="AQ85" s="381"/>
      <c r="AR85" s="397"/>
      <c r="AS85" s="397"/>
    </row>
    <row r="86" spans="2:45" ht="15" thickBot="1" x14ac:dyDescent="0.35">
      <c r="B86" s="441"/>
      <c r="C86" s="417"/>
      <c r="D86" s="421"/>
      <c r="E86" s="27" t="s">
        <v>6</v>
      </c>
      <c r="F86" s="24"/>
      <c r="G86" s="49">
        <v>7.8</v>
      </c>
      <c r="H86" s="50" t="s">
        <v>48</v>
      </c>
      <c r="I86" s="51">
        <v>20</v>
      </c>
      <c r="J86" s="50" t="s">
        <v>154</v>
      </c>
      <c r="K86" s="51">
        <v>68</v>
      </c>
      <c r="L86" s="50">
        <v>58</v>
      </c>
      <c r="M86" s="51">
        <v>60</v>
      </c>
      <c r="N86" s="50">
        <v>2.15</v>
      </c>
      <c r="O86" s="50">
        <v>38.4</v>
      </c>
      <c r="P86" s="50"/>
      <c r="Q86" s="399">
        <f>O86/N86</f>
        <v>17.86046511627907</v>
      </c>
      <c r="R86" s="399"/>
      <c r="S86" s="12">
        <f>5*365</f>
        <v>1825</v>
      </c>
      <c r="T86" s="9">
        <f>S86/12</f>
        <v>152.08333333333334</v>
      </c>
      <c r="U86" s="11">
        <f>S86/365</f>
        <v>5</v>
      </c>
      <c r="V86" s="39">
        <f t="shared" si="85"/>
        <v>6.666666666666667</v>
      </c>
      <c r="W86" s="11">
        <f t="shared" si="80"/>
        <v>365</v>
      </c>
      <c r="X86" s="424"/>
      <c r="Y86" s="11">
        <f t="shared" si="81"/>
        <v>248.20000000000002</v>
      </c>
      <c r="Z86" s="403"/>
      <c r="AA86" s="42">
        <f t="shared" si="86"/>
        <v>6.6154295164899315</v>
      </c>
      <c r="AB86" s="406"/>
      <c r="AC86" s="409"/>
      <c r="AD86" s="412"/>
      <c r="AE86" s="409"/>
      <c r="AF86" s="45">
        <v>280</v>
      </c>
      <c r="AG86" s="8">
        <f t="shared" si="82"/>
        <v>69496</v>
      </c>
      <c r="AH86" s="8"/>
      <c r="AI86" s="8"/>
      <c r="AJ86" s="8">
        <f t="shared" si="83"/>
        <v>38.08</v>
      </c>
      <c r="AK86" s="8">
        <f>AG86/365</f>
        <v>190.4</v>
      </c>
      <c r="AL86" s="8">
        <f t="shared" si="84"/>
        <v>114.24</v>
      </c>
      <c r="AM86" s="8">
        <f t="shared" si="87"/>
        <v>41697.599999999999</v>
      </c>
      <c r="AN86" s="8">
        <f>AL86*37</f>
        <v>4226.88</v>
      </c>
      <c r="AO86" s="8">
        <f>AN86/3600/24*0.39</f>
        <v>1.9079666666666668E-2</v>
      </c>
      <c r="AP86" s="8">
        <f>AO86*1000*24</f>
        <v>457.91200000000003</v>
      </c>
      <c r="AQ86" s="381"/>
      <c r="AR86" s="397"/>
      <c r="AS86" s="397"/>
    </row>
    <row r="87" spans="2:45" ht="21.45" customHeight="1" thickBot="1" x14ac:dyDescent="0.35">
      <c r="B87" s="441"/>
      <c r="C87" s="417"/>
      <c r="D87" s="88" t="s">
        <v>10</v>
      </c>
      <c r="E87" s="25" t="s">
        <v>18</v>
      </c>
      <c r="F87" s="2"/>
      <c r="G87" s="53" t="s">
        <v>22</v>
      </c>
      <c r="H87" s="54" t="s">
        <v>20</v>
      </c>
      <c r="I87" s="51">
        <v>8</v>
      </c>
      <c r="J87" s="52" t="s">
        <v>23</v>
      </c>
      <c r="K87" s="51">
        <v>80</v>
      </c>
      <c r="L87" s="52" t="s">
        <v>44</v>
      </c>
      <c r="M87" s="51">
        <v>50</v>
      </c>
      <c r="N87" s="55" t="s">
        <v>24</v>
      </c>
      <c r="O87" s="50"/>
      <c r="P87" s="50"/>
      <c r="Q87" s="399">
        <f>O87/N87</f>
        <v>0</v>
      </c>
      <c r="R87" s="399"/>
      <c r="S87" s="12"/>
      <c r="T87" s="9">
        <f t="shared" ref="T87:T95" si="88">S87/12</f>
        <v>0</v>
      </c>
      <c r="U87" s="11">
        <f t="shared" ref="U87:U95" si="89">S87/365</f>
        <v>0</v>
      </c>
      <c r="V87" s="39">
        <f t="shared" si="85"/>
        <v>0</v>
      </c>
      <c r="W87" s="11">
        <f t="shared" si="80"/>
        <v>0</v>
      </c>
      <c r="X87" s="424"/>
      <c r="Y87" s="11">
        <f t="shared" si="81"/>
        <v>0</v>
      </c>
      <c r="Z87" s="403"/>
      <c r="AA87" s="42">
        <f t="shared" si="86"/>
        <v>0</v>
      </c>
      <c r="AB87" s="406"/>
      <c r="AC87" s="409"/>
      <c r="AD87" s="412"/>
      <c r="AE87" s="409"/>
      <c r="AF87" s="45">
        <v>200</v>
      </c>
      <c r="AG87" s="8">
        <f t="shared" si="82"/>
        <v>0</v>
      </c>
      <c r="AH87" s="8"/>
      <c r="AI87" s="8"/>
      <c r="AJ87" s="8">
        <f t="shared" si="83"/>
        <v>0</v>
      </c>
      <c r="AK87" s="8">
        <f t="shared" ref="AK87:AK95" si="90">AG87/365</f>
        <v>0</v>
      </c>
      <c r="AL87" s="8">
        <f t="shared" si="84"/>
        <v>0</v>
      </c>
      <c r="AM87" s="8">
        <f t="shared" si="87"/>
        <v>0</v>
      </c>
      <c r="AN87" s="8">
        <f t="shared" ref="AN87:AN95" si="91">AL87*37</f>
        <v>0</v>
      </c>
      <c r="AO87" s="8">
        <f t="shared" ref="AO87:AO95" si="92">AN87/3600/24*0.39</f>
        <v>0</v>
      </c>
      <c r="AP87" s="8">
        <f t="shared" ref="AP87:AP95" si="93">AO87*1000*24</f>
        <v>0</v>
      </c>
      <c r="AQ87" s="381"/>
      <c r="AR87" s="397"/>
      <c r="AS87" s="397"/>
    </row>
    <row r="88" spans="2:45" ht="33.450000000000003" customHeight="1" thickBot="1" x14ac:dyDescent="0.35">
      <c r="B88" s="441"/>
      <c r="C88" s="417"/>
      <c r="D88" s="88" t="s">
        <v>11</v>
      </c>
      <c r="E88" s="27" t="s">
        <v>58</v>
      </c>
      <c r="F88" s="24"/>
      <c r="G88" s="56" t="s">
        <v>67</v>
      </c>
      <c r="H88" s="50" t="s">
        <v>59</v>
      </c>
      <c r="I88" s="51">
        <v>12</v>
      </c>
      <c r="J88" s="50">
        <v>89</v>
      </c>
      <c r="K88" s="51">
        <v>89</v>
      </c>
      <c r="L88" s="50" t="s">
        <v>57</v>
      </c>
      <c r="M88" s="51">
        <v>51</v>
      </c>
      <c r="N88" s="50">
        <v>1.4</v>
      </c>
      <c r="O88" s="50"/>
      <c r="P88" s="50"/>
      <c r="Q88" s="399" t="s">
        <v>70</v>
      </c>
      <c r="R88" s="399"/>
      <c r="S88" s="12">
        <f>5*365</f>
        <v>1825</v>
      </c>
      <c r="T88" s="9">
        <f t="shared" si="88"/>
        <v>152.08333333333334</v>
      </c>
      <c r="U88" s="11">
        <f t="shared" si="89"/>
        <v>5</v>
      </c>
      <c r="V88" s="39">
        <f t="shared" si="85"/>
        <v>6.666666666666667</v>
      </c>
      <c r="W88" s="11">
        <f t="shared" si="80"/>
        <v>219</v>
      </c>
      <c r="X88" s="424"/>
      <c r="Y88" s="11">
        <f t="shared" si="81"/>
        <v>194.91</v>
      </c>
      <c r="Z88" s="403"/>
      <c r="AA88" s="42">
        <f t="shared" si="86"/>
        <v>5.1950578850082696</v>
      </c>
      <c r="AB88" s="406"/>
      <c r="AC88" s="409"/>
      <c r="AD88" s="412"/>
      <c r="AE88" s="409"/>
      <c r="AF88" s="45">
        <v>300</v>
      </c>
      <c r="AG88" s="8">
        <f t="shared" si="82"/>
        <v>58473</v>
      </c>
      <c r="AH88" s="8"/>
      <c r="AI88" s="8"/>
      <c r="AJ88" s="8">
        <f t="shared" si="83"/>
        <v>32.04</v>
      </c>
      <c r="AK88" s="8">
        <f t="shared" si="90"/>
        <v>160.19999999999999</v>
      </c>
      <c r="AL88" s="8">
        <f t="shared" si="84"/>
        <v>81.701999999999998</v>
      </c>
      <c r="AM88" s="8">
        <f t="shared" si="87"/>
        <v>29821.23</v>
      </c>
      <c r="AN88" s="8">
        <f t="shared" si="91"/>
        <v>3022.9740000000002</v>
      </c>
      <c r="AO88" s="8">
        <f t="shared" si="92"/>
        <v>1.3645368750000001E-2</v>
      </c>
      <c r="AP88" s="8">
        <f t="shared" si="93"/>
        <v>327.48885000000001</v>
      </c>
      <c r="AQ88" s="381"/>
      <c r="AR88" s="397"/>
      <c r="AS88" s="397"/>
    </row>
    <row r="89" spans="2:45" ht="29.4" thickBot="1" x14ac:dyDescent="0.35">
      <c r="B89" s="441"/>
      <c r="C89" s="417"/>
      <c r="D89" s="426" t="s">
        <v>12</v>
      </c>
      <c r="E89" s="27" t="s">
        <v>27</v>
      </c>
      <c r="F89" s="24"/>
      <c r="G89" s="57" t="s">
        <v>29</v>
      </c>
      <c r="H89" s="50" t="s">
        <v>28</v>
      </c>
      <c r="I89" s="51">
        <v>25</v>
      </c>
      <c r="J89" s="50" t="s">
        <v>60</v>
      </c>
      <c r="K89" s="51">
        <v>90</v>
      </c>
      <c r="L89" s="50">
        <v>65</v>
      </c>
      <c r="M89" s="51">
        <v>60</v>
      </c>
      <c r="N89" s="55" t="s">
        <v>61</v>
      </c>
      <c r="O89" s="50"/>
      <c r="P89" s="50"/>
      <c r="Q89" s="399">
        <v>35</v>
      </c>
      <c r="R89" s="399"/>
      <c r="S89" s="12"/>
      <c r="T89" s="9">
        <f t="shared" si="88"/>
        <v>0</v>
      </c>
      <c r="U89" s="11">
        <f t="shared" si="89"/>
        <v>0</v>
      </c>
      <c r="V89" s="39">
        <f t="shared" si="85"/>
        <v>0</v>
      </c>
      <c r="W89" s="11">
        <f t="shared" si="80"/>
        <v>0</v>
      </c>
      <c r="X89" s="424"/>
      <c r="Y89" s="11">
        <f t="shared" si="81"/>
        <v>0</v>
      </c>
      <c r="Z89" s="403"/>
      <c r="AA89" s="67">
        <f t="shared" si="86"/>
        <v>0</v>
      </c>
      <c r="AB89" s="406"/>
      <c r="AC89" s="409"/>
      <c r="AD89" s="412"/>
      <c r="AE89" s="409"/>
      <c r="AF89" s="45">
        <v>590</v>
      </c>
      <c r="AG89" s="8">
        <f t="shared" si="82"/>
        <v>0</v>
      </c>
      <c r="AH89" s="8"/>
      <c r="AI89" s="8"/>
      <c r="AJ89" s="8">
        <f t="shared" si="83"/>
        <v>0</v>
      </c>
      <c r="AK89" s="8">
        <f t="shared" si="90"/>
        <v>0</v>
      </c>
      <c r="AL89" s="8">
        <f t="shared" si="84"/>
        <v>0</v>
      </c>
      <c r="AM89" s="8">
        <f t="shared" si="87"/>
        <v>0</v>
      </c>
      <c r="AN89" s="8">
        <f t="shared" si="91"/>
        <v>0</v>
      </c>
      <c r="AO89" s="8">
        <f t="shared" si="92"/>
        <v>0</v>
      </c>
      <c r="AP89" s="8">
        <f t="shared" si="93"/>
        <v>0</v>
      </c>
      <c r="AQ89" s="381"/>
      <c r="AR89" s="397"/>
      <c r="AS89" s="397"/>
    </row>
    <row r="90" spans="2:45" ht="29.4" thickBot="1" x14ac:dyDescent="0.35">
      <c r="B90" s="441"/>
      <c r="C90" s="417"/>
      <c r="D90" s="426"/>
      <c r="E90" s="27" t="s">
        <v>158</v>
      </c>
      <c r="F90" s="2"/>
      <c r="G90" s="57" t="s">
        <v>75</v>
      </c>
      <c r="H90" s="50" t="s">
        <v>155</v>
      </c>
      <c r="I90" s="51">
        <v>12</v>
      </c>
      <c r="J90" s="50" t="s">
        <v>62</v>
      </c>
      <c r="K90" s="51">
        <v>85</v>
      </c>
      <c r="L90" s="50" t="s">
        <v>63</v>
      </c>
      <c r="M90" s="51">
        <v>55</v>
      </c>
      <c r="N90" s="50"/>
      <c r="O90" s="50"/>
      <c r="P90" s="50"/>
      <c r="Q90" s="400"/>
      <c r="R90" s="401"/>
      <c r="S90" s="13"/>
      <c r="T90" s="9">
        <f t="shared" si="88"/>
        <v>0</v>
      </c>
      <c r="U90" s="11">
        <f t="shared" si="89"/>
        <v>0</v>
      </c>
      <c r="V90" s="39">
        <f t="shared" si="85"/>
        <v>0</v>
      </c>
      <c r="W90" s="11">
        <f t="shared" si="80"/>
        <v>0</v>
      </c>
      <c r="X90" s="424"/>
      <c r="Y90" s="11">
        <f t="shared" si="81"/>
        <v>0</v>
      </c>
      <c r="Z90" s="403"/>
      <c r="AA90" s="42">
        <f t="shared" si="86"/>
        <v>0</v>
      </c>
      <c r="AB90" s="406"/>
      <c r="AC90" s="409"/>
      <c r="AD90" s="412"/>
      <c r="AE90" s="409"/>
      <c r="AF90" s="45">
        <v>500</v>
      </c>
      <c r="AG90" s="8">
        <f t="shared" si="82"/>
        <v>0</v>
      </c>
      <c r="AH90" s="8"/>
      <c r="AI90" s="8"/>
      <c r="AJ90" s="8">
        <f t="shared" si="83"/>
        <v>0</v>
      </c>
      <c r="AK90" s="8">
        <f t="shared" si="90"/>
        <v>0</v>
      </c>
      <c r="AL90" s="8">
        <f t="shared" si="84"/>
        <v>0</v>
      </c>
      <c r="AM90" s="8">
        <f t="shared" si="87"/>
        <v>0</v>
      </c>
      <c r="AN90" s="8">
        <f t="shared" si="91"/>
        <v>0</v>
      </c>
      <c r="AO90" s="8">
        <f t="shared" si="92"/>
        <v>0</v>
      </c>
      <c r="AP90" s="8">
        <f t="shared" si="93"/>
        <v>0</v>
      </c>
      <c r="AQ90" s="381"/>
      <c r="AR90" s="397"/>
      <c r="AS90" s="397"/>
    </row>
    <row r="91" spans="2:45" ht="29.4" thickBot="1" x14ac:dyDescent="0.35">
      <c r="B91" s="441"/>
      <c r="C91" s="417"/>
      <c r="D91" s="426"/>
      <c r="E91" s="27" t="s">
        <v>64</v>
      </c>
      <c r="F91" s="24"/>
      <c r="G91" s="57" t="s">
        <v>79</v>
      </c>
      <c r="H91" s="55" t="s">
        <v>21</v>
      </c>
      <c r="I91" s="51">
        <v>8</v>
      </c>
      <c r="J91" s="50" t="s">
        <v>65</v>
      </c>
      <c r="K91" s="51">
        <v>83</v>
      </c>
      <c r="L91" s="50" t="s">
        <v>66</v>
      </c>
      <c r="M91" s="51">
        <v>58</v>
      </c>
      <c r="N91" s="55" t="s">
        <v>73</v>
      </c>
      <c r="O91" s="50"/>
      <c r="P91" s="50"/>
      <c r="Q91" s="400"/>
      <c r="R91" s="401"/>
      <c r="S91" s="13">
        <f>5*365</f>
        <v>1825</v>
      </c>
      <c r="T91" s="9">
        <f t="shared" si="88"/>
        <v>152.08333333333334</v>
      </c>
      <c r="U91" s="11">
        <f t="shared" si="89"/>
        <v>5</v>
      </c>
      <c r="V91" s="39">
        <f t="shared" si="85"/>
        <v>6.666666666666667</v>
      </c>
      <c r="W91" s="11">
        <f t="shared" si="80"/>
        <v>146</v>
      </c>
      <c r="X91" s="424"/>
      <c r="Y91" s="11">
        <f t="shared" si="81"/>
        <v>121.17999999999999</v>
      </c>
      <c r="Z91" s="403"/>
      <c r="AA91" s="42">
        <f t="shared" si="86"/>
        <v>3.2298861756980255</v>
      </c>
      <c r="AB91" s="406"/>
      <c r="AC91" s="409"/>
      <c r="AD91" s="412"/>
      <c r="AE91" s="409"/>
      <c r="AF91" s="45">
        <v>400</v>
      </c>
      <c r="AG91" s="8">
        <f t="shared" si="82"/>
        <v>48472</v>
      </c>
      <c r="AH91" s="8"/>
      <c r="AI91" s="8"/>
      <c r="AJ91" s="8">
        <f t="shared" si="83"/>
        <v>26.56</v>
      </c>
      <c r="AK91" s="8">
        <f t="shared" si="90"/>
        <v>132.80000000000001</v>
      </c>
      <c r="AL91" s="8">
        <f t="shared" si="84"/>
        <v>77.024000000000001</v>
      </c>
      <c r="AM91" s="8">
        <f t="shared" si="87"/>
        <v>28113.760000000002</v>
      </c>
      <c r="AN91" s="8">
        <f t="shared" si="91"/>
        <v>2849.8879999999999</v>
      </c>
      <c r="AO91" s="8">
        <f t="shared" si="92"/>
        <v>1.2864077777777778E-2</v>
      </c>
      <c r="AP91" s="8">
        <f t="shared" si="93"/>
        <v>308.73786666666666</v>
      </c>
      <c r="AQ91" s="381"/>
      <c r="AR91" s="397"/>
      <c r="AS91" s="397"/>
    </row>
    <row r="92" spans="2:45" ht="29.4" thickBot="1" x14ac:dyDescent="0.35">
      <c r="B92" s="441"/>
      <c r="C92" s="417"/>
      <c r="D92" s="88" t="s">
        <v>13</v>
      </c>
      <c r="E92" s="25" t="s">
        <v>156</v>
      </c>
      <c r="F92" s="24"/>
      <c r="G92" s="49" t="s">
        <v>37</v>
      </c>
      <c r="H92" s="50" t="s">
        <v>38</v>
      </c>
      <c r="I92" s="51">
        <v>40</v>
      </c>
      <c r="J92" s="50" t="s">
        <v>39</v>
      </c>
      <c r="K92" s="51">
        <v>97</v>
      </c>
      <c r="L92" s="50" t="s">
        <v>50</v>
      </c>
      <c r="M92" s="51">
        <v>69</v>
      </c>
      <c r="N92" s="50" t="s">
        <v>35</v>
      </c>
      <c r="O92" s="50"/>
      <c r="P92" s="50"/>
      <c r="Q92" s="399" t="s">
        <v>36</v>
      </c>
      <c r="R92" s="399"/>
      <c r="S92" s="12"/>
      <c r="T92" s="9">
        <f t="shared" si="88"/>
        <v>0</v>
      </c>
      <c r="U92" s="11">
        <f t="shared" si="89"/>
        <v>0</v>
      </c>
      <c r="V92" s="39">
        <f t="shared" si="85"/>
        <v>0</v>
      </c>
      <c r="W92" s="11">
        <f t="shared" si="80"/>
        <v>0</v>
      </c>
      <c r="X92" s="424"/>
      <c r="Y92" s="11">
        <f t="shared" si="81"/>
        <v>0</v>
      </c>
      <c r="Z92" s="403"/>
      <c r="AA92" s="42">
        <f t="shared" si="86"/>
        <v>0</v>
      </c>
      <c r="AB92" s="406"/>
      <c r="AC92" s="409"/>
      <c r="AD92" s="412"/>
      <c r="AE92" s="409"/>
      <c r="AF92" s="45">
        <v>500</v>
      </c>
      <c r="AG92" s="8">
        <f t="shared" si="82"/>
        <v>0</v>
      </c>
      <c r="AH92" s="8"/>
      <c r="AI92" s="8"/>
      <c r="AJ92" s="8">
        <f t="shared" si="83"/>
        <v>0</v>
      </c>
      <c r="AK92" s="8">
        <f t="shared" si="90"/>
        <v>0</v>
      </c>
      <c r="AL92" s="8">
        <f t="shared" si="84"/>
        <v>0</v>
      </c>
      <c r="AM92" s="8">
        <f t="shared" si="87"/>
        <v>0</v>
      </c>
      <c r="AN92" s="8">
        <f t="shared" si="91"/>
        <v>0</v>
      </c>
      <c r="AO92" s="8">
        <f t="shared" si="92"/>
        <v>0</v>
      </c>
      <c r="AP92" s="8">
        <f t="shared" si="93"/>
        <v>0</v>
      </c>
      <c r="AQ92" s="381"/>
      <c r="AR92" s="397"/>
      <c r="AS92" s="397"/>
    </row>
    <row r="93" spans="2:45" ht="29.4" thickBot="1" x14ac:dyDescent="0.35">
      <c r="B93" s="441"/>
      <c r="C93" s="417"/>
      <c r="D93" s="88" t="s">
        <v>14</v>
      </c>
      <c r="E93" s="25" t="s">
        <v>55</v>
      </c>
      <c r="F93" s="2"/>
      <c r="G93" s="49" t="s">
        <v>80</v>
      </c>
      <c r="H93" s="50" t="s">
        <v>56</v>
      </c>
      <c r="I93" s="51">
        <v>22</v>
      </c>
      <c r="J93" s="50" t="s">
        <v>30</v>
      </c>
      <c r="K93" s="51">
        <v>90</v>
      </c>
      <c r="L93" s="50" t="s">
        <v>57</v>
      </c>
      <c r="M93" s="51">
        <v>54</v>
      </c>
      <c r="N93" s="50">
        <v>1.5</v>
      </c>
      <c r="O93" s="50"/>
      <c r="P93" s="50"/>
      <c r="Q93" s="399" t="s">
        <v>72</v>
      </c>
      <c r="R93" s="399"/>
      <c r="S93" s="12">
        <f>5*365</f>
        <v>1825</v>
      </c>
      <c r="T93" s="9">
        <f t="shared" si="88"/>
        <v>152.08333333333334</v>
      </c>
      <c r="U93" s="11">
        <f t="shared" si="89"/>
        <v>5</v>
      </c>
      <c r="V93" s="39">
        <f t="shared" si="85"/>
        <v>6.666666666666667</v>
      </c>
      <c r="W93" s="11">
        <f t="shared" si="80"/>
        <v>401.5</v>
      </c>
      <c r="X93" s="424"/>
      <c r="Y93" s="11">
        <f t="shared" si="81"/>
        <v>361.35</v>
      </c>
      <c r="Z93" s="403"/>
      <c r="AA93" s="42">
        <f t="shared" si="86"/>
        <v>9.6312870901838714</v>
      </c>
      <c r="AB93" s="406"/>
      <c r="AC93" s="409"/>
      <c r="AD93" s="412"/>
      <c r="AE93" s="409"/>
      <c r="AF93" s="45">
        <v>170</v>
      </c>
      <c r="AG93" s="8">
        <f t="shared" si="82"/>
        <v>61429.500000000007</v>
      </c>
      <c r="AH93" s="8"/>
      <c r="AI93" s="8"/>
      <c r="AJ93" s="8">
        <f t="shared" si="83"/>
        <v>33.660000000000004</v>
      </c>
      <c r="AK93" s="8">
        <f t="shared" si="90"/>
        <v>168.3</v>
      </c>
      <c r="AL93" s="8">
        <f t="shared" si="84"/>
        <v>90.882000000000019</v>
      </c>
      <c r="AM93" s="8">
        <f t="shared" si="87"/>
        <v>33171.930000000008</v>
      </c>
      <c r="AN93" s="8">
        <f t="shared" si="91"/>
        <v>3362.6340000000009</v>
      </c>
      <c r="AO93" s="8">
        <f t="shared" si="92"/>
        <v>1.5178556250000006E-2</v>
      </c>
      <c r="AP93" s="8">
        <f t="shared" si="93"/>
        <v>364.28535000000016</v>
      </c>
      <c r="AQ93" s="381"/>
      <c r="AR93" s="397"/>
      <c r="AS93" s="397"/>
    </row>
    <row r="94" spans="2:45" ht="15" thickBot="1" x14ac:dyDescent="0.35">
      <c r="B94" s="441"/>
      <c r="C94" s="417"/>
      <c r="D94" s="88" t="s">
        <v>15</v>
      </c>
      <c r="E94" s="25" t="s">
        <v>7</v>
      </c>
      <c r="F94" s="2"/>
      <c r="G94" s="49">
        <v>5.7</v>
      </c>
      <c r="H94" s="58" t="s">
        <v>51</v>
      </c>
      <c r="I94" s="51">
        <v>21</v>
      </c>
      <c r="J94" s="50" t="s">
        <v>32</v>
      </c>
      <c r="K94" s="51">
        <v>65</v>
      </c>
      <c r="L94" s="50" t="s">
        <v>52</v>
      </c>
      <c r="M94" s="51">
        <v>58</v>
      </c>
      <c r="N94" s="50"/>
      <c r="O94" s="50"/>
      <c r="P94" s="50"/>
      <c r="Q94" s="399" t="e">
        <f>O94/N94</f>
        <v>#DIV/0!</v>
      </c>
      <c r="R94" s="399"/>
      <c r="S94" s="12">
        <f>5*365</f>
        <v>1825</v>
      </c>
      <c r="T94" s="9">
        <f t="shared" si="88"/>
        <v>152.08333333333334</v>
      </c>
      <c r="U94" s="11">
        <f t="shared" si="89"/>
        <v>5</v>
      </c>
      <c r="V94" s="39">
        <f t="shared" si="85"/>
        <v>6.666666666666667</v>
      </c>
      <c r="W94" s="11">
        <f t="shared" si="80"/>
        <v>383.25</v>
      </c>
      <c r="X94" s="424"/>
      <c r="Y94" s="11">
        <f t="shared" si="81"/>
        <v>249.11250000000001</v>
      </c>
      <c r="Z94" s="403"/>
      <c r="AA94" s="42">
        <f t="shared" si="86"/>
        <v>6.6397509485358501</v>
      </c>
      <c r="AB94" s="406"/>
      <c r="AC94" s="409"/>
      <c r="AD94" s="412"/>
      <c r="AE94" s="409"/>
      <c r="AF94" s="45">
        <v>580</v>
      </c>
      <c r="AG94" s="8">
        <f t="shared" si="82"/>
        <v>144485.25</v>
      </c>
      <c r="AH94" s="8"/>
      <c r="AI94" s="8"/>
      <c r="AJ94" s="8">
        <f t="shared" si="83"/>
        <v>79.17</v>
      </c>
      <c r="AK94" s="8">
        <f t="shared" si="90"/>
        <v>395.85</v>
      </c>
      <c r="AL94" s="8">
        <f t="shared" si="84"/>
        <v>229.59299999999999</v>
      </c>
      <c r="AM94" s="8">
        <f t="shared" si="87"/>
        <v>83801.444999999992</v>
      </c>
      <c r="AN94" s="8">
        <f t="shared" si="91"/>
        <v>8494.9409999999989</v>
      </c>
      <c r="AO94" s="8">
        <f t="shared" si="92"/>
        <v>3.8345219791666663E-2</v>
      </c>
      <c r="AP94" s="8">
        <f t="shared" si="93"/>
        <v>920.28527499999996</v>
      </c>
      <c r="AQ94" s="381"/>
      <c r="AR94" s="397"/>
      <c r="AS94" s="397"/>
    </row>
    <row r="95" spans="2:45" ht="72.599999999999994" thickBot="1" x14ac:dyDescent="0.35">
      <c r="B95" s="441"/>
      <c r="C95" s="418"/>
      <c r="D95" s="88" t="s">
        <v>16</v>
      </c>
      <c r="E95" s="26" t="s">
        <v>53</v>
      </c>
      <c r="F95" s="24" t="s">
        <v>112</v>
      </c>
      <c r="G95" s="59"/>
      <c r="H95" s="60" t="s">
        <v>28</v>
      </c>
      <c r="I95" s="61">
        <v>16</v>
      </c>
      <c r="J95" s="60" t="s">
        <v>34</v>
      </c>
      <c r="K95" s="61">
        <v>85</v>
      </c>
      <c r="L95" s="60" t="s">
        <v>54</v>
      </c>
      <c r="M95" s="61">
        <v>52</v>
      </c>
      <c r="N95" s="60" t="s">
        <v>76</v>
      </c>
      <c r="O95" s="60"/>
      <c r="P95" s="60"/>
      <c r="Q95" s="427" t="e">
        <f>O95/N95</f>
        <v>#VALUE!</v>
      </c>
      <c r="R95" s="427"/>
      <c r="S95" s="14">
        <f>45*365</f>
        <v>16425</v>
      </c>
      <c r="T95" s="33">
        <f t="shared" si="88"/>
        <v>1368.75</v>
      </c>
      <c r="U95" s="35">
        <f t="shared" si="89"/>
        <v>45</v>
      </c>
      <c r="V95" s="40">
        <f t="shared" si="85"/>
        <v>60</v>
      </c>
      <c r="W95" s="35">
        <f t="shared" si="80"/>
        <v>2628</v>
      </c>
      <c r="X95" s="425"/>
      <c r="Y95" s="35">
        <f t="shared" si="81"/>
        <v>2233.7999999999997</v>
      </c>
      <c r="Z95" s="404"/>
      <c r="AA95" s="43">
        <f t="shared" si="86"/>
        <v>59.538865648409377</v>
      </c>
      <c r="AB95" s="407"/>
      <c r="AC95" s="410"/>
      <c r="AD95" s="413"/>
      <c r="AE95" s="410"/>
      <c r="AF95" s="46">
        <v>700</v>
      </c>
      <c r="AG95" s="36">
        <f t="shared" si="82"/>
        <v>1563659.9999999998</v>
      </c>
      <c r="AH95" s="36"/>
      <c r="AI95" s="36"/>
      <c r="AJ95" s="36">
        <f t="shared" si="83"/>
        <v>95.199999999999989</v>
      </c>
      <c r="AK95" s="36">
        <f t="shared" si="90"/>
        <v>4283.9999999999991</v>
      </c>
      <c r="AL95" s="36">
        <f t="shared" si="84"/>
        <v>2227.6799999999998</v>
      </c>
      <c r="AM95" s="36">
        <f t="shared" si="87"/>
        <v>813103.2</v>
      </c>
      <c r="AN95" s="36">
        <f t="shared" si="91"/>
        <v>82424.159999999989</v>
      </c>
      <c r="AO95" s="36">
        <f t="shared" si="92"/>
        <v>0.37205349999999998</v>
      </c>
      <c r="AP95" s="36">
        <f t="shared" si="93"/>
        <v>8929.2839999999997</v>
      </c>
      <c r="AQ95" s="415"/>
      <c r="AR95" s="398"/>
      <c r="AS95" s="398"/>
    </row>
    <row r="96" spans="2:45" ht="18" x14ac:dyDescent="0.3">
      <c r="B96" s="441"/>
      <c r="S96" s="17">
        <f t="shared" ref="S96:W96" si="94">SUM(S84:S95)</f>
        <v>27375</v>
      </c>
      <c r="T96" s="17">
        <f t="shared" si="94"/>
        <v>2281.25</v>
      </c>
      <c r="U96" s="17">
        <f t="shared" si="94"/>
        <v>75</v>
      </c>
      <c r="V96" s="17">
        <f t="shared" si="94"/>
        <v>100</v>
      </c>
      <c r="W96" s="16">
        <f t="shared" si="94"/>
        <v>4745</v>
      </c>
      <c r="X96" s="16"/>
      <c r="Y96" s="16">
        <f>SUM(Y84:Y95)</f>
        <v>3751.8349999999996</v>
      </c>
      <c r="Z96" s="16"/>
      <c r="AA96" s="16">
        <f>SUM(AA84:AA95)</f>
        <v>100</v>
      </c>
      <c r="AB96" s="16"/>
      <c r="AC96" s="16"/>
      <c r="AD96" s="16"/>
      <c r="AE96" s="16"/>
      <c r="AF96" s="16"/>
      <c r="AG96" s="16">
        <f>SUM(AG84:AG95)</f>
        <v>2049000.4999999998</v>
      </c>
      <c r="AH96" s="16"/>
      <c r="AI96" s="16"/>
      <c r="AJ96" s="16"/>
      <c r="AK96" s="16">
        <f t="shared" ref="AK96:AP96" si="95">SUM(AK84:AK95)</f>
        <v>5613.6999999999989</v>
      </c>
      <c r="AL96" s="18">
        <f t="shared" si="95"/>
        <v>2976.3035</v>
      </c>
      <c r="AM96" s="18">
        <f t="shared" si="95"/>
        <v>1086350.7774999999</v>
      </c>
      <c r="AN96" s="16">
        <f t="shared" si="95"/>
        <v>110123.22949999999</v>
      </c>
      <c r="AO96" s="16">
        <f t="shared" si="95"/>
        <v>0.49708402204861107</v>
      </c>
      <c r="AP96" s="16">
        <f t="shared" si="95"/>
        <v>11930.016529166667</v>
      </c>
      <c r="AQ96" s="16"/>
      <c r="AR96" s="16"/>
    </row>
    <row r="97" spans="2:45" x14ac:dyDescent="0.3">
      <c r="B97" s="441"/>
    </row>
    <row r="98" spans="2:45" x14ac:dyDescent="0.3">
      <c r="B98" s="441"/>
    </row>
    <row r="99" spans="2:45" x14ac:dyDescent="0.3">
      <c r="B99" s="441"/>
    </row>
    <row r="100" spans="2:45" ht="15" thickBot="1" x14ac:dyDescent="0.35">
      <c r="B100" s="441"/>
    </row>
    <row r="101" spans="2:45" ht="15" thickBot="1" x14ac:dyDescent="0.35">
      <c r="B101" s="441"/>
      <c r="C101" s="428" t="s">
        <v>146</v>
      </c>
      <c r="D101" s="419" t="s">
        <v>9</v>
      </c>
      <c r="E101" s="25" t="s">
        <v>17</v>
      </c>
      <c r="F101" s="2"/>
      <c r="G101" s="62">
        <v>8.1</v>
      </c>
      <c r="H101" s="51" t="s">
        <v>42</v>
      </c>
      <c r="I101" s="51">
        <v>17</v>
      </c>
      <c r="J101" s="51" t="s">
        <v>43</v>
      </c>
      <c r="K101" s="51">
        <v>72</v>
      </c>
      <c r="L101" s="51">
        <v>58</v>
      </c>
      <c r="M101" s="51">
        <v>55</v>
      </c>
      <c r="N101" s="51">
        <v>1.77</v>
      </c>
      <c r="O101" s="51">
        <v>35.69</v>
      </c>
      <c r="P101" s="51"/>
      <c r="Q101" s="432">
        <f>O101/N101</f>
        <v>20.163841807909602</v>
      </c>
      <c r="R101" s="432"/>
      <c r="S101" s="10"/>
      <c r="T101" s="9">
        <f>S101/12</f>
        <v>0</v>
      </c>
      <c r="U101" s="9">
        <f>S101/365</f>
        <v>0</v>
      </c>
      <c r="V101" s="21">
        <f>(T101*100)/$T$113</f>
        <v>0</v>
      </c>
      <c r="W101" s="11">
        <f t="shared" ref="W101:W112" si="96">I101%*S101</f>
        <v>0</v>
      </c>
      <c r="X101" s="423">
        <f>W113/365</f>
        <v>21.65</v>
      </c>
      <c r="Y101" s="11">
        <f t="shared" ref="Y101:Y112" si="97">W101*K101%</f>
        <v>0</v>
      </c>
      <c r="Z101" s="423">
        <f>Y113/365</f>
        <v>17.174500000000002</v>
      </c>
      <c r="AA101" s="11">
        <f>(Y101*100)/$Y$113</f>
        <v>0</v>
      </c>
      <c r="AB101" s="430">
        <v>9</v>
      </c>
      <c r="AC101" s="408">
        <f>(X101-AB101)/X101</f>
        <v>0.58429561200923785</v>
      </c>
      <c r="AD101" s="411">
        <v>13</v>
      </c>
      <c r="AE101" s="408">
        <f>(Z101-AD101)/Z101</f>
        <v>0.24306384465341066</v>
      </c>
      <c r="AF101" s="47">
        <v>280</v>
      </c>
      <c r="AG101" s="8">
        <f t="shared" ref="AG101:AG112" si="98">Y101*AF101</f>
        <v>0</v>
      </c>
      <c r="AH101" s="8"/>
      <c r="AI101" s="8"/>
      <c r="AJ101" s="8">
        <f t="shared" ref="AJ101:AJ112" si="99">IFERROR(AG101/S101,0)</f>
        <v>0</v>
      </c>
      <c r="AK101" s="8">
        <f>AG101/365</f>
        <v>0</v>
      </c>
      <c r="AL101" s="8">
        <f t="shared" ref="AL101:AL112" si="100">IFERROR(AG101*M101%/365,0)</f>
        <v>0</v>
      </c>
      <c r="AM101" s="8">
        <f>AL101*365</f>
        <v>0</v>
      </c>
      <c r="AN101" s="8">
        <f>AL101*37</f>
        <v>0</v>
      </c>
      <c r="AO101" s="8">
        <f>AN101/3600/24*0.39</f>
        <v>0</v>
      </c>
      <c r="AP101" s="8">
        <f>AO101*1000*24</f>
        <v>0</v>
      </c>
      <c r="AQ101" s="414">
        <v>10000000</v>
      </c>
      <c r="AR101" s="396">
        <f>(Z101*1000)/3.7</f>
        <v>4641.7567567567576</v>
      </c>
      <c r="AS101" s="396">
        <f>AR101/U113</f>
        <v>29.754851004851009</v>
      </c>
    </row>
    <row r="102" spans="2:45" ht="29.4" thickBot="1" x14ac:dyDescent="0.35">
      <c r="B102" s="441"/>
      <c r="C102" s="428"/>
      <c r="D102" s="420"/>
      <c r="E102" s="25" t="s">
        <v>45</v>
      </c>
      <c r="F102" s="2"/>
      <c r="G102" s="49">
        <v>5.09</v>
      </c>
      <c r="H102" s="50" t="s">
        <v>46</v>
      </c>
      <c r="I102" s="51">
        <v>33</v>
      </c>
      <c r="J102" s="52" t="s">
        <v>47</v>
      </c>
      <c r="K102" s="51">
        <v>57</v>
      </c>
      <c r="L102" s="50">
        <v>55</v>
      </c>
      <c r="M102" s="51">
        <v>55</v>
      </c>
      <c r="N102" s="50">
        <v>4.33</v>
      </c>
      <c r="O102" s="50">
        <v>42.82</v>
      </c>
      <c r="P102" s="50"/>
      <c r="Q102" s="399">
        <f>O102/N102</f>
        <v>9.8891454965357966</v>
      </c>
      <c r="R102" s="399"/>
      <c r="S102" s="12">
        <f>5*365</f>
        <v>1825</v>
      </c>
      <c r="T102" s="9">
        <f>S102/12</f>
        <v>152.08333333333334</v>
      </c>
      <c r="U102" s="9">
        <f>S102/365</f>
        <v>5</v>
      </c>
      <c r="V102" s="21">
        <f t="shared" ref="V102:V112" si="101">(T102*100)/$T$113</f>
        <v>3.2051282051282057</v>
      </c>
      <c r="W102" s="11">
        <f t="shared" si="96"/>
        <v>602.25</v>
      </c>
      <c r="X102" s="424"/>
      <c r="Y102" s="11">
        <f t="shared" si="97"/>
        <v>343.28249999999997</v>
      </c>
      <c r="Z102" s="424"/>
      <c r="AA102" s="11">
        <f t="shared" ref="AA102:AA112" si="102">(Y102*100)/$Y$113</f>
        <v>5.4761419546420562</v>
      </c>
      <c r="AB102" s="431"/>
      <c r="AC102" s="409"/>
      <c r="AD102" s="412"/>
      <c r="AE102" s="409"/>
      <c r="AF102" s="45">
        <v>300</v>
      </c>
      <c r="AG102" s="8">
        <f t="shared" si="98"/>
        <v>102984.74999999999</v>
      </c>
      <c r="AH102" s="8"/>
      <c r="AI102" s="8"/>
      <c r="AJ102" s="8">
        <f t="shared" si="99"/>
        <v>56.429999999999993</v>
      </c>
      <c r="AK102" s="8">
        <f>AG102/365</f>
        <v>282.14999999999998</v>
      </c>
      <c r="AL102" s="8">
        <f t="shared" si="100"/>
        <v>155.18249999999998</v>
      </c>
      <c r="AM102" s="8">
        <f t="shared" ref="AM102:AM112" si="103">AL102*365</f>
        <v>56641.612499999988</v>
      </c>
      <c r="AN102" s="8">
        <f>AL102*37</f>
        <v>5741.7524999999987</v>
      </c>
      <c r="AO102" s="8">
        <f>AN102/3600/24*0.39</f>
        <v>2.5917632812499994E-2</v>
      </c>
      <c r="AP102" s="8">
        <f>AO102*1000*24</f>
        <v>622.02318749999995</v>
      </c>
      <c r="AQ102" s="381"/>
      <c r="AR102" s="397"/>
      <c r="AS102" s="397"/>
    </row>
    <row r="103" spans="2:45" ht="15" thickBot="1" x14ac:dyDescent="0.35">
      <c r="B103" s="441"/>
      <c r="C103" s="428"/>
      <c r="D103" s="421"/>
      <c r="E103" s="25" t="s">
        <v>6</v>
      </c>
      <c r="F103" s="2"/>
      <c r="G103" s="49">
        <v>7.8</v>
      </c>
      <c r="H103" s="50" t="s">
        <v>48</v>
      </c>
      <c r="I103" s="51">
        <v>20</v>
      </c>
      <c r="J103" s="50" t="s">
        <v>154</v>
      </c>
      <c r="K103" s="51">
        <v>68</v>
      </c>
      <c r="L103" s="50">
        <v>58</v>
      </c>
      <c r="M103" s="51">
        <v>60</v>
      </c>
      <c r="N103" s="50">
        <v>2.15</v>
      </c>
      <c r="O103" s="50">
        <v>38.4</v>
      </c>
      <c r="P103" s="50"/>
      <c r="Q103" s="399">
        <f>O103/N103</f>
        <v>17.86046511627907</v>
      </c>
      <c r="R103" s="399"/>
      <c r="S103" s="12"/>
      <c r="T103" s="9">
        <f>S103/12</f>
        <v>0</v>
      </c>
      <c r="U103" s="9">
        <f>S103/365</f>
        <v>0</v>
      </c>
      <c r="V103" s="21">
        <f t="shared" si="101"/>
        <v>0</v>
      </c>
      <c r="W103" s="11">
        <f t="shared" si="96"/>
        <v>0</v>
      </c>
      <c r="X103" s="424"/>
      <c r="Y103" s="11">
        <f t="shared" si="97"/>
        <v>0</v>
      </c>
      <c r="Z103" s="424"/>
      <c r="AA103" s="11">
        <f t="shared" si="102"/>
        <v>0</v>
      </c>
      <c r="AB103" s="431"/>
      <c r="AC103" s="409"/>
      <c r="AD103" s="412"/>
      <c r="AE103" s="409"/>
      <c r="AF103" s="45">
        <v>280</v>
      </c>
      <c r="AG103" s="8">
        <f t="shared" si="98"/>
        <v>0</v>
      </c>
      <c r="AH103" s="8"/>
      <c r="AI103" s="8"/>
      <c r="AJ103" s="8">
        <f t="shared" si="99"/>
        <v>0</v>
      </c>
      <c r="AK103" s="8">
        <f>AG103/365</f>
        <v>0</v>
      </c>
      <c r="AL103" s="8">
        <f t="shared" si="100"/>
        <v>0</v>
      </c>
      <c r="AM103" s="8">
        <f t="shared" si="103"/>
        <v>0</v>
      </c>
      <c r="AN103" s="8">
        <f>AL103*37</f>
        <v>0</v>
      </c>
      <c r="AO103" s="8">
        <f>AN103/3600/24*0.39</f>
        <v>0</v>
      </c>
      <c r="AP103" s="8">
        <f>AO103*1000*24</f>
        <v>0</v>
      </c>
      <c r="AQ103" s="381"/>
      <c r="AR103" s="397"/>
      <c r="AS103" s="397"/>
    </row>
    <row r="104" spans="2:45" ht="18.45" customHeight="1" thickBot="1" x14ac:dyDescent="0.35">
      <c r="B104" s="441"/>
      <c r="C104" s="428"/>
      <c r="D104" s="88" t="s">
        <v>10</v>
      </c>
      <c r="E104" s="26" t="s">
        <v>18</v>
      </c>
      <c r="F104" s="24" t="s">
        <v>112</v>
      </c>
      <c r="G104" s="53" t="s">
        <v>22</v>
      </c>
      <c r="H104" s="54" t="s">
        <v>20</v>
      </c>
      <c r="I104" s="51">
        <v>8</v>
      </c>
      <c r="J104" s="52" t="s">
        <v>23</v>
      </c>
      <c r="K104" s="51">
        <v>80</v>
      </c>
      <c r="L104" s="52" t="s">
        <v>44</v>
      </c>
      <c r="M104" s="51">
        <v>50</v>
      </c>
      <c r="N104" s="55" t="s">
        <v>24</v>
      </c>
      <c r="O104" s="50"/>
      <c r="P104" s="50"/>
      <c r="Q104" s="399">
        <f>O104/N104</f>
        <v>0</v>
      </c>
      <c r="R104" s="399"/>
      <c r="S104" s="12">
        <f>88*365</f>
        <v>32120</v>
      </c>
      <c r="T104" s="9">
        <f t="shared" ref="T104:T112" si="104">S104/12</f>
        <v>2676.6666666666665</v>
      </c>
      <c r="U104" s="9">
        <f t="shared" ref="U104:U112" si="105">S104/365</f>
        <v>88</v>
      </c>
      <c r="V104" s="21">
        <f t="shared" si="101"/>
        <v>56.410256410256416</v>
      </c>
      <c r="W104" s="11">
        <f t="shared" si="96"/>
        <v>2569.6</v>
      </c>
      <c r="X104" s="424"/>
      <c r="Y104" s="11">
        <f t="shared" si="97"/>
        <v>2055.6799999999998</v>
      </c>
      <c r="Z104" s="424"/>
      <c r="AA104" s="11">
        <f t="shared" si="102"/>
        <v>32.79280328393839</v>
      </c>
      <c r="AB104" s="431"/>
      <c r="AC104" s="409"/>
      <c r="AD104" s="412"/>
      <c r="AE104" s="409"/>
      <c r="AF104" s="45">
        <v>200</v>
      </c>
      <c r="AG104" s="8">
        <f t="shared" si="98"/>
        <v>411135.99999999994</v>
      </c>
      <c r="AH104" s="8"/>
      <c r="AI104" s="8"/>
      <c r="AJ104" s="8">
        <f t="shared" si="99"/>
        <v>12.799999999999999</v>
      </c>
      <c r="AK104" s="8">
        <f t="shared" ref="AK104:AK112" si="106">AG104/365</f>
        <v>1126.3999999999999</v>
      </c>
      <c r="AL104" s="8">
        <f t="shared" si="100"/>
        <v>563.19999999999993</v>
      </c>
      <c r="AM104" s="8">
        <f t="shared" si="103"/>
        <v>205567.99999999997</v>
      </c>
      <c r="AN104" s="8">
        <f t="shared" ref="AN104:AN112" si="107">AL104*37</f>
        <v>20838.399999999998</v>
      </c>
      <c r="AO104" s="8">
        <f t="shared" ref="AO104:AO112" si="108">AN104/3600/24*0.39</f>
        <v>9.4062222222222214E-2</v>
      </c>
      <c r="AP104" s="8">
        <f t="shared" ref="AP104:AP112" si="109">AO104*1000*24</f>
        <v>2257.4933333333333</v>
      </c>
      <c r="AQ104" s="381"/>
      <c r="AR104" s="397"/>
      <c r="AS104" s="397"/>
    </row>
    <row r="105" spans="2:45" ht="29.55" customHeight="1" thickBot="1" x14ac:dyDescent="0.35">
      <c r="B105" s="441"/>
      <c r="C105" s="428"/>
      <c r="D105" s="88" t="s">
        <v>11</v>
      </c>
      <c r="E105" s="27" t="s">
        <v>58</v>
      </c>
      <c r="F105" s="24"/>
      <c r="G105" s="56" t="s">
        <v>67</v>
      </c>
      <c r="H105" s="50" t="s">
        <v>59</v>
      </c>
      <c r="I105" s="51">
        <v>12</v>
      </c>
      <c r="J105" s="50">
        <v>89</v>
      </c>
      <c r="K105" s="51">
        <v>89</v>
      </c>
      <c r="L105" s="50" t="s">
        <v>57</v>
      </c>
      <c r="M105" s="51">
        <v>51</v>
      </c>
      <c r="N105" s="50">
        <v>1.4</v>
      </c>
      <c r="O105" s="50"/>
      <c r="P105" s="50"/>
      <c r="Q105" s="399" t="s">
        <v>70</v>
      </c>
      <c r="R105" s="399"/>
      <c r="S105" s="12">
        <f>10*365</f>
        <v>3650</v>
      </c>
      <c r="T105" s="9">
        <f t="shared" si="104"/>
        <v>304.16666666666669</v>
      </c>
      <c r="U105" s="9">
        <f t="shared" si="105"/>
        <v>10</v>
      </c>
      <c r="V105" s="21">
        <f t="shared" si="101"/>
        <v>6.4102564102564115</v>
      </c>
      <c r="W105" s="11">
        <f t="shared" si="96"/>
        <v>438</v>
      </c>
      <c r="X105" s="424"/>
      <c r="Y105" s="11">
        <f t="shared" si="97"/>
        <v>389.82</v>
      </c>
      <c r="Z105" s="424"/>
      <c r="AA105" s="37">
        <f t="shared" si="102"/>
        <v>6.2185216454627499</v>
      </c>
      <c r="AB105" s="431"/>
      <c r="AC105" s="409"/>
      <c r="AD105" s="412"/>
      <c r="AE105" s="409"/>
      <c r="AF105" s="45">
        <v>300</v>
      </c>
      <c r="AG105" s="8">
        <f t="shared" si="98"/>
        <v>116946</v>
      </c>
      <c r="AH105" s="8"/>
      <c r="AI105" s="8"/>
      <c r="AJ105" s="8">
        <f t="shared" si="99"/>
        <v>32.04</v>
      </c>
      <c r="AK105" s="8">
        <f t="shared" si="106"/>
        <v>320.39999999999998</v>
      </c>
      <c r="AL105" s="8">
        <f t="shared" si="100"/>
        <v>163.404</v>
      </c>
      <c r="AM105" s="8">
        <f t="shared" si="103"/>
        <v>59642.46</v>
      </c>
      <c r="AN105" s="8">
        <f t="shared" si="107"/>
        <v>6045.9480000000003</v>
      </c>
      <c r="AO105" s="8">
        <f t="shared" si="108"/>
        <v>2.7290737500000002E-2</v>
      </c>
      <c r="AP105" s="8">
        <f t="shared" si="109"/>
        <v>654.97770000000003</v>
      </c>
      <c r="AQ105" s="381"/>
      <c r="AR105" s="397"/>
      <c r="AS105" s="397"/>
    </row>
    <row r="106" spans="2:45" ht="29.4" thickBot="1" x14ac:dyDescent="0.35">
      <c r="B106" s="441"/>
      <c r="C106" s="428"/>
      <c r="D106" s="426" t="s">
        <v>12</v>
      </c>
      <c r="E106" s="25" t="s">
        <v>27</v>
      </c>
      <c r="F106" s="2"/>
      <c r="G106" s="57" t="s">
        <v>29</v>
      </c>
      <c r="H106" s="50" t="s">
        <v>28</v>
      </c>
      <c r="I106" s="51">
        <v>25</v>
      </c>
      <c r="J106" s="50" t="s">
        <v>60</v>
      </c>
      <c r="K106" s="51">
        <v>90</v>
      </c>
      <c r="L106" s="50">
        <v>65</v>
      </c>
      <c r="M106" s="51">
        <v>60</v>
      </c>
      <c r="N106" s="55" t="s">
        <v>61</v>
      </c>
      <c r="O106" s="50"/>
      <c r="P106" s="50"/>
      <c r="Q106" s="399">
        <v>35</v>
      </c>
      <c r="R106" s="399"/>
      <c r="S106" s="12">
        <f>10*365</f>
        <v>3650</v>
      </c>
      <c r="T106" s="9">
        <f t="shared" si="104"/>
        <v>304.16666666666669</v>
      </c>
      <c r="U106" s="9">
        <f t="shared" si="105"/>
        <v>10</v>
      </c>
      <c r="V106" s="21">
        <f t="shared" si="101"/>
        <v>6.4102564102564115</v>
      </c>
      <c r="W106" s="11">
        <f t="shared" si="96"/>
        <v>912.5</v>
      </c>
      <c r="X106" s="424"/>
      <c r="Y106" s="11">
        <f t="shared" si="97"/>
        <v>821.25</v>
      </c>
      <c r="Z106" s="424"/>
      <c r="AA106" s="11">
        <f t="shared" si="102"/>
        <v>13.100818073306355</v>
      </c>
      <c r="AB106" s="431"/>
      <c r="AC106" s="409"/>
      <c r="AD106" s="412"/>
      <c r="AE106" s="409"/>
      <c r="AF106" s="45">
        <v>590</v>
      </c>
      <c r="AG106" s="8">
        <f t="shared" si="98"/>
        <v>484537.5</v>
      </c>
      <c r="AH106" s="8"/>
      <c r="AI106" s="8"/>
      <c r="AJ106" s="8">
        <f t="shared" si="99"/>
        <v>132.75</v>
      </c>
      <c r="AK106" s="8">
        <f t="shared" si="106"/>
        <v>1327.5</v>
      </c>
      <c r="AL106" s="8">
        <f t="shared" si="100"/>
        <v>796.5</v>
      </c>
      <c r="AM106" s="8">
        <f t="shared" si="103"/>
        <v>290722.5</v>
      </c>
      <c r="AN106" s="8">
        <f t="shared" si="107"/>
        <v>29470.5</v>
      </c>
      <c r="AO106" s="8">
        <f t="shared" si="108"/>
        <v>0.1330265625</v>
      </c>
      <c r="AP106" s="8">
        <f t="shared" si="109"/>
        <v>3192.6375000000003</v>
      </c>
      <c r="AQ106" s="381"/>
      <c r="AR106" s="397"/>
      <c r="AS106" s="397"/>
    </row>
    <row r="107" spans="2:45" ht="29.4" thickBot="1" x14ac:dyDescent="0.35">
      <c r="B107" s="441"/>
      <c r="C107" s="428"/>
      <c r="D107" s="426"/>
      <c r="E107" s="27" t="s">
        <v>158</v>
      </c>
      <c r="F107" s="2"/>
      <c r="G107" s="57" t="s">
        <v>75</v>
      </c>
      <c r="H107" s="50" t="s">
        <v>155</v>
      </c>
      <c r="I107" s="51">
        <v>12</v>
      </c>
      <c r="J107" s="50" t="s">
        <v>62</v>
      </c>
      <c r="K107" s="51">
        <v>85</v>
      </c>
      <c r="L107" s="50" t="s">
        <v>63</v>
      </c>
      <c r="M107" s="51">
        <v>55</v>
      </c>
      <c r="N107" s="50"/>
      <c r="O107" s="50"/>
      <c r="P107" s="50"/>
      <c r="Q107" s="400"/>
      <c r="R107" s="401"/>
      <c r="S107" s="13"/>
      <c r="T107" s="9">
        <f t="shared" si="104"/>
        <v>0</v>
      </c>
      <c r="U107" s="9">
        <f t="shared" si="105"/>
        <v>0</v>
      </c>
      <c r="V107" s="21">
        <f t="shared" si="101"/>
        <v>0</v>
      </c>
      <c r="W107" s="11">
        <f t="shared" si="96"/>
        <v>0</v>
      </c>
      <c r="X107" s="424"/>
      <c r="Y107" s="11">
        <f t="shared" si="97"/>
        <v>0</v>
      </c>
      <c r="Z107" s="424"/>
      <c r="AA107" s="11">
        <f t="shared" si="102"/>
        <v>0</v>
      </c>
      <c r="AB107" s="431"/>
      <c r="AC107" s="409"/>
      <c r="AD107" s="412"/>
      <c r="AE107" s="409"/>
      <c r="AF107" s="45">
        <v>500</v>
      </c>
      <c r="AG107" s="8">
        <f t="shared" si="98"/>
        <v>0</v>
      </c>
      <c r="AH107" s="8"/>
      <c r="AI107" s="8"/>
      <c r="AJ107" s="8">
        <f t="shared" si="99"/>
        <v>0</v>
      </c>
      <c r="AK107" s="8">
        <f t="shared" si="106"/>
        <v>0</v>
      </c>
      <c r="AL107" s="8">
        <f t="shared" si="100"/>
        <v>0</v>
      </c>
      <c r="AM107" s="8">
        <f t="shared" si="103"/>
        <v>0</v>
      </c>
      <c r="AN107" s="8">
        <f t="shared" si="107"/>
        <v>0</v>
      </c>
      <c r="AO107" s="8">
        <f t="shared" si="108"/>
        <v>0</v>
      </c>
      <c r="AP107" s="8">
        <f t="shared" si="109"/>
        <v>0</v>
      </c>
      <c r="AQ107" s="381"/>
      <c r="AR107" s="397"/>
      <c r="AS107" s="397"/>
    </row>
    <row r="108" spans="2:45" ht="29.4" thickBot="1" x14ac:dyDescent="0.35">
      <c r="B108" s="441"/>
      <c r="C108" s="428"/>
      <c r="D108" s="426"/>
      <c r="E108" s="25" t="s">
        <v>64</v>
      </c>
      <c r="F108" s="2"/>
      <c r="G108" s="57" t="s">
        <v>79</v>
      </c>
      <c r="H108" s="55" t="s">
        <v>21</v>
      </c>
      <c r="I108" s="51">
        <v>8</v>
      </c>
      <c r="J108" s="50" t="s">
        <v>65</v>
      </c>
      <c r="K108" s="51">
        <v>83</v>
      </c>
      <c r="L108" s="50" t="s">
        <v>66</v>
      </c>
      <c r="M108" s="51">
        <v>58</v>
      </c>
      <c r="N108" s="55" t="s">
        <v>73</v>
      </c>
      <c r="O108" s="50"/>
      <c r="P108" s="50"/>
      <c r="Q108" s="400"/>
      <c r="R108" s="401"/>
      <c r="S108" s="13"/>
      <c r="T108" s="9">
        <f t="shared" si="104"/>
        <v>0</v>
      </c>
      <c r="U108" s="9">
        <f t="shared" si="105"/>
        <v>0</v>
      </c>
      <c r="V108" s="21">
        <f t="shared" si="101"/>
        <v>0</v>
      </c>
      <c r="W108" s="11">
        <f t="shared" si="96"/>
        <v>0</v>
      </c>
      <c r="X108" s="424"/>
      <c r="Y108" s="11">
        <f t="shared" si="97"/>
        <v>0</v>
      </c>
      <c r="Z108" s="424"/>
      <c r="AA108" s="11">
        <f t="shared" si="102"/>
        <v>0</v>
      </c>
      <c r="AB108" s="431"/>
      <c r="AC108" s="409"/>
      <c r="AD108" s="412"/>
      <c r="AE108" s="409"/>
      <c r="AF108" s="45">
        <v>400</v>
      </c>
      <c r="AG108" s="8">
        <f t="shared" si="98"/>
        <v>0</v>
      </c>
      <c r="AH108" s="8"/>
      <c r="AI108" s="8"/>
      <c r="AJ108" s="8">
        <f t="shared" si="99"/>
        <v>0</v>
      </c>
      <c r="AK108" s="8">
        <f t="shared" si="106"/>
        <v>0</v>
      </c>
      <c r="AL108" s="8">
        <f t="shared" si="100"/>
        <v>0</v>
      </c>
      <c r="AM108" s="8">
        <f t="shared" si="103"/>
        <v>0</v>
      </c>
      <c r="AN108" s="8">
        <f t="shared" si="107"/>
        <v>0</v>
      </c>
      <c r="AO108" s="8">
        <f t="shared" si="108"/>
        <v>0</v>
      </c>
      <c r="AP108" s="8">
        <f t="shared" si="109"/>
        <v>0</v>
      </c>
      <c r="AQ108" s="381"/>
      <c r="AR108" s="397"/>
      <c r="AS108" s="397"/>
    </row>
    <row r="109" spans="2:45" ht="29.4" thickBot="1" x14ac:dyDescent="0.35">
      <c r="B109" s="441"/>
      <c r="C109" s="428"/>
      <c r="D109" s="88" t="s">
        <v>13</v>
      </c>
      <c r="E109" s="25" t="s">
        <v>156</v>
      </c>
      <c r="F109" s="24"/>
      <c r="G109" s="49" t="s">
        <v>37</v>
      </c>
      <c r="H109" s="50" t="s">
        <v>38</v>
      </c>
      <c r="I109" s="51">
        <v>40</v>
      </c>
      <c r="J109" s="50" t="s">
        <v>39</v>
      </c>
      <c r="K109" s="51">
        <v>97</v>
      </c>
      <c r="L109" s="50" t="s">
        <v>50</v>
      </c>
      <c r="M109" s="51">
        <v>69</v>
      </c>
      <c r="N109" s="50" t="s">
        <v>35</v>
      </c>
      <c r="O109" s="50"/>
      <c r="P109" s="50"/>
      <c r="Q109" s="399" t="s">
        <v>36</v>
      </c>
      <c r="R109" s="399"/>
      <c r="S109" s="12"/>
      <c r="T109" s="9">
        <f t="shared" si="104"/>
        <v>0</v>
      </c>
      <c r="U109" s="9">
        <f t="shared" si="105"/>
        <v>0</v>
      </c>
      <c r="V109" s="21">
        <f t="shared" si="101"/>
        <v>0</v>
      </c>
      <c r="W109" s="11">
        <f t="shared" si="96"/>
        <v>0</v>
      </c>
      <c r="X109" s="424"/>
      <c r="Y109" s="11">
        <f t="shared" si="97"/>
        <v>0</v>
      </c>
      <c r="Z109" s="424"/>
      <c r="AA109" s="11">
        <f t="shared" si="102"/>
        <v>0</v>
      </c>
      <c r="AB109" s="431"/>
      <c r="AC109" s="409"/>
      <c r="AD109" s="412"/>
      <c r="AE109" s="409"/>
      <c r="AF109" s="45">
        <v>500</v>
      </c>
      <c r="AG109" s="8">
        <f t="shared" si="98"/>
        <v>0</v>
      </c>
      <c r="AH109" s="8"/>
      <c r="AI109" s="8"/>
      <c r="AJ109" s="8">
        <f t="shared" si="99"/>
        <v>0</v>
      </c>
      <c r="AK109" s="8">
        <f t="shared" si="106"/>
        <v>0</v>
      </c>
      <c r="AL109" s="8">
        <f t="shared" si="100"/>
        <v>0</v>
      </c>
      <c r="AM109" s="8">
        <f t="shared" si="103"/>
        <v>0</v>
      </c>
      <c r="AN109" s="8">
        <f t="shared" si="107"/>
        <v>0</v>
      </c>
      <c r="AO109" s="8">
        <f t="shared" si="108"/>
        <v>0</v>
      </c>
      <c r="AP109" s="8">
        <f t="shared" si="109"/>
        <v>0</v>
      </c>
      <c r="AQ109" s="381"/>
      <c r="AR109" s="397"/>
      <c r="AS109" s="397"/>
    </row>
    <row r="110" spans="2:45" ht="29.4" thickBot="1" x14ac:dyDescent="0.35">
      <c r="B110" s="441"/>
      <c r="C110" s="428"/>
      <c r="D110" s="88" t="s">
        <v>14</v>
      </c>
      <c r="E110" s="25" t="s">
        <v>55</v>
      </c>
      <c r="F110" s="2"/>
      <c r="G110" s="49" t="s">
        <v>80</v>
      </c>
      <c r="H110" s="50" t="s">
        <v>56</v>
      </c>
      <c r="I110" s="51">
        <v>22</v>
      </c>
      <c r="J110" s="50" t="s">
        <v>30</v>
      </c>
      <c r="K110" s="51">
        <v>90</v>
      </c>
      <c r="L110" s="50" t="s">
        <v>57</v>
      </c>
      <c r="M110" s="51">
        <v>54</v>
      </c>
      <c r="N110" s="50">
        <v>1.5</v>
      </c>
      <c r="O110" s="50"/>
      <c r="P110" s="50"/>
      <c r="Q110" s="399" t="s">
        <v>72</v>
      </c>
      <c r="R110" s="399"/>
      <c r="S110" s="12">
        <f>23*365</f>
        <v>8395</v>
      </c>
      <c r="T110" s="9">
        <f t="shared" si="104"/>
        <v>699.58333333333337</v>
      </c>
      <c r="U110" s="9">
        <f t="shared" si="105"/>
        <v>23</v>
      </c>
      <c r="V110" s="21">
        <f t="shared" si="101"/>
        <v>14.743589743589748</v>
      </c>
      <c r="W110" s="11">
        <f t="shared" si="96"/>
        <v>1846.9</v>
      </c>
      <c r="X110" s="424"/>
      <c r="Y110" s="11">
        <f t="shared" si="97"/>
        <v>1662.21</v>
      </c>
      <c r="Z110" s="424"/>
      <c r="AA110" s="37">
        <f t="shared" si="102"/>
        <v>26.516055780372064</v>
      </c>
      <c r="AB110" s="431"/>
      <c r="AC110" s="409"/>
      <c r="AD110" s="412"/>
      <c r="AE110" s="409"/>
      <c r="AF110" s="45">
        <v>170</v>
      </c>
      <c r="AG110" s="8">
        <f t="shared" si="98"/>
        <v>282575.7</v>
      </c>
      <c r="AH110" s="8"/>
      <c r="AI110" s="8"/>
      <c r="AJ110" s="8">
        <f t="shared" si="99"/>
        <v>33.660000000000004</v>
      </c>
      <c r="AK110" s="8">
        <f t="shared" si="106"/>
        <v>774.18000000000006</v>
      </c>
      <c r="AL110" s="8">
        <f t="shared" si="100"/>
        <v>418.05720000000008</v>
      </c>
      <c r="AM110" s="8">
        <f t="shared" si="103"/>
        <v>152590.87800000003</v>
      </c>
      <c r="AN110" s="8">
        <f t="shared" si="107"/>
        <v>15468.116400000003</v>
      </c>
      <c r="AO110" s="8">
        <f t="shared" si="108"/>
        <v>6.982135875000002E-2</v>
      </c>
      <c r="AP110" s="8">
        <f t="shared" si="109"/>
        <v>1675.7126100000005</v>
      </c>
      <c r="AQ110" s="381"/>
      <c r="AR110" s="397"/>
      <c r="AS110" s="397"/>
    </row>
    <row r="111" spans="2:45" ht="15" thickBot="1" x14ac:dyDescent="0.35">
      <c r="B111" s="441"/>
      <c r="C111" s="428"/>
      <c r="D111" s="88" t="s">
        <v>15</v>
      </c>
      <c r="E111" s="25" t="s">
        <v>7</v>
      </c>
      <c r="F111" s="2"/>
      <c r="G111" s="49">
        <v>5.7</v>
      </c>
      <c r="H111" s="58" t="s">
        <v>51</v>
      </c>
      <c r="I111" s="51">
        <v>21</v>
      </c>
      <c r="J111" s="50" t="s">
        <v>32</v>
      </c>
      <c r="K111" s="51">
        <v>65</v>
      </c>
      <c r="L111" s="50" t="s">
        <v>52</v>
      </c>
      <c r="M111" s="51">
        <v>58</v>
      </c>
      <c r="N111" s="50"/>
      <c r="O111" s="50"/>
      <c r="P111" s="50"/>
      <c r="Q111" s="399" t="e">
        <f>O111/N111</f>
        <v>#DIV/0!</v>
      </c>
      <c r="R111" s="399"/>
      <c r="S111" s="12">
        <f>20*365</f>
        <v>7300</v>
      </c>
      <c r="T111" s="9">
        <f t="shared" si="104"/>
        <v>608.33333333333337</v>
      </c>
      <c r="U111" s="9">
        <f t="shared" si="105"/>
        <v>20</v>
      </c>
      <c r="V111" s="21">
        <f t="shared" si="101"/>
        <v>12.820512820512823</v>
      </c>
      <c r="W111" s="11">
        <f t="shared" si="96"/>
        <v>1533</v>
      </c>
      <c r="X111" s="424"/>
      <c r="Y111" s="11">
        <f t="shared" si="97"/>
        <v>996.45</v>
      </c>
      <c r="Z111" s="424"/>
      <c r="AA111" s="11">
        <f t="shared" si="102"/>
        <v>15.895659262278377</v>
      </c>
      <c r="AB111" s="431"/>
      <c r="AC111" s="409"/>
      <c r="AD111" s="412"/>
      <c r="AE111" s="409"/>
      <c r="AF111" s="45">
        <v>580</v>
      </c>
      <c r="AG111" s="8">
        <f t="shared" si="98"/>
        <v>577941</v>
      </c>
      <c r="AH111" s="8"/>
      <c r="AI111" s="8"/>
      <c r="AJ111" s="8">
        <f t="shared" si="99"/>
        <v>79.17</v>
      </c>
      <c r="AK111" s="8">
        <f t="shared" si="106"/>
        <v>1583.4</v>
      </c>
      <c r="AL111" s="8">
        <f t="shared" si="100"/>
        <v>918.37199999999996</v>
      </c>
      <c r="AM111" s="8">
        <f t="shared" si="103"/>
        <v>335205.77999999997</v>
      </c>
      <c r="AN111" s="8">
        <f t="shared" si="107"/>
        <v>33979.763999999996</v>
      </c>
      <c r="AO111" s="8">
        <f t="shared" si="108"/>
        <v>0.15338087916666665</v>
      </c>
      <c r="AP111" s="8">
        <f t="shared" si="109"/>
        <v>3681.1410999999998</v>
      </c>
      <c r="AQ111" s="381"/>
      <c r="AR111" s="397"/>
      <c r="AS111" s="397"/>
    </row>
    <row r="112" spans="2:45" ht="58.2" thickBot="1" x14ac:dyDescent="0.35">
      <c r="B112" s="441"/>
      <c r="C112" s="428"/>
      <c r="D112" s="88" t="s">
        <v>16</v>
      </c>
      <c r="E112" s="25" t="s">
        <v>53</v>
      </c>
      <c r="F112" s="2"/>
      <c r="G112" s="59"/>
      <c r="H112" s="60" t="s">
        <v>28</v>
      </c>
      <c r="I112" s="61">
        <v>16</v>
      </c>
      <c r="J112" s="60" t="s">
        <v>34</v>
      </c>
      <c r="K112" s="61">
        <v>85</v>
      </c>
      <c r="L112" s="60" t="s">
        <v>54</v>
      </c>
      <c r="M112" s="61">
        <v>52</v>
      </c>
      <c r="N112" s="60" t="s">
        <v>76</v>
      </c>
      <c r="O112" s="60"/>
      <c r="P112" s="60"/>
      <c r="Q112" s="427" t="e">
        <f>O112/N112</f>
        <v>#VALUE!</v>
      </c>
      <c r="R112" s="427"/>
      <c r="S112" s="14"/>
      <c r="T112" s="9">
        <f t="shared" si="104"/>
        <v>0</v>
      </c>
      <c r="U112" s="9">
        <f t="shared" si="105"/>
        <v>0</v>
      </c>
      <c r="V112" s="21">
        <f t="shared" si="101"/>
        <v>0</v>
      </c>
      <c r="W112" s="11">
        <f t="shared" si="96"/>
        <v>0</v>
      </c>
      <c r="X112" s="429"/>
      <c r="Y112" s="11">
        <f t="shared" si="97"/>
        <v>0</v>
      </c>
      <c r="Z112" s="429"/>
      <c r="AA112" s="11">
        <f t="shared" si="102"/>
        <v>0</v>
      </c>
      <c r="AB112" s="431"/>
      <c r="AC112" s="409"/>
      <c r="AD112" s="412"/>
      <c r="AE112" s="409"/>
      <c r="AF112" s="46">
        <v>700</v>
      </c>
      <c r="AG112" s="8">
        <f t="shared" si="98"/>
        <v>0</v>
      </c>
      <c r="AH112" s="8"/>
      <c r="AI112" s="8"/>
      <c r="AJ112" s="8">
        <f t="shared" si="99"/>
        <v>0</v>
      </c>
      <c r="AK112" s="8">
        <f t="shared" si="106"/>
        <v>0</v>
      </c>
      <c r="AL112" s="8">
        <f t="shared" si="100"/>
        <v>0</v>
      </c>
      <c r="AM112" s="8">
        <f t="shared" si="103"/>
        <v>0</v>
      </c>
      <c r="AN112" s="8">
        <f t="shared" si="107"/>
        <v>0</v>
      </c>
      <c r="AO112" s="8">
        <f t="shared" si="108"/>
        <v>0</v>
      </c>
      <c r="AP112" s="8">
        <f t="shared" si="109"/>
        <v>0</v>
      </c>
      <c r="AQ112" s="382"/>
      <c r="AR112" s="398"/>
      <c r="AS112" s="398"/>
    </row>
    <row r="113" spans="2:45" ht="18" x14ac:dyDescent="0.3">
      <c r="B113" s="441"/>
      <c r="S113" s="17">
        <f t="shared" ref="S113:W113" si="110">SUM(S101:S112)</f>
        <v>56940</v>
      </c>
      <c r="T113" s="17">
        <f t="shared" si="110"/>
        <v>4744.9999999999991</v>
      </c>
      <c r="U113" s="17">
        <f t="shared" si="110"/>
        <v>156</v>
      </c>
      <c r="V113" s="17">
        <f t="shared" si="110"/>
        <v>100.00000000000001</v>
      </c>
      <c r="W113" s="16">
        <f t="shared" si="110"/>
        <v>7902.25</v>
      </c>
      <c r="X113" s="16"/>
      <c r="Y113" s="16">
        <f>SUM(Y101:Y112)</f>
        <v>6268.6925000000001</v>
      </c>
      <c r="Z113" s="16"/>
      <c r="AA113" s="16">
        <f>SUM(AA101:AA112)</f>
        <v>99.999999999999986</v>
      </c>
      <c r="AB113" s="16"/>
      <c r="AC113" s="16"/>
      <c r="AD113" s="16"/>
      <c r="AE113" s="16"/>
      <c r="AF113" s="16"/>
      <c r="AG113" s="16">
        <f>SUM(AG101:AG112)</f>
        <v>1976120.95</v>
      </c>
      <c r="AH113" s="16"/>
      <c r="AI113" s="16"/>
      <c r="AJ113" s="16"/>
      <c r="AK113" s="16">
        <f t="shared" ref="AK113:AP113" si="111">SUM(AK101:AK112)</f>
        <v>5414.0300000000007</v>
      </c>
      <c r="AL113" s="18">
        <f t="shared" si="111"/>
        <v>3014.7156999999997</v>
      </c>
      <c r="AM113" s="18">
        <f t="shared" si="111"/>
        <v>1100371.2305000001</v>
      </c>
      <c r="AN113" s="16">
        <f t="shared" si="111"/>
        <v>111544.4809</v>
      </c>
      <c r="AO113" s="16">
        <f t="shared" si="111"/>
        <v>0.5034993929513889</v>
      </c>
      <c r="AP113" s="16">
        <f t="shared" si="111"/>
        <v>12083.985430833334</v>
      </c>
      <c r="AQ113" s="16"/>
      <c r="AR113" s="16"/>
    </row>
    <row r="114" spans="2:45" x14ac:dyDescent="0.3">
      <c r="B114" s="441"/>
      <c r="AL114" t="s">
        <v>92</v>
      </c>
      <c r="AO114" t="s">
        <v>91</v>
      </c>
    </row>
    <row r="115" spans="2:45" ht="15" thickBot="1" x14ac:dyDescent="0.35">
      <c r="B115" s="441"/>
    </row>
    <row r="116" spans="2:45" ht="15" thickBot="1" x14ac:dyDescent="0.35">
      <c r="B116" s="441"/>
      <c r="C116" s="428" t="s">
        <v>147</v>
      </c>
      <c r="D116" s="419" t="s">
        <v>9</v>
      </c>
      <c r="E116" s="25" t="s">
        <v>17</v>
      </c>
      <c r="F116" s="2"/>
      <c r="G116" s="62">
        <v>8.1</v>
      </c>
      <c r="H116" s="51" t="s">
        <v>42</v>
      </c>
      <c r="I116" s="51">
        <v>17</v>
      </c>
      <c r="J116" s="51" t="s">
        <v>43</v>
      </c>
      <c r="K116" s="51">
        <v>72</v>
      </c>
      <c r="L116" s="51">
        <v>58</v>
      </c>
      <c r="M116" s="51">
        <v>55</v>
      </c>
      <c r="N116" s="51">
        <v>1.77</v>
      </c>
      <c r="O116" s="51">
        <v>35.69</v>
      </c>
      <c r="P116" s="48"/>
      <c r="Q116" s="422">
        <f>O116/N116</f>
        <v>20.163841807909602</v>
      </c>
      <c r="R116" s="422"/>
      <c r="S116" s="29"/>
      <c r="T116" s="9">
        <f>S116/12</f>
        <v>0</v>
      </c>
      <c r="U116" s="9">
        <f>S116/365</f>
        <v>0</v>
      </c>
      <c r="V116" s="21">
        <f>(T116*100)/$T$128</f>
        <v>0</v>
      </c>
      <c r="W116" s="11">
        <f t="shared" ref="W116:W127" si="112">I116%*S116</f>
        <v>0</v>
      </c>
      <c r="X116" s="423">
        <f>W128/365</f>
        <v>15.919999999999998</v>
      </c>
      <c r="Y116" s="11">
        <f t="shared" ref="Y116:Y127" si="113">W116*K116%</f>
        <v>0</v>
      </c>
      <c r="Z116" s="423">
        <f>Y128/365</f>
        <v>12.830500000000002</v>
      </c>
      <c r="AA116" s="11">
        <f>(Y116*100)/$Y$128</f>
        <v>0</v>
      </c>
      <c r="AB116" s="430">
        <v>7</v>
      </c>
      <c r="AC116" s="408">
        <f>(X116-AB116)/X116</f>
        <v>0.56030150753768837</v>
      </c>
      <c r="AD116" s="411">
        <v>12</v>
      </c>
      <c r="AE116" s="408">
        <f>(Z116-AD116)/Z116</f>
        <v>6.472857643895423E-2</v>
      </c>
      <c r="AF116" s="47">
        <v>280</v>
      </c>
      <c r="AG116" s="8">
        <f t="shared" ref="AG116:AG127" si="114">Y116*AF116</f>
        <v>0</v>
      </c>
      <c r="AH116" s="8"/>
      <c r="AI116" s="8"/>
      <c r="AJ116" s="8">
        <f t="shared" ref="AJ116:AJ127" si="115">IFERROR(AG116/S116,0)</f>
        <v>0</v>
      </c>
      <c r="AK116" s="8">
        <f>AG116/365</f>
        <v>0</v>
      </c>
      <c r="AL116" s="8">
        <f t="shared" ref="AL116:AL127" si="116">IFERROR(AG116*M116%/365,0)</f>
        <v>0</v>
      </c>
      <c r="AM116" s="8">
        <f>AL116*365</f>
        <v>0</v>
      </c>
      <c r="AN116" s="8">
        <f>AL116*37</f>
        <v>0</v>
      </c>
      <c r="AO116" s="8">
        <f>AN116/3600/24*0.39</f>
        <v>0</v>
      </c>
      <c r="AP116" s="8">
        <f>AO116*1000*24</f>
        <v>0</v>
      </c>
      <c r="AQ116" s="414">
        <v>10000000</v>
      </c>
      <c r="AR116" s="396">
        <f>(Z116*1000)/3.7</f>
        <v>3467.7027027027029</v>
      </c>
      <c r="AS116" s="396">
        <f>AR116/U128</f>
        <v>32.714176440591537</v>
      </c>
    </row>
    <row r="117" spans="2:45" ht="29.4" thickBot="1" x14ac:dyDescent="0.35">
      <c r="B117" s="441"/>
      <c r="C117" s="428"/>
      <c r="D117" s="420"/>
      <c r="E117" s="25" t="s">
        <v>45</v>
      </c>
      <c r="F117" s="2"/>
      <c r="G117" s="49">
        <v>5.09</v>
      </c>
      <c r="H117" s="50" t="s">
        <v>46</v>
      </c>
      <c r="I117" s="51">
        <v>33</v>
      </c>
      <c r="J117" s="52" t="s">
        <v>47</v>
      </c>
      <c r="K117" s="51">
        <v>57</v>
      </c>
      <c r="L117" s="50">
        <v>55</v>
      </c>
      <c r="M117" s="51">
        <v>55</v>
      </c>
      <c r="N117" s="50">
        <v>4.33</v>
      </c>
      <c r="O117" s="50">
        <v>42.82</v>
      </c>
      <c r="P117" s="50"/>
      <c r="Q117" s="399">
        <f>O117/N117</f>
        <v>9.8891454965357966</v>
      </c>
      <c r="R117" s="399"/>
      <c r="S117" s="12">
        <f>5*365</f>
        <v>1825</v>
      </c>
      <c r="T117" s="9">
        <f>S117/12</f>
        <v>152.08333333333334</v>
      </c>
      <c r="U117" s="9">
        <f>S117/365</f>
        <v>5</v>
      </c>
      <c r="V117" s="21">
        <f t="shared" ref="V117:V127" si="117">(T117*100)/$T$128</f>
        <v>4.716981132075472</v>
      </c>
      <c r="W117" s="11">
        <f t="shared" si="112"/>
        <v>602.25</v>
      </c>
      <c r="X117" s="424"/>
      <c r="Y117" s="11">
        <f t="shared" si="113"/>
        <v>343.28249999999997</v>
      </c>
      <c r="Z117" s="424"/>
      <c r="AA117" s="11">
        <f t="shared" ref="AA117:AA127" si="118">(Y117*100)/$Y$128</f>
        <v>7.3301897821596969</v>
      </c>
      <c r="AB117" s="431"/>
      <c r="AC117" s="409"/>
      <c r="AD117" s="412"/>
      <c r="AE117" s="409"/>
      <c r="AF117" s="45">
        <v>300</v>
      </c>
      <c r="AG117" s="8">
        <f t="shared" si="114"/>
        <v>102984.74999999999</v>
      </c>
      <c r="AH117" s="8"/>
      <c r="AI117" s="8"/>
      <c r="AJ117" s="8">
        <f t="shared" si="115"/>
        <v>56.429999999999993</v>
      </c>
      <c r="AK117" s="8">
        <f>AG117/365</f>
        <v>282.14999999999998</v>
      </c>
      <c r="AL117" s="8">
        <f t="shared" si="116"/>
        <v>155.18249999999998</v>
      </c>
      <c r="AM117" s="8">
        <f t="shared" ref="AM117:AM127" si="119">AL117*365</f>
        <v>56641.612499999988</v>
      </c>
      <c r="AN117" s="8">
        <f>AL117*37</f>
        <v>5741.7524999999987</v>
      </c>
      <c r="AO117" s="8">
        <f>AN117/3600/24*0.39</f>
        <v>2.5917632812499994E-2</v>
      </c>
      <c r="AP117" s="8">
        <f>AO117*1000*24</f>
        <v>622.02318749999995</v>
      </c>
      <c r="AQ117" s="381"/>
      <c r="AR117" s="397"/>
      <c r="AS117" s="397"/>
    </row>
    <row r="118" spans="2:45" ht="15" thickBot="1" x14ac:dyDescent="0.35">
      <c r="B118" s="441"/>
      <c r="C118" s="428"/>
      <c r="D118" s="421"/>
      <c r="E118" s="25" t="s">
        <v>6</v>
      </c>
      <c r="F118" s="2"/>
      <c r="G118" s="49">
        <v>7.8</v>
      </c>
      <c r="H118" s="50" t="s">
        <v>48</v>
      </c>
      <c r="I118" s="51">
        <v>20</v>
      </c>
      <c r="J118" s="50" t="s">
        <v>154</v>
      </c>
      <c r="K118" s="51">
        <v>68</v>
      </c>
      <c r="L118" s="50">
        <v>58</v>
      </c>
      <c r="M118" s="51">
        <v>60</v>
      </c>
      <c r="N118" s="50">
        <v>2.15</v>
      </c>
      <c r="O118" s="50">
        <v>38.4</v>
      </c>
      <c r="P118" s="50"/>
      <c r="Q118" s="399">
        <f>O118/N118</f>
        <v>17.86046511627907</v>
      </c>
      <c r="R118" s="399"/>
      <c r="S118" s="12"/>
      <c r="T118" s="9">
        <f>S118/12</f>
        <v>0</v>
      </c>
      <c r="U118" s="9">
        <f>S118/365</f>
        <v>0</v>
      </c>
      <c r="V118" s="21">
        <f t="shared" si="117"/>
        <v>0</v>
      </c>
      <c r="W118" s="11">
        <f t="shared" si="112"/>
        <v>0</v>
      </c>
      <c r="X118" s="424"/>
      <c r="Y118" s="11">
        <f t="shared" si="113"/>
        <v>0</v>
      </c>
      <c r="Z118" s="424"/>
      <c r="AA118" s="11">
        <f t="shared" si="118"/>
        <v>0</v>
      </c>
      <c r="AB118" s="431"/>
      <c r="AC118" s="409"/>
      <c r="AD118" s="412"/>
      <c r="AE118" s="409"/>
      <c r="AF118" s="45">
        <v>280</v>
      </c>
      <c r="AG118" s="8">
        <f t="shared" si="114"/>
        <v>0</v>
      </c>
      <c r="AH118" s="8"/>
      <c r="AI118" s="8"/>
      <c r="AJ118" s="8">
        <f t="shared" si="115"/>
        <v>0</v>
      </c>
      <c r="AK118" s="8">
        <f>AG118/365</f>
        <v>0</v>
      </c>
      <c r="AL118" s="8">
        <f t="shared" si="116"/>
        <v>0</v>
      </c>
      <c r="AM118" s="8">
        <f t="shared" si="119"/>
        <v>0</v>
      </c>
      <c r="AN118" s="8">
        <f>AL118*37</f>
        <v>0</v>
      </c>
      <c r="AO118" s="8">
        <f>AN118/3600/24*0.39</f>
        <v>0</v>
      </c>
      <c r="AP118" s="8">
        <f>AO118*1000*24</f>
        <v>0</v>
      </c>
      <c r="AQ118" s="381"/>
      <c r="AR118" s="397"/>
      <c r="AS118" s="397"/>
    </row>
    <row r="119" spans="2:45" ht="15" thickBot="1" x14ac:dyDescent="0.35">
      <c r="B119" s="441"/>
      <c r="C119" s="428"/>
      <c r="D119" s="88" t="s">
        <v>10</v>
      </c>
      <c r="E119" s="25" t="s">
        <v>18</v>
      </c>
      <c r="F119" s="2"/>
      <c r="G119" s="53" t="s">
        <v>22</v>
      </c>
      <c r="H119" s="54" t="s">
        <v>20</v>
      </c>
      <c r="I119" s="51">
        <v>8</v>
      </c>
      <c r="J119" s="52" t="s">
        <v>23</v>
      </c>
      <c r="K119" s="51">
        <v>80</v>
      </c>
      <c r="L119" s="52" t="s">
        <v>44</v>
      </c>
      <c r="M119" s="51">
        <v>50</v>
      </c>
      <c r="N119" s="55" t="s">
        <v>24</v>
      </c>
      <c r="O119" s="50"/>
      <c r="P119" s="50"/>
      <c r="Q119" s="399">
        <f>O119/N119</f>
        <v>0</v>
      </c>
      <c r="R119" s="399"/>
      <c r="S119" s="12"/>
      <c r="T119" s="9">
        <f t="shared" ref="T119:T127" si="120">S119/12</f>
        <v>0</v>
      </c>
      <c r="U119" s="9">
        <f t="shared" ref="U119:U127" si="121">S119/365</f>
        <v>0</v>
      </c>
      <c r="V119" s="21">
        <f t="shared" si="117"/>
        <v>0</v>
      </c>
      <c r="W119" s="11">
        <f t="shared" si="112"/>
        <v>0</v>
      </c>
      <c r="X119" s="424"/>
      <c r="Y119" s="11">
        <f t="shared" si="113"/>
        <v>0</v>
      </c>
      <c r="Z119" s="424"/>
      <c r="AA119" s="11">
        <f t="shared" si="118"/>
        <v>0</v>
      </c>
      <c r="AB119" s="431"/>
      <c r="AC119" s="409"/>
      <c r="AD119" s="412"/>
      <c r="AE119" s="409"/>
      <c r="AF119" s="45">
        <v>200</v>
      </c>
      <c r="AG119" s="8">
        <f t="shared" si="114"/>
        <v>0</v>
      </c>
      <c r="AH119" s="8"/>
      <c r="AI119" s="8"/>
      <c r="AJ119" s="8">
        <f t="shared" si="115"/>
        <v>0</v>
      </c>
      <c r="AK119" s="8">
        <f t="shared" ref="AK119:AK127" si="122">AG119/365</f>
        <v>0</v>
      </c>
      <c r="AL119" s="8">
        <f t="shared" si="116"/>
        <v>0</v>
      </c>
      <c r="AM119" s="8">
        <f t="shared" si="119"/>
        <v>0</v>
      </c>
      <c r="AN119" s="8">
        <f t="shared" ref="AN119:AN127" si="123">AL119*37</f>
        <v>0</v>
      </c>
      <c r="AO119" s="8">
        <f t="shared" ref="AO119:AO127" si="124">AN119/3600/24*0.39</f>
        <v>0</v>
      </c>
      <c r="AP119" s="8">
        <f t="shared" ref="AP119:AP127" si="125">AO119*1000*24</f>
        <v>0</v>
      </c>
      <c r="AQ119" s="381"/>
      <c r="AR119" s="397"/>
      <c r="AS119" s="397"/>
    </row>
    <row r="120" spans="2:45" ht="28.95" customHeight="1" thickBot="1" x14ac:dyDescent="0.35">
      <c r="B120" s="441"/>
      <c r="C120" s="428"/>
      <c r="D120" s="88" t="s">
        <v>11</v>
      </c>
      <c r="E120" s="27" t="s">
        <v>58</v>
      </c>
      <c r="F120" s="24"/>
      <c r="G120" s="56" t="s">
        <v>67</v>
      </c>
      <c r="H120" s="50" t="s">
        <v>59</v>
      </c>
      <c r="I120" s="51">
        <v>12</v>
      </c>
      <c r="J120" s="50">
        <v>89</v>
      </c>
      <c r="K120" s="51">
        <v>89</v>
      </c>
      <c r="L120" s="50" t="s">
        <v>57</v>
      </c>
      <c r="M120" s="51">
        <v>51</v>
      </c>
      <c r="N120" s="50">
        <v>1.4</v>
      </c>
      <c r="O120" s="50"/>
      <c r="P120" s="50"/>
      <c r="Q120" s="399" t="s">
        <v>70</v>
      </c>
      <c r="R120" s="399"/>
      <c r="S120" s="12">
        <f>5*365</f>
        <v>1825</v>
      </c>
      <c r="T120" s="9">
        <f t="shared" si="120"/>
        <v>152.08333333333334</v>
      </c>
      <c r="U120" s="9">
        <f t="shared" si="121"/>
        <v>5</v>
      </c>
      <c r="V120" s="21">
        <f t="shared" si="117"/>
        <v>4.716981132075472</v>
      </c>
      <c r="W120" s="11">
        <f t="shared" si="112"/>
        <v>219</v>
      </c>
      <c r="X120" s="424"/>
      <c r="Y120" s="11">
        <f t="shared" si="113"/>
        <v>194.91</v>
      </c>
      <c r="Z120" s="424"/>
      <c r="AA120" s="11">
        <f t="shared" si="118"/>
        <v>4.1619578348466542</v>
      </c>
      <c r="AB120" s="431"/>
      <c r="AC120" s="409"/>
      <c r="AD120" s="412"/>
      <c r="AE120" s="409"/>
      <c r="AF120" s="45">
        <v>300</v>
      </c>
      <c r="AG120" s="8">
        <f t="shared" si="114"/>
        <v>58473</v>
      </c>
      <c r="AH120" s="8"/>
      <c r="AI120" s="8"/>
      <c r="AJ120" s="8">
        <f t="shared" si="115"/>
        <v>32.04</v>
      </c>
      <c r="AK120" s="8">
        <f t="shared" si="122"/>
        <v>160.19999999999999</v>
      </c>
      <c r="AL120" s="8">
        <f t="shared" si="116"/>
        <v>81.701999999999998</v>
      </c>
      <c r="AM120" s="8">
        <f t="shared" si="119"/>
        <v>29821.23</v>
      </c>
      <c r="AN120" s="8">
        <f t="shared" si="123"/>
        <v>3022.9740000000002</v>
      </c>
      <c r="AO120" s="8">
        <f t="shared" si="124"/>
        <v>1.3645368750000001E-2</v>
      </c>
      <c r="AP120" s="8">
        <f t="shared" si="125"/>
        <v>327.48885000000001</v>
      </c>
      <c r="AQ120" s="381"/>
      <c r="AR120" s="397"/>
      <c r="AS120" s="397"/>
    </row>
    <row r="121" spans="2:45" ht="29.4" thickBot="1" x14ac:dyDescent="0.35">
      <c r="B121" s="441"/>
      <c r="C121" s="428"/>
      <c r="D121" s="426" t="s">
        <v>12</v>
      </c>
      <c r="E121" s="25" t="s">
        <v>27</v>
      </c>
      <c r="F121" s="2"/>
      <c r="G121" s="57" t="s">
        <v>29</v>
      </c>
      <c r="H121" s="50" t="s">
        <v>28</v>
      </c>
      <c r="I121" s="51">
        <v>25</v>
      </c>
      <c r="J121" s="50" t="s">
        <v>60</v>
      </c>
      <c r="K121" s="51">
        <v>90</v>
      </c>
      <c r="L121" s="50">
        <v>65</v>
      </c>
      <c r="M121" s="51">
        <v>60</v>
      </c>
      <c r="N121" s="55" t="s">
        <v>61</v>
      </c>
      <c r="O121" s="50"/>
      <c r="P121" s="50"/>
      <c r="Q121" s="399">
        <v>35</v>
      </c>
      <c r="R121" s="399"/>
      <c r="S121" s="12">
        <f>5*365</f>
        <v>1825</v>
      </c>
      <c r="T121" s="9">
        <f t="shared" si="120"/>
        <v>152.08333333333334</v>
      </c>
      <c r="U121" s="9">
        <f t="shared" si="121"/>
        <v>5</v>
      </c>
      <c r="V121" s="21">
        <f t="shared" si="117"/>
        <v>4.716981132075472</v>
      </c>
      <c r="W121" s="11">
        <f t="shared" si="112"/>
        <v>456.25</v>
      </c>
      <c r="X121" s="424"/>
      <c r="Y121" s="11">
        <f t="shared" si="113"/>
        <v>410.625</v>
      </c>
      <c r="Z121" s="424"/>
      <c r="AA121" s="37">
        <f t="shared" si="118"/>
        <v>8.7681695958848049</v>
      </c>
      <c r="AB121" s="431"/>
      <c r="AC121" s="409"/>
      <c r="AD121" s="412"/>
      <c r="AE121" s="409"/>
      <c r="AF121" s="45">
        <v>590</v>
      </c>
      <c r="AG121" s="8">
        <f t="shared" si="114"/>
        <v>242268.75</v>
      </c>
      <c r="AH121" s="8"/>
      <c r="AI121" s="8"/>
      <c r="AJ121" s="8">
        <f t="shared" si="115"/>
        <v>132.75</v>
      </c>
      <c r="AK121" s="8">
        <f t="shared" si="122"/>
        <v>663.75</v>
      </c>
      <c r="AL121" s="8">
        <f t="shared" si="116"/>
        <v>398.25</v>
      </c>
      <c r="AM121" s="8">
        <f t="shared" si="119"/>
        <v>145361.25</v>
      </c>
      <c r="AN121" s="8">
        <f t="shared" si="123"/>
        <v>14735.25</v>
      </c>
      <c r="AO121" s="8">
        <f t="shared" si="124"/>
        <v>6.651328125E-2</v>
      </c>
      <c r="AP121" s="8">
        <f t="shared" si="125"/>
        <v>1596.3187500000001</v>
      </c>
      <c r="AQ121" s="381"/>
      <c r="AR121" s="397"/>
      <c r="AS121" s="397"/>
    </row>
    <row r="122" spans="2:45" ht="29.4" thickBot="1" x14ac:dyDescent="0.35">
      <c r="B122" s="441"/>
      <c r="C122" s="428"/>
      <c r="D122" s="426"/>
      <c r="E122" s="26" t="s">
        <v>158</v>
      </c>
      <c r="F122" s="24" t="s">
        <v>112</v>
      </c>
      <c r="G122" s="57" t="s">
        <v>75</v>
      </c>
      <c r="H122" s="50" t="s">
        <v>155</v>
      </c>
      <c r="I122" s="51">
        <v>12</v>
      </c>
      <c r="J122" s="50" t="s">
        <v>62</v>
      </c>
      <c r="K122" s="51">
        <v>85</v>
      </c>
      <c r="L122" s="50" t="s">
        <v>63</v>
      </c>
      <c r="M122" s="51">
        <v>55</v>
      </c>
      <c r="N122" s="50"/>
      <c r="O122" s="50"/>
      <c r="P122" s="50"/>
      <c r="Q122" s="400"/>
      <c r="R122" s="401"/>
      <c r="S122" s="13">
        <f>61*365</f>
        <v>22265</v>
      </c>
      <c r="T122" s="9">
        <f t="shared" si="120"/>
        <v>1855.4166666666667</v>
      </c>
      <c r="U122" s="9">
        <f t="shared" si="121"/>
        <v>61</v>
      </c>
      <c r="V122" s="21">
        <f t="shared" si="117"/>
        <v>57.547169811320764</v>
      </c>
      <c r="W122" s="11">
        <f t="shared" si="112"/>
        <v>2671.7999999999997</v>
      </c>
      <c r="X122" s="424"/>
      <c r="Y122" s="11">
        <f t="shared" si="113"/>
        <v>2271.0299999999997</v>
      </c>
      <c r="Z122" s="424"/>
      <c r="AA122" s="11">
        <f t="shared" si="118"/>
        <v>48.49382331164022</v>
      </c>
      <c r="AB122" s="431"/>
      <c r="AC122" s="409"/>
      <c r="AD122" s="412"/>
      <c r="AE122" s="409"/>
      <c r="AF122" s="45">
        <v>500</v>
      </c>
      <c r="AG122" s="8">
        <f t="shared" si="114"/>
        <v>1135514.9999999998</v>
      </c>
      <c r="AH122" s="8"/>
      <c r="AI122" s="8"/>
      <c r="AJ122" s="8">
        <f t="shared" si="115"/>
        <v>50.999999999999993</v>
      </c>
      <c r="AK122" s="8">
        <f t="shared" si="122"/>
        <v>3110.9999999999995</v>
      </c>
      <c r="AL122" s="8">
        <f t="shared" si="116"/>
        <v>1711.0499999999997</v>
      </c>
      <c r="AM122" s="8">
        <f t="shared" si="119"/>
        <v>624533.24999999988</v>
      </c>
      <c r="AN122" s="8">
        <f t="shared" si="123"/>
        <v>63308.849999999991</v>
      </c>
      <c r="AO122" s="8">
        <f t="shared" si="124"/>
        <v>0.28576911458333332</v>
      </c>
      <c r="AP122" s="8">
        <f t="shared" si="125"/>
        <v>6858.4587499999998</v>
      </c>
      <c r="AQ122" s="381"/>
      <c r="AR122" s="397"/>
      <c r="AS122" s="397"/>
    </row>
    <row r="123" spans="2:45" ht="29.4" thickBot="1" x14ac:dyDescent="0.35">
      <c r="B123" s="441"/>
      <c r="C123" s="428"/>
      <c r="D123" s="426"/>
      <c r="E123" s="27" t="s">
        <v>64</v>
      </c>
      <c r="F123" s="24"/>
      <c r="G123" s="57" t="s">
        <v>79</v>
      </c>
      <c r="H123" s="55" t="s">
        <v>21</v>
      </c>
      <c r="I123" s="51">
        <v>8</v>
      </c>
      <c r="J123" s="50" t="s">
        <v>65</v>
      </c>
      <c r="K123" s="51">
        <v>83</v>
      </c>
      <c r="L123" s="50" t="s">
        <v>66</v>
      </c>
      <c r="M123" s="51">
        <v>58</v>
      </c>
      <c r="N123" s="55" t="s">
        <v>73</v>
      </c>
      <c r="O123" s="50"/>
      <c r="P123" s="50"/>
      <c r="Q123" s="400"/>
      <c r="R123" s="401"/>
      <c r="S123" s="13">
        <f>10*365</f>
        <v>3650</v>
      </c>
      <c r="T123" s="9">
        <f t="shared" si="120"/>
        <v>304.16666666666669</v>
      </c>
      <c r="U123" s="9">
        <f t="shared" si="121"/>
        <v>10</v>
      </c>
      <c r="V123" s="21">
        <f t="shared" si="117"/>
        <v>9.433962264150944</v>
      </c>
      <c r="W123" s="11">
        <f t="shared" si="112"/>
        <v>292</v>
      </c>
      <c r="X123" s="424"/>
      <c r="Y123" s="11">
        <f t="shared" si="113"/>
        <v>242.35999999999999</v>
      </c>
      <c r="Z123" s="424"/>
      <c r="AA123" s="37">
        <f t="shared" si="118"/>
        <v>5.1751685437044532</v>
      </c>
      <c r="AB123" s="431"/>
      <c r="AC123" s="409"/>
      <c r="AD123" s="412"/>
      <c r="AE123" s="409"/>
      <c r="AF123" s="45">
        <v>400</v>
      </c>
      <c r="AG123" s="8">
        <f t="shared" si="114"/>
        <v>96944</v>
      </c>
      <c r="AH123" s="8"/>
      <c r="AI123" s="8"/>
      <c r="AJ123" s="8">
        <f t="shared" si="115"/>
        <v>26.56</v>
      </c>
      <c r="AK123" s="8">
        <f t="shared" si="122"/>
        <v>265.60000000000002</v>
      </c>
      <c r="AL123" s="8">
        <f t="shared" si="116"/>
        <v>154.048</v>
      </c>
      <c r="AM123" s="8">
        <f t="shared" si="119"/>
        <v>56227.520000000004</v>
      </c>
      <c r="AN123" s="8">
        <f t="shared" si="123"/>
        <v>5699.7759999999998</v>
      </c>
      <c r="AO123" s="8">
        <f t="shared" si="124"/>
        <v>2.5728155555555556E-2</v>
      </c>
      <c r="AP123" s="8">
        <f t="shared" si="125"/>
        <v>617.47573333333332</v>
      </c>
      <c r="AQ123" s="381"/>
      <c r="AR123" s="397"/>
      <c r="AS123" s="397"/>
    </row>
    <row r="124" spans="2:45" ht="33.450000000000003" customHeight="1" thickBot="1" x14ac:dyDescent="0.35">
      <c r="B124" s="441"/>
      <c r="C124" s="428"/>
      <c r="D124" s="88" t="s">
        <v>13</v>
      </c>
      <c r="E124" s="25" t="s">
        <v>156</v>
      </c>
      <c r="F124" s="24"/>
      <c r="G124" s="49" t="s">
        <v>37</v>
      </c>
      <c r="H124" s="50" t="s">
        <v>38</v>
      </c>
      <c r="I124" s="51">
        <v>40</v>
      </c>
      <c r="J124" s="50" t="s">
        <v>39</v>
      </c>
      <c r="K124" s="51">
        <v>97</v>
      </c>
      <c r="L124" s="50" t="s">
        <v>50</v>
      </c>
      <c r="M124" s="51">
        <v>69</v>
      </c>
      <c r="N124" s="50" t="s">
        <v>35</v>
      </c>
      <c r="O124" s="50"/>
      <c r="P124" s="50"/>
      <c r="Q124" s="399" t="s">
        <v>36</v>
      </c>
      <c r="R124" s="399"/>
      <c r="S124" s="12"/>
      <c r="T124" s="9">
        <f t="shared" si="120"/>
        <v>0</v>
      </c>
      <c r="U124" s="9">
        <f t="shared" si="121"/>
        <v>0</v>
      </c>
      <c r="V124" s="21">
        <f t="shared" si="117"/>
        <v>0</v>
      </c>
      <c r="W124" s="11">
        <f t="shared" si="112"/>
        <v>0</v>
      </c>
      <c r="X124" s="424"/>
      <c r="Y124" s="11">
        <f t="shared" si="113"/>
        <v>0</v>
      </c>
      <c r="Z124" s="424"/>
      <c r="AA124" s="11">
        <f t="shared" si="118"/>
        <v>0</v>
      </c>
      <c r="AB124" s="431"/>
      <c r="AC124" s="409"/>
      <c r="AD124" s="412"/>
      <c r="AE124" s="409"/>
      <c r="AF124" s="45">
        <v>500</v>
      </c>
      <c r="AG124" s="8">
        <f t="shared" si="114"/>
        <v>0</v>
      </c>
      <c r="AH124" s="8"/>
      <c r="AI124" s="8"/>
      <c r="AJ124" s="8">
        <f t="shared" si="115"/>
        <v>0</v>
      </c>
      <c r="AK124" s="8">
        <f t="shared" si="122"/>
        <v>0</v>
      </c>
      <c r="AL124" s="8">
        <f t="shared" si="116"/>
        <v>0</v>
      </c>
      <c r="AM124" s="8">
        <f t="shared" si="119"/>
        <v>0</v>
      </c>
      <c r="AN124" s="8">
        <f t="shared" si="123"/>
        <v>0</v>
      </c>
      <c r="AO124" s="8">
        <f t="shared" si="124"/>
        <v>0</v>
      </c>
      <c r="AP124" s="8">
        <f t="shared" si="125"/>
        <v>0</v>
      </c>
      <c r="AQ124" s="381"/>
      <c r="AR124" s="397"/>
      <c r="AS124" s="397"/>
    </row>
    <row r="125" spans="2:45" ht="29.4" thickBot="1" x14ac:dyDescent="0.35">
      <c r="B125" s="441"/>
      <c r="C125" s="428"/>
      <c r="D125" s="88" t="s">
        <v>14</v>
      </c>
      <c r="E125" s="25" t="s">
        <v>55</v>
      </c>
      <c r="F125" s="2"/>
      <c r="G125" s="49" t="s">
        <v>80</v>
      </c>
      <c r="H125" s="50" t="s">
        <v>56</v>
      </c>
      <c r="I125" s="51">
        <v>22</v>
      </c>
      <c r="J125" s="50" t="s">
        <v>30</v>
      </c>
      <c r="K125" s="51">
        <v>90</v>
      </c>
      <c r="L125" s="50" t="s">
        <v>57</v>
      </c>
      <c r="M125" s="51">
        <v>54</v>
      </c>
      <c r="N125" s="50">
        <v>1.5</v>
      </c>
      <c r="O125" s="50"/>
      <c r="P125" s="50"/>
      <c r="Q125" s="399" t="s">
        <v>72</v>
      </c>
      <c r="R125" s="399"/>
      <c r="S125" s="12">
        <f>10*365</f>
        <v>3650</v>
      </c>
      <c r="T125" s="9">
        <f t="shared" si="120"/>
        <v>304.16666666666669</v>
      </c>
      <c r="U125" s="9">
        <f t="shared" si="121"/>
        <v>10</v>
      </c>
      <c r="V125" s="21">
        <f t="shared" si="117"/>
        <v>9.433962264150944</v>
      </c>
      <c r="W125" s="11">
        <f t="shared" si="112"/>
        <v>803</v>
      </c>
      <c r="X125" s="424"/>
      <c r="Y125" s="11">
        <f t="shared" si="113"/>
        <v>722.7</v>
      </c>
      <c r="Z125" s="424"/>
      <c r="AA125" s="68">
        <f t="shared" si="118"/>
        <v>15.431978488757256</v>
      </c>
      <c r="AB125" s="431"/>
      <c r="AC125" s="409"/>
      <c r="AD125" s="412"/>
      <c r="AE125" s="409"/>
      <c r="AF125" s="45">
        <v>170</v>
      </c>
      <c r="AG125" s="8">
        <f t="shared" si="114"/>
        <v>122859.00000000001</v>
      </c>
      <c r="AH125" s="8"/>
      <c r="AI125" s="8"/>
      <c r="AJ125" s="8">
        <f t="shared" si="115"/>
        <v>33.660000000000004</v>
      </c>
      <c r="AK125" s="8">
        <f t="shared" si="122"/>
        <v>336.6</v>
      </c>
      <c r="AL125" s="8">
        <f t="shared" si="116"/>
        <v>181.76400000000004</v>
      </c>
      <c r="AM125" s="8">
        <f t="shared" si="119"/>
        <v>66343.860000000015</v>
      </c>
      <c r="AN125" s="8">
        <f t="shared" si="123"/>
        <v>6725.2680000000018</v>
      </c>
      <c r="AO125" s="8">
        <f t="shared" si="124"/>
        <v>3.0357112500000012E-2</v>
      </c>
      <c r="AP125" s="8">
        <f t="shared" si="125"/>
        <v>728.57070000000033</v>
      </c>
      <c r="AQ125" s="381"/>
      <c r="AR125" s="397"/>
      <c r="AS125" s="397"/>
    </row>
    <row r="126" spans="2:45" ht="15" thickBot="1" x14ac:dyDescent="0.35">
      <c r="B126" s="441"/>
      <c r="C126" s="428"/>
      <c r="D126" s="88" t="s">
        <v>15</v>
      </c>
      <c r="E126" s="25" t="s">
        <v>7</v>
      </c>
      <c r="F126" s="2"/>
      <c r="G126" s="49">
        <v>5.7</v>
      </c>
      <c r="H126" s="58" t="s">
        <v>51</v>
      </c>
      <c r="I126" s="51">
        <v>21</v>
      </c>
      <c r="J126" s="50" t="s">
        <v>32</v>
      </c>
      <c r="K126" s="51">
        <v>65</v>
      </c>
      <c r="L126" s="50" t="s">
        <v>52</v>
      </c>
      <c r="M126" s="51">
        <v>58</v>
      </c>
      <c r="N126" s="50"/>
      <c r="O126" s="50"/>
      <c r="P126" s="50"/>
      <c r="Q126" s="399" t="e">
        <f>O126/N126</f>
        <v>#DIV/0!</v>
      </c>
      <c r="R126" s="399"/>
      <c r="S126" s="12">
        <f>10*365</f>
        <v>3650</v>
      </c>
      <c r="T126" s="9">
        <f t="shared" si="120"/>
        <v>304.16666666666669</v>
      </c>
      <c r="U126" s="9">
        <f t="shared" si="121"/>
        <v>10</v>
      </c>
      <c r="V126" s="21">
        <f t="shared" si="117"/>
        <v>9.433962264150944</v>
      </c>
      <c r="W126" s="11">
        <f t="shared" si="112"/>
        <v>766.5</v>
      </c>
      <c r="X126" s="424"/>
      <c r="Y126" s="11">
        <f t="shared" si="113"/>
        <v>498.22500000000002</v>
      </c>
      <c r="Z126" s="424"/>
      <c r="AA126" s="11">
        <f t="shared" si="118"/>
        <v>10.638712443006897</v>
      </c>
      <c r="AB126" s="431"/>
      <c r="AC126" s="409"/>
      <c r="AD126" s="412"/>
      <c r="AE126" s="409"/>
      <c r="AF126" s="45">
        <v>580</v>
      </c>
      <c r="AG126" s="8">
        <f t="shared" si="114"/>
        <v>288970.5</v>
      </c>
      <c r="AH126" s="8"/>
      <c r="AI126" s="8"/>
      <c r="AJ126" s="8">
        <f t="shared" si="115"/>
        <v>79.17</v>
      </c>
      <c r="AK126" s="8">
        <f t="shared" si="122"/>
        <v>791.7</v>
      </c>
      <c r="AL126" s="8">
        <f t="shared" si="116"/>
        <v>459.18599999999998</v>
      </c>
      <c r="AM126" s="8">
        <f t="shared" si="119"/>
        <v>167602.88999999998</v>
      </c>
      <c r="AN126" s="8">
        <f t="shared" si="123"/>
        <v>16989.881999999998</v>
      </c>
      <c r="AO126" s="8">
        <f t="shared" si="124"/>
        <v>7.6690439583333325E-2</v>
      </c>
      <c r="AP126" s="8">
        <f t="shared" si="125"/>
        <v>1840.5705499999999</v>
      </c>
      <c r="AQ126" s="381"/>
      <c r="AR126" s="397"/>
      <c r="AS126" s="397"/>
    </row>
    <row r="127" spans="2:45" ht="58.2" thickBot="1" x14ac:dyDescent="0.35">
      <c r="B127" s="441"/>
      <c r="C127" s="428"/>
      <c r="D127" s="88" t="s">
        <v>16</v>
      </c>
      <c r="E127" s="25" t="s">
        <v>53</v>
      </c>
      <c r="F127" s="2"/>
      <c r="G127" s="59"/>
      <c r="H127" s="60" t="s">
        <v>28</v>
      </c>
      <c r="I127" s="61">
        <v>16</v>
      </c>
      <c r="J127" s="60" t="s">
        <v>34</v>
      </c>
      <c r="K127" s="61">
        <v>85</v>
      </c>
      <c r="L127" s="60" t="s">
        <v>54</v>
      </c>
      <c r="M127" s="61">
        <v>52</v>
      </c>
      <c r="N127" s="60" t="s">
        <v>76</v>
      </c>
      <c r="O127" s="60"/>
      <c r="P127" s="60"/>
      <c r="Q127" s="427" t="e">
        <f>O127/N127</f>
        <v>#VALUE!</v>
      </c>
      <c r="R127" s="427"/>
      <c r="S127" s="14"/>
      <c r="T127" s="9">
        <f t="shared" si="120"/>
        <v>0</v>
      </c>
      <c r="U127" s="9">
        <f t="shared" si="121"/>
        <v>0</v>
      </c>
      <c r="V127" s="21">
        <f t="shared" si="117"/>
        <v>0</v>
      </c>
      <c r="W127" s="11">
        <f t="shared" si="112"/>
        <v>0</v>
      </c>
      <c r="X127" s="429"/>
      <c r="Y127" s="11">
        <f t="shared" si="113"/>
        <v>0</v>
      </c>
      <c r="Z127" s="429"/>
      <c r="AA127" s="11">
        <f t="shared" si="118"/>
        <v>0</v>
      </c>
      <c r="AB127" s="431"/>
      <c r="AC127" s="409"/>
      <c r="AD127" s="412"/>
      <c r="AE127" s="409"/>
      <c r="AF127" s="46">
        <v>700</v>
      </c>
      <c r="AG127" s="8">
        <f t="shared" si="114"/>
        <v>0</v>
      </c>
      <c r="AH127" s="8"/>
      <c r="AI127" s="8"/>
      <c r="AJ127" s="8">
        <f t="shared" si="115"/>
        <v>0</v>
      </c>
      <c r="AK127" s="8">
        <f t="shared" si="122"/>
        <v>0</v>
      </c>
      <c r="AL127" s="8">
        <f t="shared" si="116"/>
        <v>0</v>
      </c>
      <c r="AM127" s="8">
        <f t="shared" si="119"/>
        <v>0</v>
      </c>
      <c r="AN127" s="8">
        <f t="shared" si="123"/>
        <v>0</v>
      </c>
      <c r="AO127" s="8">
        <f t="shared" si="124"/>
        <v>0</v>
      </c>
      <c r="AP127" s="8">
        <f t="shared" si="125"/>
        <v>0</v>
      </c>
      <c r="AQ127" s="382"/>
      <c r="AR127" s="398"/>
      <c r="AS127" s="398"/>
    </row>
    <row r="128" spans="2:45" ht="18" x14ac:dyDescent="0.3">
      <c r="B128" s="441"/>
      <c r="S128" s="17">
        <f t="shared" ref="S128:W128" si="126">SUM(S116:S127)</f>
        <v>38690</v>
      </c>
      <c r="T128" s="17">
        <f t="shared" si="126"/>
        <v>3224.1666666666665</v>
      </c>
      <c r="U128" s="17">
        <f t="shared" si="126"/>
        <v>106</v>
      </c>
      <c r="V128" s="17">
        <f t="shared" si="126"/>
        <v>100.00000000000003</v>
      </c>
      <c r="W128" s="16">
        <f t="shared" si="126"/>
        <v>5810.7999999999993</v>
      </c>
      <c r="X128" s="16"/>
      <c r="Y128" s="16">
        <f>SUM(Y116:Y127)</f>
        <v>4683.1325000000006</v>
      </c>
      <c r="Z128" s="16"/>
      <c r="AA128" s="16">
        <f>SUM(AA116:AA127)</f>
        <v>99.999999999999986</v>
      </c>
      <c r="AB128" s="16"/>
      <c r="AC128" s="16"/>
      <c r="AD128" s="16"/>
      <c r="AE128" s="16"/>
      <c r="AF128" s="16"/>
      <c r="AG128" s="16">
        <f>SUM(AG116:AG127)</f>
        <v>2048014.9999999998</v>
      </c>
      <c r="AH128" s="16"/>
      <c r="AI128" s="16"/>
      <c r="AJ128" s="16"/>
      <c r="AK128" s="16">
        <f t="shared" ref="AK128:AP128" si="127">SUM(AK116:AK127)</f>
        <v>5611</v>
      </c>
      <c r="AL128" s="18">
        <f t="shared" si="127"/>
        <v>3141.1825000000003</v>
      </c>
      <c r="AM128" s="18">
        <f t="shared" si="127"/>
        <v>1146531.6124999998</v>
      </c>
      <c r="AN128" s="16">
        <f t="shared" si="127"/>
        <v>116223.75249999999</v>
      </c>
      <c r="AO128" s="16">
        <f t="shared" si="127"/>
        <v>0.52462110503472226</v>
      </c>
      <c r="AP128" s="16">
        <f t="shared" si="127"/>
        <v>12590.906520833334</v>
      </c>
      <c r="AQ128" s="16"/>
      <c r="AR128" s="16"/>
    </row>
    <row r="129" spans="2:45" x14ac:dyDescent="0.3">
      <c r="B129" s="441"/>
    </row>
    <row r="130" spans="2:45" ht="15" thickBot="1" x14ac:dyDescent="0.35">
      <c r="B130" s="441"/>
    </row>
    <row r="131" spans="2:45" ht="15" thickBot="1" x14ac:dyDescent="0.35">
      <c r="B131" s="441"/>
      <c r="C131" s="416" t="s">
        <v>148</v>
      </c>
      <c r="D131" s="419" t="s">
        <v>9</v>
      </c>
      <c r="E131" s="25" t="s">
        <v>17</v>
      </c>
      <c r="F131" s="2"/>
      <c r="G131" s="62">
        <v>8.1</v>
      </c>
      <c r="H131" s="51" t="s">
        <v>42</v>
      </c>
      <c r="I131" s="51">
        <v>17</v>
      </c>
      <c r="J131" s="51" t="s">
        <v>43</v>
      </c>
      <c r="K131" s="51">
        <v>72</v>
      </c>
      <c r="L131" s="51">
        <v>58</v>
      </c>
      <c r="M131" s="51">
        <v>55</v>
      </c>
      <c r="N131" s="51">
        <v>1.77</v>
      </c>
      <c r="O131" s="51">
        <v>35.69</v>
      </c>
      <c r="P131" s="48"/>
      <c r="Q131" s="422">
        <f>O131/N131</f>
        <v>20.163841807909602</v>
      </c>
      <c r="R131" s="422"/>
      <c r="S131" s="29"/>
      <c r="T131" s="28">
        <f>S131/12</f>
        <v>0</v>
      </c>
      <c r="U131" s="31">
        <f>S131/365</f>
        <v>0</v>
      </c>
      <c r="V131" s="38">
        <f>(T131*100)/$T$143</f>
        <v>0</v>
      </c>
      <c r="W131" s="31">
        <f t="shared" ref="W131:W142" si="128">I131%*S131</f>
        <v>0</v>
      </c>
      <c r="X131" s="423">
        <f>W143/365</f>
        <v>9.93</v>
      </c>
      <c r="Y131" s="31">
        <f t="shared" ref="Y131:Y142" si="129">W131*K131%</f>
        <v>0</v>
      </c>
      <c r="Z131" s="402">
        <f>Y143/365</f>
        <v>9.4281999999999986</v>
      </c>
      <c r="AA131" s="41">
        <f>(Y131*100)/$Y$143</f>
        <v>0</v>
      </c>
      <c r="AB131" s="405">
        <v>5</v>
      </c>
      <c r="AC131" s="408">
        <f>(X131-AB131)/X131</f>
        <v>0.49647532729103727</v>
      </c>
      <c r="AD131" s="411">
        <v>8.5</v>
      </c>
      <c r="AE131" s="408">
        <f>(Z131-AD131)/Z131</f>
        <v>9.8449332852506177E-2</v>
      </c>
      <c r="AF131" s="47">
        <v>280</v>
      </c>
      <c r="AG131" s="32">
        <f t="shared" ref="AG131:AG142" si="130">Y131*AF131</f>
        <v>0</v>
      </c>
      <c r="AH131" s="32"/>
      <c r="AI131" s="32"/>
      <c r="AJ131" s="32">
        <f t="shared" ref="AJ131:AJ142" si="131">IFERROR(AG131/S131,0)</f>
        <v>0</v>
      </c>
      <c r="AK131" s="32">
        <f>AG131/365</f>
        <v>0</v>
      </c>
      <c r="AL131" s="32">
        <f t="shared" ref="AL131:AL142" si="132">IFERROR(AG131*M131%/365,0)</f>
        <v>0</v>
      </c>
      <c r="AM131" s="32">
        <f>AL131*365</f>
        <v>0</v>
      </c>
      <c r="AN131" s="32">
        <f>AL131*37</f>
        <v>0</v>
      </c>
      <c r="AO131" s="32">
        <f>AN131/3600/24*0.39</f>
        <v>0</v>
      </c>
      <c r="AP131" s="32">
        <f>AO131*1000*24</f>
        <v>0</v>
      </c>
      <c r="AQ131" s="414">
        <v>14000000</v>
      </c>
      <c r="AR131" s="396">
        <f>(Z131*1000)/3.7</f>
        <v>2548.1621621621616</v>
      </c>
      <c r="AS131" s="396">
        <f>AR131/U143</f>
        <v>77.217035217035203</v>
      </c>
    </row>
    <row r="132" spans="2:45" ht="29.4" thickBot="1" x14ac:dyDescent="0.35">
      <c r="B132" s="441"/>
      <c r="C132" s="417"/>
      <c r="D132" s="420"/>
      <c r="E132" s="25" t="s">
        <v>45</v>
      </c>
      <c r="F132" s="2"/>
      <c r="G132" s="49">
        <v>5.09</v>
      </c>
      <c r="H132" s="50" t="s">
        <v>46</v>
      </c>
      <c r="I132" s="51">
        <v>33</v>
      </c>
      <c r="J132" s="52" t="s">
        <v>47</v>
      </c>
      <c r="K132" s="51">
        <v>57</v>
      </c>
      <c r="L132" s="50">
        <v>55</v>
      </c>
      <c r="M132" s="51">
        <v>55</v>
      </c>
      <c r="N132" s="50">
        <v>4.33</v>
      </c>
      <c r="O132" s="50">
        <v>42.82</v>
      </c>
      <c r="P132" s="50"/>
      <c r="Q132" s="399">
        <f>O132/N132</f>
        <v>9.8891454965357966</v>
      </c>
      <c r="R132" s="399"/>
      <c r="S132" s="12"/>
      <c r="T132" s="9">
        <f>S132/12</f>
        <v>0</v>
      </c>
      <c r="U132" s="11">
        <f>S132/365</f>
        <v>0</v>
      </c>
      <c r="V132" s="39">
        <f t="shared" ref="V132:V141" si="133">(T132*100)/$T$143</f>
        <v>0</v>
      </c>
      <c r="W132" s="11">
        <f t="shared" si="128"/>
        <v>0</v>
      </c>
      <c r="X132" s="424"/>
      <c r="Y132" s="11">
        <f t="shared" si="129"/>
        <v>0</v>
      </c>
      <c r="Z132" s="403"/>
      <c r="AA132" s="42">
        <f t="shared" ref="AA132:AA142" si="134">(Y132*100)/$Y$143</f>
        <v>0</v>
      </c>
      <c r="AB132" s="406"/>
      <c r="AC132" s="409"/>
      <c r="AD132" s="412"/>
      <c r="AE132" s="409"/>
      <c r="AF132" s="45">
        <v>300</v>
      </c>
      <c r="AG132" s="8">
        <f t="shared" si="130"/>
        <v>0</v>
      </c>
      <c r="AH132" s="8"/>
      <c r="AI132" s="8"/>
      <c r="AJ132" s="8">
        <f t="shared" si="131"/>
        <v>0</v>
      </c>
      <c r="AK132" s="8">
        <f>AG132/365</f>
        <v>0</v>
      </c>
      <c r="AL132" s="8">
        <f t="shared" si="132"/>
        <v>0</v>
      </c>
      <c r="AM132" s="8">
        <f t="shared" ref="AM132:AM142" si="135">AL132*365</f>
        <v>0</v>
      </c>
      <c r="AN132" s="8">
        <f>AL132*37</f>
        <v>0</v>
      </c>
      <c r="AO132" s="8">
        <f>AN132/3600/24*0.39</f>
        <v>0</v>
      </c>
      <c r="AP132" s="8">
        <f>AO132*1000*24</f>
        <v>0</v>
      </c>
      <c r="AQ132" s="381"/>
      <c r="AR132" s="397"/>
      <c r="AS132" s="397"/>
    </row>
    <row r="133" spans="2:45" ht="15" thickBot="1" x14ac:dyDescent="0.35">
      <c r="B133" s="441"/>
      <c r="C133" s="417"/>
      <c r="D133" s="421"/>
      <c r="E133" s="25" t="s">
        <v>6</v>
      </c>
      <c r="F133" s="2"/>
      <c r="G133" s="49">
        <v>7.8</v>
      </c>
      <c r="H133" s="50" t="s">
        <v>48</v>
      </c>
      <c r="I133" s="51">
        <v>20</v>
      </c>
      <c r="J133" s="50" t="s">
        <v>154</v>
      </c>
      <c r="K133" s="51">
        <v>68</v>
      </c>
      <c r="L133" s="50">
        <v>58</v>
      </c>
      <c r="M133" s="51">
        <v>60</v>
      </c>
      <c r="N133" s="50">
        <v>2.15</v>
      </c>
      <c r="O133" s="50">
        <v>38.4</v>
      </c>
      <c r="P133" s="50"/>
      <c r="Q133" s="399">
        <f>O133/N133</f>
        <v>17.86046511627907</v>
      </c>
      <c r="R133" s="399"/>
      <c r="S133" s="12"/>
      <c r="T133" s="9">
        <f>S133/12</f>
        <v>0</v>
      </c>
      <c r="U133" s="11">
        <f>S133/365</f>
        <v>0</v>
      </c>
      <c r="V133" s="39">
        <f t="shared" si="133"/>
        <v>0</v>
      </c>
      <c r="W133" s="11">
        <f t="shared" si="128"/>
        <v>0</v>
      </c>
      <c r="X133" s="424"/>
      <c r="Y133" s="11">
        <f t="shared" si="129"/>
        <v>0</v>
      </c>
      <c r="Z133" s="403"/>
      <c r="AA133" s="42">
        <f t="shared" si="134"/>
        <v>0</v>
      </c>
      <c r="AB133" s="406"/>
      <c r="AC133" s="409"/>
      <c r="AD133" s="412"/>
      <c r="AE133" s="409"/>
      <c r="AF133" s="45">
        <v>280</v>
      </c>
      <c r="AG133" s="8">
        <f t="shared" si="130"/>
        <v>0</v>
      </c>
      <c r="AH133" s="8"/>
      <c r="AI133" s="8"/>
      <c r="AJ133" s="8">
        <f t="shared" si="131"/>
        <v>0</v>
      </c>
      <c r="AK133" s="8">
        <f>AG133/365</f>
        <v>0</v>
      </c>
      <c r="AL133" s="8">
        <f t="shared" si="132"/>
        <v>0</v>
      </c>
      <c r="AM133" s="8">
        <f t="shared" si="135"/>
        <v>0</v>
      </c>
      <c r="AN133" s="8">
        <f>AL133*37</f>
        <v>0</v>
      </c>
      <c r="AO133" s="8">
        <f>AN133/3600/24*0.39</f>
        <v>0</v>
      </c>
      <c r="AP133" s="8">
        <f>AO133*1000*24</f>
        <v>0</v>
      </c>
      <c r="AQ133" s="381"/>
      <c r="AR133" s="397"/>
      <c r="AS133" s="397"/>
    </row>
    <row r="134" spans="2:45" ht="15" thickBot="1" x14ac:dyDescent="0.35">
      <c r="B134" s="441"/>
      <c r="C134" s="417"/>
      <c r="D134" s="88" t="s">
        <v>10</v>
      </c>
      <c r="E134" s="25" t="s">
        <v>18</v>
      </c>
      <c r="F134" s="2"/>
      <c r="G134" s="53" t="s">
        <v>22</v>
      </c>
      <c r="H134" s="54" t="s">
        <v>20</v>
      </c>
      <c r="I134" s="51">
        <v>8</v>
      </c>
      <c r="J134" s="52" t="s">
        <v>23</v>
      </c>
      <c r="K134" s="51">
        <v>80</v>
      </c>
      <c r="L134" s="52" t="s">
        <v>44</v>
      </c>
      <c r="M134" s="51">
        <v>50</v>
      </c>
      <c r="N134" s="55" t="s">
        <v>24</v>
      </c>
      <c r="O134" s="50"/>
      <c r="P134" s="50"/>
      <c r="Q134" s="399">
        <f>O134/N134</f>
        <v>0</v>
      </c>
      <c r="R134" s="399"/>
      <c r="S134" s="12">
        <f>3*365</f>
        <v>1095</v>
      </c>
      <c r="T134" s="9">
        <f t="shared" ref="T134:T142" si="136">S134/12</f>
        <v>91.25</v>
      </c>
      <c r="U134" s="11">
        <f t="shared" ref="U134:U142" si="137">S134/365</f>
        <v>3</v>
      </c>
      <c r="V134" s="39">
        <f t="shared" si="133"/>
        <v>9.0909090909090917</v>
      </c>
      <c r="W134" s="11">
        <f t="shared" si="128"/>
        <v>87.600000000000009</v>
      </c>
      <c r="X134" s="424"/>
      <c r="Y134" s="11">
        <f t="shared" si="129"/>
        <v>70.080000000000013</v>
      </c>
      <c r="Z134" s="403"/>
      <c r="AA134" s="42">
        <f t="shared" si="134"/>
        <v>2.0364438599096331</v>
      </c>
      <c r="AB134" s="406"/>
      <c r="AC134" s="409"/>
      <c r="AD134" s="412"/>
      <c r="AE134" s="409"/>
      <c r="AF134" s="45">
        <v>200</v>
      </c>
      <c r="AG134" s="8">
        <f t="shared" si="130"/>
        <v>14016.000000000002</v>
      </c>
      <c r="AH134" s="8"/>
      <c r="AI134" s="8"/>
      <c r="AJ134" s="8">
        <f t="shared" si="131"/>
        <v>12.800000000000002</v>
      </c>
      <c r="AK134" s="8">
        <f t="shared" ref="AK134:AK142" si="138">AG134/365</f>
        <v>38.400000000000006</v>
      </c>
      <c r="AL134" s="8">
        <f t="shared" si="132"/>
        <v>19.200000000000003</v>
      </c>
      <c r="AM134" s="8">
        <f t="shared" si="135"/>
        <v>7008.0000000000009</v>
      </c>
      <c r="AN134" s="8">
        <f t="shared" ref="AN134:AN142" si="139">AL134*37</f>
        <v>710.40000000000009</v>
      </c>
      <c r="AO134" s="8">
        <f t="shared" ref="AO134:AO142" si="140">AN134/3600/24*0.39</f>
        <v>3.2066666666666671E-3</v>
      </c>
      <c r="AP134" s="8">
        <f t="shared" ref="AP134:AP142" si="141">AO134*1000*24</f>
        <v>76.960000000000008</v>
      </c>
      <c r="AQ134" s="381"/>
      <c r="AR134" s="397"/>
      <c r="AS134" s="397"/>
    </row>
    <row r="135" spans="2:45" ht="15" thickBot="1" x14ac:dyDescent="0.35">
      <c r="B135" s="441"/>
      <c r="C135" s="417"/>
      <c r="D135" s="88" t="s">
        <v>11</v>
      </c>
      <c r="E135" s="27" t="s">
        <v>58</v>
      </c>
      <c r="F135" s="24"/>
      <c r="G135" s="56" t="s">
        <v>67</v>
      </c>
      <c r="H135" s="50" t="s">
        <v>59</v>
      </c>
      <c r="I135" s="51">
        <v>12</v>
      </c>
      <c r="J135" s="50">
        <v>89</v>
      </c>
      <c r="K135" s="51">
        <v>89</v>
      </c>
      <c r="L135" s="50" t="s">
        <v>57</v>
      </c>
      <c r="M135" s="51">
        <v>51</v>
      </c>
      <c r="N135" s="50">
        <v>1.4</v>
      </c>
      <c r="O135" s="50"/>
      <c r="P135" s="50"/>
      <c r="Q135" s="399" t="s">
        <v>70</v>
      </c>
      <c r="R135" s="399"/>
      <c r="S135" s="12"/>
      <c r="T135" s="9">
        <f t="shared" si="136"/>
        <v>0</v>
      </c>
      <c r="U135" s="11">
        <f t="shared" si="137"/>
        <v>0</v>
      </c>
      <c r="V135" s="39">
        <f t="shared" si="133"/>
        <v>0</v>
      </c>
      <c r="W135" s="11">
        <f t="shared" si="128"/>
        <v>0</v>
      </c>
      <c r="X135" s="424"/>
      <c r="Y135" s="11">
        <f t="shared" si="129"/>
        <v>0</v>
      </c>
      <c r="Z135" s="403"/>
      <c r="AA135" s="42">
        <f t="shared" si="134"/>
        <v>0</v>
      </c>
      <c r="AB135" s="406"/>
      <c r="AC135" s="409"/>
      <c r="AD135" s="412"/>
      <c r="AE135" s="409"/>
      <c r="AF135" s="45">
        <v>300</v>
      </c>
      <c r="AG135" s="8">
        <f t="shared" si="130"/>
        <v>0</v>
      </c>
      <c r="AH135" s="8"/>
      <c r="AI135" s="8"/>
      <c r="AJ135" s="8">
        <f t="shared" si="131"/>
        <v>0</v>
      </c>
      <c r="AK135" s="8">
        <f t="shared" si="138"/>
        <v>0</v>
      </c>
      <c r="AL135" s="8">
        <f t="shared" si="132"/>
        <v>0</v>
      </c>
      <c r="AM135" s="8">
        <f t="shared" si="135"/>
        <v>0</v>
      </c>
      <c r="AN135" s="8">
        <f t="shared" si="139"/>
        <v>0</v>
      </c>
      <c r="AO135" s="8">
        <f t="shared" si="140"/>
        <v>0</v>
      </c>
      <c r="AP135" s="8">
        <f t="shared" si="141"/>
        <v>0</v>
      </c>
      <c r="AQ135" s="381"/>
      <c r="AR135" s="397"/>
      <c r="AS135" s="397"/>
    </row>
    <row r="136" spans="2:45" ht="29.4" thickBot="1" x14ac:dyDescent="0.35">
      <c r="B136" s="441"/>
      <c r="C136" s="417"/>
      <c r="D136" s="426" t="s">
        <v>12</v>
      </c>
      <c r="E136" s="27" t="s">
        <v>27</v>
      </c>
      <c r="F136" s="24"/>
      <c r="G136" s="57" t="s">
        <v>29</v>
      </c>
      <c r="H136" s="50" t="s">
        <v>28</v>
      </c>
      <c r="I136" s="51">
        <v>25</v>
      </c>
      <c r="J136" s="50" t="s">
        <v>60</v>
      </c>
      <c r="K136" s="51">
        <v>90</v>
      </c>
      <c r="L136" s="50">
        <v>65</v>
      </c>
      <c r="M136" s="51">
        <v>60</v>
      </c>
      <c r="N136" s="55" t="s">
        <v>61</v>
      </c>
      <c r="O136" s="50"/>
      <c r="P136" s="50"/>
      <c r="Q136" s="399">
        <v>35</v>
      </c>
      <c r="R136" s="399"/>
      <c r="S136" s="12">
        <f>3*365</f>
        <v>1095</v>
      </c>
      <c r="T136" s="9">
        <f t="shared" si="136"/>
        <v>91.25</v>
      </c>
      <c r="U136" s="11">
        <f t="shared" si="137"/>
        <v>3</v>
      </c>
      <c r="V136" s="39">
        <f t="shared" si="133"/>
        <v>9.0909090909090917</v>
      </c>
      <c r="W136" s="11">
        <f t="shared" si="128"/>
        <v>273.75</v>
      </c>
      <c r="X136" s="424"/>
      <c r="Y136" s="11">
        <f t="shared" si="129"/>
        <v>246.375</v>
      </c>
      <c r="Z136" s="403"/>
      <c r="AA136" s="67">
        <f t="shared" si="134"/>
        <v>7.1593729449948036</v>
      </c>
      <c r="AB136" s="406"/>
      <c r="AC136" s="409"/>
      <c r="AD136" s="412"/>
      <c r="AE136" s="409"/>
      <c r="AF136" s="45">
        <v>590</v>
      </c>
      <c r="AG136" s="8">
        <f t="shared" si="130"/>
        <v>145361.25</v>
      </c>
      <c r="AH136" s="8"/>
      <c r="AI136" s="8"/>
      <c r="AJ136" s="8">
        <f t="shared" si="131"/>
        <v>132.75</v>
      </c>
      <c r="AK136" s="8">
        <f t="shared" si="138"/>
        <v>398.25</v>
      </c>
      <c r="AL136" s="8">
        <f t="shared" si="132"/>
        <v>238.95</v>
      </c>
      <c r="AM136" s="8">
        <f t="shared" si="135"/>
        <v>87216.75</v>
      </c>
      <c r="AN136" s="8">
        <f t="shared" si="139"/>
        <v>8841.15</v>
      </c>
      <c r="AO136" s="8">
        <f t="shared" si="140"/>
        <v>3.9907968750000002E-2</v>
      </c>
      <c r="AP136" s="8">
        <f t="shared" si="141"/>
        <v>957.79124999999999</v>
      </c>
      <c r="AQ136" s="381"/>
      <c r="AR136" s="397"/>
      <c r="AS136" s="397"/>
    </row>
    <row r="137" spans="2:45" ht="29.4" thickBot="1" x14ac:dyDescent="0.35">
      <c r="B137" s="441"/>
      <c r="C137" s="417"/>
      <c r="D137" s="426"/>
      <c r="E137" s="27" t="s">
        <v>158</v>
      </c>
      <c r="F137" s="2"/>
      <c r="G137" s="57" t="s">
        <v>75</v>
      </c>
      <c r="H137" s="50" t="s">
        <v>155</v>
      </c>
      <c r="I137" s="51">
        <v>12</v>
      </c>
      <c r="J137" s="50" t="s">
        <v>62</v>
      </c>
      <c r="K137" s="51">
        <v>85</v>
      </c>
      <c r="L137" s="50" t="s">
        <v>63</v>
      </c>
      <c r="M137" s="51">
        <v>55</v>
      </c>
      <c r="N137" s="50"/>
      <c r="O137" s="50"/>
      <c r="P137" s="50"/>
      <c r="Q137" s="400"/>
      <c r="R137" s="401"/>
      <c r="S137" s="13"/>
      <c r="T137" s="9">
        <f t="shared" si="136"/>
        <v>0</v>
      </c>
      <c r="U137" s="11">
        <f t="shared" si="137"/>
        <v>0</v>
      </c>
      <c r="V137" s="39">
        <f t="shared" si="133"/>
        <v>0</v>
      </c>
      <c r="W137" s="11">
        <f t="shared" si="128"/>
        <v>0</v>
      </c>
      <c r="X137" s="424"/>
      <c r="Y137" s="11">
        <f t="shared" si="129"/>
        <v>0</v>
      </c>
      <c r="Z137" s="403"/>
      <c r="AA137" s="42">
        <f t="shared" si="134"/>
        <v>0</v>
      </c>
      <c r="AB137" s="406"/>
      <c r="AC137" s="409"/>
      <c r="AD137" s="412"/>
      <c r="AE137" s="409"/>
      <c r="AF137" s="45">
        <v>500</v>
      </c>
      <c r="AG137" s="8">
        <f t="shared" si="130"/>
        <v>0</v>
      </c>
      <c r="AH137" s="8"/>
      <c r="AI137" s="8"/>
      <c r="AJ137" s="8">
        <f t="shared" si="131"/>
        <v>0</v>
      </c>
      <c r="AK137" s="8">
        <f t="shared" si="138"/>
        <v>0</v>
      </c>
      <c r="AL137" s="8">
        <f t="shared" si="132"/>
        <v>0</v>
      </c>
      <c r="AM137" s="8">
        <f t="shared" si="135"/>
        <v>0</v>
      </c>
      <c r="AN137" s="8">
        <f t="shared" si="139"/>
        <v>0</v>
      </c>
      <c r="AO137" s="8">
        <f t="shared" si="140"/>
        <v>0</v>
      </c>
      <c r="AP137" s="8">
        <f t="shared" si="141"/>
        <v>0</v>
      </c>
      <c r="AQ137" s="381"/>
      <c r="AR137" s="397"/>
      <c r="AS137" s="397"/>
    </row>
    <row r="138" spans="2:45" ht="29.4" thickBot="1" x14ac:dyDescent="0.35">
      <c r="B138" s="441"/>
      <c r="C138" s="417"/>
      <c r="D138" s="426"/>
      <c r="E138" s="27" t="s">
        <v>64</v>
      </c>
      <c r="F138" s="24"/>
      <c r="G138" s="57" t="s">
        <v>79</v>
      </c>
      <c r="H138" s="55" t="s">
        <v>21</v>
      </c>
      <c r="I138" s="51">
        <v>8</v>
      </c>
      <c r="J138" s="50" t="s">
        <v>65</v>
      </c>
      <c r="K138" s="51">
        <v>83</v>
      </c>
      <c r="L138" s="50" t="s">
        <v>66</v>
      </c>
      <c r="M138" s="51">
        <v>58</v>
      </c>
      <c r="N138" s="55" t="s">
        <v>73</v>
      </c>
      <c r="O138" s="50"/>
      <c r="P138" s="50"/>
      <c r="Q138" s="400"/>
      <c r="R138" s="401"/>
      <c r="S138" s="13">
        <f>3*365</f>
        <v>1095</v>
      </c>
      <c r="T138" s="9">
        <f t="shared" si="136"/>
        <v>91.25</v>
      </c>
      <c r="U138" s="11">
        <f t="shared" si="137"/>
        <v>3</v>
      </c>
      <c r="V138" s="39">
        <f t="shared" si="133"/>
        <v>9.0909090909090917</v>
      </c>
      <c r="W138" s="11">
        <f t="shared" si="128"/>
        <v>87.600000000000009</v>
      </c>
      <c r="X138" s="424"/>
      <c r="Y138" s="11">
        <f t="shared" si="129"/>
        <v>72.707999999999998</v>
      </c>
      <c r="Z138" s="403"/>
      <c r="AA138" s="42">
        <f t="shared" si="134"/>
        <v>2.1128105046562444</v>
      </c>
      <c r="AB138" s="406"/>
      <c r="AC138" s="409"/>
      <c r="AD138" s="412"/>
      <c r="AE138" s="409"/>
      <c r="AF138" s="45">
        <v>400</v>
      </c>
      <c r="AG138" s="8">
        <f t="shared" si="130"/>
        <v>29083.200000000001</v>
      </c>
      <c r="AH138" s="8"/>
      <c r="AI138" s="8"/>
      <c r="AJ138" s="8">
        <f t="shared" si="131"/>
        <v>26.560000000000002</v>
      </c>
      <c r="AK138" s="8">
        <f t="shared" si="138"/>
        <v>79.680000000000007</v>
      </c>
      <c r="AL138" s="8">
        <f t="shared" si="132"/>
        <v>46.214399999999991</v>
      </c>
      <c r="AM138" s="8">
        <f t="shared" si="135"/>
        <v>16868.255999999998</v>
      </c>
      <c r="AN138" s="8">
        <f t="shared" si="139"/>
        <v>1709.9327999999996</v>
      </c>
      <c r="AO138" s="8">
        <f t="shared" si="140"/>
        <v>7.718446666666664E-3</v>
      </c>
      <c r="AP138" s="8">
        <f t="shared" si="141"/>
        <v>185.24271999999993</v>
      </c>
      <c r="AQ138" s="381"/>
      <c r="AR138" s="397"/>
      <c r="AS138" s="397"/>
    </row>
    <row r="139" spans="2:45" ht="29.4" thickBot="1" x14ac:dyDescent="0.35">
      <c r="B139" s="441"/>
      <c r="C139" s="417"/>
      <c r="D139" s="88" t="s">
        <v>13</v>
      </c>
      <c r="E139" s="26" t="s">
        <v>156</v>
      </c>
      <c r="F139" s="24" t="s">
        <v>112</v>
      </c>
      <c r="G139" s="49" t="s">
        <v>37</v>
      </c>
      <c r="H139" s="50" t="s">
        <v>38</v>
      </c>
      <c r="I139" s="51">
        <v>40</v>
      </c>
      <c r="J139" s="50" t="s">
        <v>39</v>
      </c>
      <c r="K139" s="51">
        <v>97</v>
      </c>
      <c r="L139" s="50" t="s">
        <v>50</v>
      </c>
      <c r="M139" s="51">
        <v>69</v>
      </c>
      <c r="N139" s="50" t="s">
        <v>35</v>
      </c>
      <c r="O139" s="50"/>
      <c r="P139" s="50"/>
      <c r="Q139" s="399" t="s">
        <v>36</v>
      </c>
      <c r="R139" s="399"/>
      <c r="S139" s="12">
        <f>19*365</f>
        <v>6935</v>
      </c>
      <c r="T139" s="9">
        <f t="shared" si="136"/>
        <v>577.91666666666663</v>
      </c>
      <c r="U139" s="11">
        <f t="shared" si="137"/>
        <v>19</v>
      </c>
      <c r="V139" s="39">
        <f t="shared" si="133"/>
        <v>57.575757575757571</v>
      </c>
      <c r="W139" s="11">
        <f t="shared" si="128"/>
        <v>2774</v>
      </c>
      <c r="X139" s="424"/>
      <c r="Y139" s="11">
        <f t="shared" si="129"/>
        <v>2690.7799999999997</v>
      </c>
      <c r="Z139" s="403"/>
      <c r="AA139" s="42">
        <f t="shared" si="134"/>
        <v>78.190959037780289</v>
      </c>
      <c r="AB139" s="406"/>
      <c r="AC139" s="409"/>
      <c r="AD139" s="412"/>
      <c r="AE139" s="409"/>
      <c r="AF139" s="45">
        <v>500</v>
      </c>
      <c r="AG139" s="8">
        <f t="shared" si="130"/>
        <v>1345389.9999999998</v>
      </c>
      <c r="AH139" s="8"/>
      <c r="AI139" s="8"/>
      <c r="AJ139" s="8">
        <f t="shared" si="131"/>
        <v>193.99999999999997</v>
      </c>
      <c r="AK139" s="8">
        <f t="shared" si="138"/>
        <v>3685.9999999999995</v>
      </c>
      <c r="AL139" s="8">
        <f t="shared" si="132"/>
        <v>2543.3399999999992</v>
      </c>
      <c r="AM139" s="8">
        <f t="shared" si="135"/>
        <v>928319.09999999974</v>
      </c>
      <c r="AN139" s="8">
        <f t="shared" si="139"/>
        <v>94103.579999999973</v>
      </c>
      <c r="AO139" s="8">
        <f t="shared" si="140"/>
        <v>0.42477310416666653</v>
      </c>
      <c r="AP139" s="8">
        <f t="shared" si="141"/>
        <v>10194.554499999997</v>
      </c>
      <c r="AQ139" s="381"/>
      <c r="AR139" s="397"/>
      <c r="AS139" s="397"/>
    </row>
    <row r="140" spans="2:45" ht="29.4" thickBot="1" x14ac:dyDescent="0.35">
      <c r="B140" s="441"/>
      <c r="C140" s="417"/>
      <c r="D140" s="88" t="s">
        <v>14</v>
      </c>
      <c r="E140" s="25" t="s">
        <v>55</v>
      </c>
      <c r="F140" s="2"/>
      <c r="G140" s="49" t="s">
        <v>80</v>
      </c>
      <c r="H140" s="50" t="s">
        <v>56</v>
      </c>
      <c r="I140" s="51">
        <v>22</v>
      </c>
      <c r="J140" s="50" t="s">
        <v>30</v>
      </c>
      <c r="K140" s="51">
        <v>90</v>
      </c>
      <c r="L140" s="50" t="s">
        <v>57</v>
      </c>
      <c r="M140" s="51">
        <v>54</v>
      </c>
      <c r="N140" s="50">
        <v>1.5</v>
      </c>
      <c r="O140" s="50"/>
      <c r="P140" s="50"/>
      <c r="Q140" s="399" t="s">
        <v>72</v>
      </c>
      <c r="R140" s="399"/>
      <c r="S140" s="12">
        <f>5*365</f>
        <v>1825</v>
      </c>
      <c r="T140" s="9">
        <f t="shared" si="136"/>
        <v>152.08333333333334</v>
      </c>
      <c r="U140" s="11">
        <f t="shared" si="137"/>
        <v>5</v>
      </c>
      <c r="V140" s="39">
        <f t="shared" si="133"/>
        <v>15.151515151515152</v>
      </c>
      <c r="W140" s="11">
        <f t="shared" si="128"/>
        <v>401.5</v>
      </c>
      <c r="X140" s="424"/>
      <c r="Y140" s="11">
        <f t="shared" si="129"/>
        <v>361.35</v>
      </c>
      <c r="Z140" s="403"/>
      <c r="AA140" s="42">
        <f t="shared" si="134"/>
        <v>10.500413652659045</v>
      </c>
      <c r="AB140" s="406"/>
      <c r="AC140" s="409"/>
      <c r="AD140" s="412"/>
      <c r="AE140" s="409"/>
      <c r="AF140" s="45">
        <v>170</v>
      </c>
      <c r="AG140" s="8">
        <f t="shared" si="130"/>
        <v>61429.500000000007</v>
      </c>
      <c r="AH140" s="8"/>
      <c r="AI140" s="8"/>
      <c r="AJ140" s="8">
        <f t="shared" si="131"/>
        <v>33.660000000000004</v>
      </c>
      <c r="AK140" s="8">
        <f t="shared" si="138"/>
        <v>168.3</v>
      </c>
      <c r="AL140" s="8">
        <f t="shared" si="132"/>
        <v>90.882000000000019</v>
      </c>
      <c r="AM140" s="8">
        <f t="shared" si="135"/>
        <v>33171.930000000008</v>
      </c>
      <c r="AN140" s="8">
        <f t="shared" si="139"/>
        <v>3362.6340000000009</v>
      </c>
      <c r="AO140" s="8">
        <f t="shared" si="140"/>
        <v>1.5178556250000006E-2</v>
      </c>
      <c r="AP140" s="8">
        <f t="shared" si="141"/>
        <v>364.28535000000016</v>
      </c>
      <c r="AQ140" s="381"/>
      <c r="AR140" s="397"/>
      <c r="AS140" s="397"/>
    </row>
    <row r="141" spans="2:45" ht="15" thickBot="1" x14ac:dyDescent="0.35">
      <c r="B141" s="441"/>
      <c r="C141" s="417"/>
      <c r="D141" s="88" t="s">
        <v>15</v>
      </c>
      <c r="E141" s="25" t="s">
        <v>7</v>
      </c>
      <c r="F141" s="2"/>
      <c r="G141" s="49">
        <v>5.7</v>
      </c>
      <c r="H141" s="58" t="s">
        <v>51</v>
      </c>
      <c r="I141" s="51">
        <v>21</v>
      </c>
      <c r="J141" s="50" t="s">
        <v>32</v>
      </c>
      <c r="K141" s="51">
        <v>65</v>
      </c>
      <c r="L141" s="50" t="s">
        <v>52</v>
      </c>
      <c r="M141" s="51">
        <v>58</v>
      </c>
      <c r="N141" s="50"/>
      <c r="O141" s="50"/>
      <c r="P141" s="50"/>
      <c r="Q141" s="399" t="e">
        <f>O141/N141</f>
        <v>#DIV/0!</v>
      </c>
      <c r="R141" s="399"/>
      <c r="S141" s="12"/>
      <c r="T141" s="9">
        <f t="shared" si="136"/>
        <v>0</v>
      </c>
      <c r="U141" s="11">
        <f t="shared" si="137"/>
        <v>0</v>
      </c>
      <c r="V141" s="39">
        <f t="shared" si="133"/>
        <v>0</v>
      </c>
      <c r="W141" s="11">
        <f t="shared" si="128"/>
        <v>0</v>
      </c>
      <c r="X141" s="424"/>
      <c r="Y141" s="11">
        <f t="shared" si="129"/>
        <v>0</v>
      </c>
      <c r="Z141" s="403"/>
      <c r="AA141" s="42">
        <f t="shared" si="134"/>
        <v>0</v>
      </c>
      <c r="AB141" s="406"/>
      <c r="AC141" s="409"/>
      <c r="AD141" s="412"/>
      <c r="AE141" s="409"/>
      <c r="AF141" s="45">
        <v>580</v>
      </c>
      <c r="AG141" s="8">
        <f t="shared" si="130"/>
        <v>0</v>
      </c>
      <c r="AH141" s="8"/>
      <c r="AI141" s="8"/>
      <c r="AJ141" s="8">
        <f t="shared" si="131"/>
        <v>0</v>
      </c>
      <c r="AK141" s="8">
        <f t="shared" si="138"/>
        <v>0</v>
      </c>
      <c r="AL141" s="8">
        <f t="shared" si="132"/>
        <v>0</v>
      </c>
      <c r="AM141" s="8">
        <f t="shared" si="135"/>
        <v>0</v>
      </c>
      <c r="AN141" s="8">
        <f t="shared" si="139"/>
        <v>0</v>
      </c>
      <c r="AO141" s="8">
        <f t="shared" si="140"/>
        <v>0</v>
      </c>
      <c r="AP141" s="8">
        <f t="shared" si="141"/>
        <v>0</v>
      </c>
      <c r="AQ141" s="381"/>
      <c r="AR141" s="397"/>
      <c r="AS141" s="397"/>
    </row>
    <row r="142" spans="2:45" ht="58.2" thickBot="1" x14ac:dyDescent="0.35">
      <c r="B142" s="441"/>
      <c r="C142" s="418"/>
      <c r="D142" s="88" t="s">
        <v>16</v>
      </c>
      <c r="E142" s="25" t="s">
        <v>53</v>
      </c>
      <c r="F142" s="2"/>
      <c r="G142" s="59"/>
      <c r="H142" s="60" t="s">
        <v>28</v>
      </c>
      <c r="I142" s="61">
        <v>16</v>
      </c>
      <c r="J142" s="60" t="s">
        <v>34</v>
      </c>
      <c r="K142" s="61">
        <v>85</v>
      </c>
      <c r="L142" s="60" t="s">
        <v>54</v>
      </c>
      <c r="M142" s="61">
        <v>52</v>
      </c>
      <c r="N142" s="60" t="s">
        <v>76</v>
      </c>
      <c r="O142" s="60"/>
      <c r="P142" s="60"/>
      <c r="Q142" s="427" t="e">
        <f>O142/N142</f>
        <v>#VALUE!</v>
      </c>
      <c r="R142" s="427"/>
      <c r="S142" s="14"/>
      <c r="T142" s="9">
        <f t="shared" si="136"/>
        <v>0</v>
      </c>
      <c r="U142" s="9">
        <f t="shared" si="137"/>
        <v>0</v>
      </c>
      <c r="V142" s="21">
        <f t="shared" ref="V142" si="142">(T142*100)/$T$128</f>
        <v>0</v>
      </c>
      <c r="W142" s="11">
        <f t="shared" si="128"/>
        <v>0</v>
      </c>
      <c r="X142" s="425"/>
      <c r="Y142" s="35">
        <f t="shared" si="129"/>
        <v>0</v>
      </c>
      <c r="Z142" s="404"/>
      <c r="AA142" s="43">
        <f t="shared" si="134"/>
        <v>0</v>
      </c>
      <c r="AB142" s="407"/>
      <c r="AC142" s="410"/>
      <c r="AD142" s="413"/>
      <c r="AE142" s="410"/>
      <c r="AF142" s="46">
        <v>700</v>
      </c>
      <c r="AG142" s="36">
        <f t="shared" si="130"/>
        <v>0</v>
      </c>
      <c r="AH142" s="36"/>
      <c r="AI142" s="36"/>
      <c r="AJ142" s="36">
        <f t="shared" si="131"/>
        <v>0</v>
      </c>
      <c r="AK142" s="36">
        <f t="shared" si="138"/>
        <v>0</v>
      </c>
      <c r="AL142" s="36">
        <f t="shared" si="132"/>
        <v>0</v>
      </c>
      <c r="AM142" s="36">
        <f t="shared" si="135"/>
        <v>0</v>
      </c>
      <c r="AN142" s="36">
        <f t="shared" si="139"/>
        <v>0</v>
      </c>
      <c r="AO142" s="36">
        <f t="shared" si="140"/>
        <v>0</v>
      </c>
      <c r="AP142" s="36">
        <f t="shared" si="141"/>
        <v>0</v>
      </c>
      <c r="AQ142" s="415"/>
      <c r="AR142" s="398"/>
      <c r="AS142" s="398"/>
    </row>
    <row r="143" spans="2:45" ht="18" x14ac:dyDescent="0.3">
      <c r="B143" s="441"/>
      <c r="S143" s="17">
        <f t="shared" ref="S143:W143" si="143">SUM(S131:S142)</f>
        <v>12045</v>
      </c>
      <c r="T143" s="17">
        <f t="shared" si="143"/>
        <v>1003.75</v>
      </c>
      <c r="U143" s="17">
        <f t="shared" si="143"/>
        <v>33</v>
      </c>
      <c r="V143" s="17">
        <f t="shared" si="143"/>
        <v>100</v>
      </c>
      <c r="W143" s="16">
        <f t="shared" si="143"/>
        <v>3624.45</v>
      </c>
      <c r="X143" s="16"/>
      <c r="Y143" s="16">
        <f>SUM(Y131:Y142)</f>
        <v>3441.2929999999997</v>
      </c>
      <c r="Z143" s="16"/>
      <c r="AA143" s="16">
        <f>SUM(AA131:AA142)</f>
        <v>100.00000000000001</v>
      </c>
      <c r="AB143" s="16"/>
      <c r="AC143" s="16"/>
      <c r="AD143" s="16"/>
      <c r="AE143" s="16"/>
      <c r="AF143" s="16"/>
      <c r="AG143" s="16">
        <f>SUM(AG131:AG142)</f>
        <v>1595279.9499999997</v>
      </c>
      <c r="AH143" s="16"/>
      <c r="AI143" s="16"/>
      <c r="AJ143" s="16"/>
      <c r="AK143" s="16">
        <f t="shared" ref="AK143:AP143" si="144">SUM(AK131:AK142)</f>
        <v>4370.63</v>
      </c>
      <c r="AL143" s="18">
        <f t="shared" si="144"/>
        <v>2938.5863999999992</v>
      </c>
      <c r="AM143" s="18">
        <f t="shared" si="144"/>
        <v>1072584.0359999996</v>
      </c>
      <c r="AN143" s="16">
        <f t="shared" si="144"/>
        <v>108727.69679999998</v>
      </c>
      <c r="AO143" s="16">
        <f t="shared" si="144"/>
        <v>0.49078474249999987</v>
      </c>
      <c r="AP143" s="16">
        <f t="shared" si="144"/>
        <v>11778.833819999996</v>
      </c>
      <c r="AQ143" s="16"/>
      <c r="AR143" s="16"/>
    </row>
    <row r="144" spans="2:45" x14ac:dyDescent="0.3">
      <c r="B144" s="441"/>
    </row>
    <row r="145" spans="2:45" ht="15" thickBot="1" x14ac:dyDescent="0.35">
      <c r="B145" s="441"/>
    </row>
    <row r="146" spans="2:45" ht="15" thickBot="1" x14ac:dyDescent="0.35">
      <c r="B146" s="441"/>
      <c r="C146" s="416" t="s">
        <v>149</v>
      </c>
      <c r="D146" s="419" t="s">
        <v>9</v>
      </c>
      <c r="E146" s="25" t="s">
        <v>17</v>
      </c>
      <c r="F146" s="2"/>
      <c r="G146" s="62">
        <v>8.1</v>
      </c>
      <c r="H146" s="51" t="s">
        <v>42</v>
      </c>
      <c r="I146" s="51">
        <v>17</v>
      </c>
      <c r="J146" s="51" t="s">
        <v>43</v>
      </c>
      <c r="K146" s="51">
        <v>72</v>
      </c>
      <c r="L146" s="51">
        <v>58</v>
      </c>
      <c r="M146" s="51">
        <v>55</v>
      </c>
      <c r="N146" s="51">
        <v>1.77</v>
      </c>
      <c r="O146" s="51">
        <v>35.69</v>
      </c>
      <c r="P146" s="48"/>
      <c r="Q146" s="422">
        <f>O146/N146</f>
        <v>20.163841807909602</v>
      </c>
      <c r="R146" s="422"/>
      <c r="S146" s="29"/>
      <c r="T146" s="28">
        <f>S146/12</f>
        <v>0</v>
      </c>
      <c r="U146" s="31">
        <f>S146/365</f>
        <v>0</v>
      </c>
      <c r="V146" s="38">
        <f>(T146*100)/$T$158</f>
        <v>0</v>
      </c>
      <c r="W146" s="31">
        <f t="shared" ref="W146:W157" si="145">I146%*S146</f>
        <v>0</v>
      </c>
      <c r="X146" s="423">
        <f>W158/365</f>
        <v>19.52</v>
      </c>
      <c r="Y146" s="31">
        <f t="shared" ref="Y146:Y157" si="146">W146*K146%</f>
        <v>0</v>
      </c>
      <c r="Z146" s="402">
        <f>Y158/365</f>
        <v>16.627999999999997</v>
      </c>
      <c r="AA146" s="41">
        <f>(Y146*100)/$Y$158</f>
        <v>0</v>
      </c>
      <c r="AB146" s="405">
        <v>5.5</v>
      </c>
      <c r="AC146" s="408">
        <f>(X146-AB146)/X146</f>
        <v>0.71823770491803274</v>
      </c>
      <c r="AD146" s="411">
        <v>11</v>
      </c>
      <c r="AE146" s="408">
        <f>(Z146-AD146)/Z146</f>
        <v>0.33846523935530415</v>
      </c>
      <c r="AF146" s="47">
        <v>280</v>
      </c>
      <c r="AG146" s="32">
        <f t="shared" ref="AG146:AG157" si="147">Y146*AF146</f>
        <v>0</v>
      </c>
      <c r="AH146" s="32"/>
      <c r="AI146" s="32"/>
      <c r="AJ146" s="32">
        <f t="shared" ref="AJ146:AJ157" si="148">IFERROR(AG146/S146,0)</f>
        <v>0</v>
      </c>
      <c r="AK146" s="32">
        <f>AG146/365</f>
        <v>0</v>
      </c>
      <c r="AL146" s="32">
        <f t="shared" ref="AL146:AL157" si="149">IFERROR(AG146*M146%/365,0)</f>
        <v>0</v>
      </c>
      <c r="AM146" s="32">
        <f>AL146*365</f>
        <v>0</v>
      </c>
      <c r="AN146" s="32">
        <f>AL146*37</f>
        <v>0</v>
      </c>
      <c r="AO146" s="32">
        <f>AN146/3600/24*0.39</f>
        <v>0</v>
      </c>
      <c r="AP146" s="32">
        <f>AO146*1000*24</f>
        <v>0</v>
      </c>
      <c r="AQ146" s="414">
        <v>10000000</v>
      </c>
      <c r="AR146" s="396">
        <f>(Z146*1000)/3.7</f>
        <v>4494.0540540540533</v>
      </c>
      <c r="AS146" s="396">
        <f>AR146/U158</f>
        <v>51.655793724759235</v>
      </c>
    </row>
    <row r="147" spans="2:45" ht="29.4" thickBot="1" x14ac:dyDescent="0.35">
      <c r="B147" s="441"/>
      <c r="C147" s="417"/>
      <c r="D147" s="420"/>
      <c r="E147" s="25" t="s">
        <v>45</v>
      </c>
      <c r="F147" s="2"/>
      <c r="G147" s="49">
        <v>5.09</v>
      </c>
      <c r="H147" s="50" t="s">
        <v>46</v>
      </c>
      <c r="I147" s="51">
        <v>33</v>
      </c>
      <c r="J147" s="52" t="s">
        <v>47</v>
      </c>
      <c r="K147" s="51">
        <v>57</v>
      </c>
      <c r="L147" s="50">
        <v>55</v>
      </c>
      <c r="M147" s="51">
        <v>55</v>
      </c>
      <c r="N147" s="50">
        <v>4.33</v>
      </c>
      <c r="O147" s="50">
        <v>42.82</v>
      </c>
      <c r="P147" s="50"/>
      <c r="Q147" s="399">
        <f>O147/N147</f>
        <v>9.8891454965357966</v>
      </c>
      <c r="R147" s="399"/>
      <c r="S147" s="12">
        <f>5*365</f>
        <v>1825</v>
      </c>
      <c r="T147" s="9">
        <f>S147/12</f>
        <v>152.08333333333334</v>
      </c>
      <c r="U147" s="11">
        <f>S147/365</f>
        <v>5</v>
      </c>
      <c r="V147" s="39">
        <f t="shared" ref="V147:V157" si="150">(T147*100)/$T$158</f>
        <v>5.7471264367816097</v>
      </c>
      <c r="W147" s="11">
        <f t="shared" si="145"/>
        <v>602.25</v>
      </c>
      <c r="X147" s="424"/>
      <c r="Y147" s="11">
        <f t="shared" si="146"/>
        <v>343.28249999999997</v>
      </c>
      <c r="Z147" s="403"/>
      <c r="AA147" s="42">
        <f t="shared" ref="AA147:AA157" si="151">(Y147*100)/$Y$158</f>
        <v>5.6561222035121492</v>
      </c>
      <c r="AB147" s="406"/>
      <c r="AC147" s="409"/>
      <c r="AD147" s="412"/>
      <c r="AE147" s="409"/>
      <c r="AF147" s="45">
        <v>300</v>
      </c>
      <c r="AG147" s="8">
        <f t="shared" si="147"/>
        <v>102984.74999999999</v>
      </c>
      <c r="AH147" s="8"/>
      <c r="AI147" s="8"/>
      <c r="AJ147" s="8">
        <f t="shared" si="148"/>
        <v>56.429999999999993</v>
      </c>
      <c r="AK147" s="8">
        <f>AG147/365</f>
        <v>282.14999999999998</v>
      </c>
      <c r="AL147" s="8">
        <f t="shared" si="149"/>
        <v>155.18249999999998</v>
      </c>
      <c r="AM147" s="8">
        <f t="shared" ref="AM147:AM157" si="152">AL147*365</f>
        <v>56641.612499999988</v>
      </c>
      <c r="AN147" s="8">
        <f>AL147*37</f>
        <v>5741.7524999999987</v>
      </c>
      <c r="AO147" s="8">
        <f>AN147/3600/24*0.39</f>
        <v>2.5917632812499994E-2</v>
      </c>
      <c r="AP147" s="8">
        <f>AO147*1000*24</f>
        <v>622.02318749999995</v>
      </c>
      <c r="AQ147" s="381"/>
      <c r="AR147" s="397"/>
      <c r="AS147" s="397"/>
    </row>
    <row r="148" spans="2:45" ht="15" thickBot="1" x14ac:dyDescent="0.35">
      <c r="B148" s="441"/>
      <c r="C148" s="417"/>
      <c r="D148" s="421"/>
      <c r="E148" s="25" t="s">
        <v>6</v>
      </c>
      <c r="F148" s="2"/>
      <c r="G148" s="49">
        <v>7.8</v>
      </c>
      <c r="H148" s="50" t="s">
        <v>48</v>
      </c>
      <c r="I148" s="51">
        <v>20</v>
      </c>
      <c r="J148" s="50" t="s">
        <v>154</v>
      </c>
      <c r="K148" s="51">
        <v>68</v>
      </c>
      <c r="L148" s="50">
        <v>58</v>
      </c>
      <c r="M148" s="51">
        <v>60</v>
      </c>
      <c r="N148" s="50">
        <v>2.15</v>
      </c>
      <c r="O148" s="50">
        <v>38.4</v>
      </c>
      <c r="P148" s="50"/>
      <c r="Q148" s="399">
        <f>O148/N148</f>
        <v>17.86046511627907</v>
      </c>
      <c r="R148" s="399"/>
      <c r="S148" s="12"/>
      <c r="T148" s="9">
        <f>S148/12</f>
        <v>0</v>
      </c>
      <c r="U148" s="11">
        <f>S148/365</f>
        <v>0</v>
      </c>
      <c r="V148" s="39">
        <f t="shared" si="150"/>
        <v>0</v>
      </c>
      <c r="W148" s="11">
        <f t="shared" si="145"/>
        <v>0</v>
      </c>
      <c r="X148" s="424"/>
      <c r="Y148" s="11">
        <f t="shared" si="146"/>
        <v>0</v>
      </c>
      <c r="Z148" s="403"/>
      <c r="AA148" s="42">
        <f t="shared" si="151"/>
        <v>0</v>
      </c>
      <c r="AB148" s="406"/>
      <c r="AC148" s="409"/>
      <c r="AD148" s="412"/>
      <c r="AE148" s="409"/>
      <c r="AF148" s="45">
        <v>280</v>
      </c>
      <c r="AG148" s="8">
        <f t="shared" si="147"/>
        <v>0</v>
      </c>
      <c r="AH148" s="8"/>
      <c r="AI148" s="8"/>
      <c r="AJ148" s="8">
        <f t="shared" si="148"/>
        <v>0</v>
      </c>
      <c r="AK148" s="8">
        <f>AG148/365</f>
        <v>0</v>
      </c>
      <c r="AL148" s="8">
        <f t="shared" si="149"/>
        <v>0</v>
      </c>
      <c r="AM148" s="8">
        <f t="shared" si="152"/>
        <v>0</v>
      </c>
      <c r="AN148" s="8">
        <f>AL148*37</f>
        <v>0</v>
      </c>
      <c r="AO148" s="8">
        <f>AN148/3600/24*0.39</f>
        <v>0</v>
      </c>
      <c r="AP148" s="8">
        <f>AO148*1000*24</f>
        <v>0</v>
      </c>
      <c r="AQ148" s="381"/>
      <c r="AR148" s="397"/>
      <c r="AS148" s="397"/>
    </row>
    <row r="149" spans="2:45" ht="15" thickBot="1" x14ac:dyDescent="0.35">
      <c r="B149" s="441"/>
      <c r="C149" s="417"/>
      <c r="D149" s="88" t="s">
        <v>10</v>
      </c>
      <c r="E149" s="25" t="s">
        <v>18</v>
      </c>
      <c r="F149" s="2"/>
      <c r="G149" s="53" t="s">
        <v>22</v>
      </c>
      <c r="H149" s="54" t="s">
        <v>20</v>
      </c>
      <c r="I149" s="51">
        <v>8</v>
      </c>
      <c r="J149" s="52" t="s">
        <v>23</v>
      </c>
      <c r="K149" s="51">
        <v>80</v>
      </c>
      <c r="L149" s="52" t="s">
        <v>44</v>
      </c>
      <c r="M149" s="51">
        <v>50</v>
      </c>
      <c r="N149" s="55" t="s">
        <v>24</v>
      </c>
      <c r="O149" s="50"/>
      <c r="P149" s="50"/>
      <c r="Q149" s="399">
        <f>O149/N149</f>
        <v>0</v>
      </c>
      <c r="R149" s="399"/>
      <c r="S149" s="12"/>
      <c r="T149" s="9">
        <f t="shared" ref="T149:T157" si="153">S149/12</f>
        <v>0</v>
      </c>
      <c r="U149" s="11">
        <f t="shared" ref="U149:U157" si="154">S149/365</f>
        <v>0</v>
      </c>
      <c r="V149" s="39">
        <f t="shared" si="150"/>
        <v>0</v>
      </c>
      <c r="W149" s="11">
        <f t="shared" si="145"/>
        <v>0</v>
      </c>
      <c r="X149" s="424"/>
      <c r="Y149" s="11">
        <f t="shared" si="146"/>
        <v>0</v>
      </c>
      <c r="Z149" s="403"/>
      <c r="AA149" s="42">
        <f t="shared" si="151"/>
        <v>0</v>
      </c>
      <c r="AB149" s="406"/>
      <c r="AC149" s="409"/>
      <c r="AD149" s="412"/>
      <c r="AE149" s="409"/>
      <c r="AF149" s="45">
        <v>200</v>
      </c>
      <c r="AG149" s="8">
        <f t="shared" si="147"/>
        <v>0</v>
      </c>
      <c r="AH149" s="8"/>
      <c r="AI149" s="8"/>
      <c r="AJ149" s="8">
        <f t="shared" si="148"/>
        <v>0</v>
      </c>
      <c r="AK149" s="8">
        <f t="shared" ref="AK149:AK157" si="155">AG149/365</f>
        <v>0</v>
      </c>
      <c r="AL149" s="8">
        <f t="shared" si="149"/>
        <v>0</v>
      </c>
      <c r="AM149" s="8">
        <f t="shared" si="152"/>
        <v>0</v>
      </c>
      <c r="AN149" s="8">
        <f t="shared" ref="AN149:AN157" si="156">AL149*37</f>
        <v>0</v>
      </c>
      <c r="AO149" s="8">
        <f t="shared" ref="AO149:AO157" si="157">AN149/3600/24*0.39</f>
        <v>0</v>
      </c>
      <c r="AP149" s="8">
        <f t="shared" ref="AP149:AP157" si="158">AO149*1000*24</f>
        <v>0</v>
      </c>
      <c r="AQ149" s="381"/>
      <c r="AR149" s="397"/>
      <c r="AS149" s="397"/>
    </row>
    <row r="150" spans="2:45" ht="30.45" customHeight="1" thickBot="1" x14ac:dyDescent="0.35">
      <c r="B150" s="441"/>
      <c r="C150" s="417"/>
      <c r="D150" s="88" t="s">
        <v>11</v>
      </c>
      <c r="E150" s="27" t="s">
        <v>58</v>
      </c>
      <c r="F150" s="24"/>
      <c r="G150" s="56" t="s">
        <v>67</v>
      </c>
      <c r="H150" s="50" t="s">
        <v>59</v>
      </c>
      <c r="I150" s="51">
        <v>12</v>
      </c>
      <c r="J150" s="50">
        <v>89</v>
      </c>
      <c r="K150" s="51">
        <v>89</v>
      </c>
      <c r="L150" s="50" t="s">
        <v>57</v>
      </c>
      <c r="M150" s="51">
        <v>51</v>
      </c>
      <c r="N150" s="50">
        <v>1.4</v>
      </c>
      <c r="O150" s="50"/>
      <c r="P150" s="50"/>
      <c r="Q150" s="399" t="s">
        <v>70</v>
      </c>
      <c r="R150" s="399"/>
      <c r="S150" s="12"/>
      <c r="T150" s="9">
        <f t="shared" si="153"/>
        <v>0</v>
      </c>
      <c r="U150" s="11">
        <f t="shared" si="154"/>
        <v>0</v>
      </c>
      <c r="V150" s="39">
        <f t="shared" si="150"/>
        <v>0</v>
      </c>
      <c r="W150" s="11">
        <f t="shared" si="145"/>
        <v>0</v>
      </c>
      <c r="X150" s="424"/>
      <c r="Y150" s="11">
        <f t="shared" si="146"/>
        <v>0</v>
      </c>
      <c r="Z150" s="403"/>
      <c r="AA150" s="42">
        <f t="shared" si="151"/>
        <v>0</v>
      </c>
      <c r="AB150" s="406"/>
      <c r="AC150" s="409"/>
      <c r="AD150" s="412"/>
      <c r="AE150" s="409"/>
      <c r="AF150" s="45">
        <v>300</v>
      </c>
      <c r="AG150" s="8">
        <f t="shared" si="147"/>
        <v>0</v>
      </c>
      <c r="AH150" s="8"/>
      <c r="AI150" s="8"/>
      <c r="AJ150" s="8">
        <f t="shared" si="148"/>
        <v>0</v>
      </c>
      <c r="AK150" s="8">
        <f t="shared" si="155"/>
        <v>0</v>
      </c>
      <c r="AL150" s="8">
        <f t="shared" si="149"/>
        <v>0</v>
      </c>
      <c r="AM150" s="8">
        <f t="shared" si="152"/>
        <v>0</v>
      </c>
      <c r="AN150" s="8">
        <f t="shared" si="156"/>
        <v>0</v>
      </c>
      <c r="AO150" s="8">
        <f t="shared" si="157"/>
        <v>0</v>
      </c>
      <c r="AP150" s="8">
        <f t="shared" si="158"/>
        <v>0</v>
      </c>
      <c r="AQ150" s="381"/>
      <c r="AR150" s="397"/>
      <c r="AS150" s="397"/>
    </row>
    <row r="151" spans="2:45" ht="29.4" thickBot="1" x14ac:dyDescent="0.35">
      <c r="B151" s="441"/>
      <c r="C151" s="417"/>
      <c r="D151" s="426" t="s">
        <v>12</v>
      </c>
      <c r="E151" s="27" t="s">
        <v>27</v>
      </c>
      <c r="F151" s="24"/>
      <c r="G151" s="57" t="s">
        <v>29</v>
      </c>
      <c r="H151" s="50" t="s">
        <v>28</v>
      </c>
      <c r="I151" s="51">
        <v>25</v>
      </c>
      <c r="J151" s="50" t="s">
        <v>60</v>
      </c>
      <c r="K151" s="51">
        <v>90</v>
      </c>
      <c r="L151" s="50">
        <v>65</v>
      </c>
      <c r="M151" s="51">
        <v>60</v>
      </c>
      <c r="N151" s="55" t="s">
        <v>61</v>
      </c>
      <c r="O151" s="50"/>
      <c r="P151" s="50"/>
      <c r="Q151" s="399">
        <v>35</v>
      </c>
      <c r="R151" s="399"/>
      <c r="S151" s="12">
        <f>20*365</f>
        <v>7300</v>
      </c>
      <c r="T151" s="9">
        <f t="shared" si="153"/>
        <v>608.33333333333337</v>
      </c>
      <c r="U151" s="11">
        <f t="shared" si="154"/>
        <v>20</v>
      </c>
      <c r="V151" s="39">
        <f t="shared" si="150"/>
        <v>22.988505747126439</v>
      </c>
      <c r="W151" s="11">
        <f t="shared" si="145"/>
        <v>1825</v>
      </c>
      <c r="X151" s="424"/>
      <c r="Y151" s="11">
        <f t="shared" si="146"/>
        <v>1642.5</v>
      </c>
      <c r="Z151" s="403"/>
      <c r="AA151" s="42">
        <f t="shared" si="151"/>
        <v>27.062785662737554</v>
      </c>
      <c r="AB151" s="406"/>
      <c r="AC151" s="409"/>
      <c r="AD151" s="412"/>
      <c r="AE151" s="409"/>
      <c r="AF151" s="45">
        <v>590</v>
      </c>
      <c r="AG151" s="8">
        <f t="shared" si="147"/>
        <v>969075</v>
      </c>
      <c r="AH151" s="8"/>
      <c r="AI151" s="8"/>
      <c r="AJ151" s="8">
        <f t="shared" si="148"/>
        <v>132.75</v>
      </c>
      <c r="AK151" s="8">
        <f t="shared" si="155"/>
        <v>2655</v>
      </c>
      <c r="AL151" s="8">
        <f t="shared" si="149"/>
        <v>1593</v>
      </c>
      <c r="AM151" s="8">
        <f t="shared" si="152"/>
        <v>581445</v>
      </c>
      <c r="AN151" s="8">
        <f t="shared" si="156"/>
        <v>58941</v>
      </c>
      <c r="AO151" s="8">
        <f t="shared" si="157"/>
        <v>0.266053125</v>
      </c>
      <c r="AP151" s="8">
        <f t="shared" si="158"/>
        <v>6385.2750000000005</v>
      </c>
      <c r="AQ151" s="381"/>
      <c r="AR151" s="397"/>
      <c r="AS151" s="397"/>
    </row>
    <row r="152" spans="2:45" ht="29.4" thickBot="1" x14ac:dyDescent="0.35">
      <c r="B152" s="441"/>
      <c r="C152" s="417"/>
      <c r="D152" s="426"/>
      <c r="E152" s="27" t="s">
        <v>158</v>
      </c>
      <c r="F152" s="2"/>
      <c r="G152" s="57" t="s">
        <v>75</v>
      </c>
      <c r="H152" s="50" t="s">
        <v>155</v>
      </c>
      <c r="I152" s="51">
        <v>12</v>
      </c>
      <c r="J152" s="50" t="s">
        <v>62</v>
      </c>
      <c r="K152" s="51">
        <v>85</v>
      </c>
      <c r="L152" s="50" t="s">
        <v>63</v>
      </c>
      <c r="M152" s="51">
        <v>55</v>
      </c>
      <c r="N152" s="50"/>
      <c r="O152" s="50"/>
      <c r="P152" s="50"/>
      <c r="Q152" s="400"/>
      <c r="R152" s="401"/>
      <c r="S152" s="13"/>
      <c r="T152" s="9">
        <f t="shared" si="153"/>
        <v>0</v>
      </c>
      <c r="U152" s="11">
        <f t="shared" si="154"/>
        <v>0</v>
      </c>
      <c r="V152" s="39">
        <f t="shared" si="150"/>
        <v>0</v>
      </c>
      <c r="W152" s="11">
        <f t="shared" si="145"/>
        <v>0</v>
      </c>
      <c r="X152" s="424"/>
      <c r="Y152" s="11">
        <f t="shared" si="146"/>
        <v>0</v>
      </c>
      <c r="Z152" s="403"/>
      <c r="AA152" s="42">
        <f t="shared" si="151"/>
        <v>0</v>
      </c>
      <c r="AB152" s="406"/>
      <c r="AC152" s="409"/>
      <c r="AD152" s="412"/>
      <c r="AE152" s="409"/>
      <c r="AF152" s="45">
        <v>500</v>
      </c>
      <c r="AG152" s="8">
        <f t="shared" si="147"/>
        <v>0</v>
      </c>
      <c r="AH152" s="8"/>
      <c r="AI152" s="8"/>
      <c r="AJ152" s="8">
        <f t="shared" si="148"/>
        <v>0</v>
      </c>
      <c r="AK152" s="8">
        <f t="shared" si="155"/>
        <v>0</v>
      </c>
      <c r="AL152" s="8">
        <f t="shared" si="149"/>
        <v>0</v>
      </c>
      <c r="AM152" s="8">
        <f t="shared" si="152"/>
        <v>0</v>
      </c>
      <c r="AN152" s="8">
        <f t="shared" si="156"/>
        <v>0</v>
      </c>
      <c r="AO152" s="8">
        <f t="shared" si="157"/>
        <v>0</v>
      </c>
      <c r="AP152" s="8">
        <f t="shared" si="158"/>
        <v>0</v>
      </c>
      <c r="AQ152" s="381"/>
      <c r="AR152" s="397"/>
      <c r="AS152" s="397"/>
    </row>
    <row r="153" spans="2:45" ht="29.4" thickBot="1" x14ac:dyDescent="0.35">
      <c r="B153" s="441"/>
      <c r="C153" s="417"/>
      <c r="D153" s="426"/>
      <c r="E153" s="27" t="s">
        <v>64</v>
      </c>
      <c r="F153" s="24"/>
      <c r="G153" s="57" t="s">
        <v>79</v>
      </c>
      <c r="H153" s="55" t="s">
        <v>21</v>
      </c>
      <c r="I153" s="51">
        <v>8</v>
      </c>
      <c r="J153" s="50" t="s">
        <v>65</v>
      </c>
      <c r="K153" s="51">
        <v>83</v>
      </c>
      <c r="L153" s="50" t="s">
        <v>66</v>
      </c>
      <c r="M153" s="51">
        <v>58</v>
      </c>
      <c r="N153" s="55" t="s">
        <v>73</v>
      </c>
      <c r="O153" s="50"/>
      <c r="P153" s="50"/>
      <c r="Q153" s="400"/>
      <c r="R153" s="401"/>
      <c r="S153" s="13">
        <f>5*365</f>
        <v>1825</v>
      </c>
      <c r="T153" s="9">
        <f t="shared" si="153"/>
        <v>152.08333333333334</v>
      </c>
      <c r="U153" s="11">
        <f t="shared" si="154"/>
        <v>5</v>
      </c>
      <c r="V153" s="39">
        <f t="shared" si="150"/>
        <v>5.7471264367816097</v>
      </c>
      <c r="W153" s="11">
        <f t="shared" si="145"/>
        <v>146</v>
      </c>
      <c r="X153" s="424"/>
      <c r="Y153" s="11">
        <f t="shared" si="146"/>
        <v>121.17999999999999</v>
      </c>
      <c r="Z153" s="403"/>
      <c r="AA153" s="42">
        <f t="shared" si="151"/>
        <v>1.9966321866730818</v>
      </c>
      <c r="AB153" s="406"/>
      <c r="AC153" s="409"/>
      <c r="AD153" s="412"/>
      <c r="AE153" s="409"/>
      <c r="AF153" s="45">
        <v>400</v>
      </c>
      <c r="AG153" s="8">
        <f t="shared" si="147"/>
        <v>48472</v>
      </c>
      <c r="AH153" s="8"/>
      <c r="AI153" s="8"/>
      <c r="AJ153" s="8">
        <f t="shared" si="148"/>
        <v>26.56</v>
      </c>
      <c r="AK153" s="8">
        <f t="shared" si="155"/>
        <v>132.80000000000001</v>
      </c>
      <c r="AL153" s="8">
        <f t="shared" si="149"/>
        <v>77.024000000000001</v>
      </c>
      <c r="AM153" s="8">
        <f t="shared" si="152"/>
        <v>28113.760000000002</v>
      </c>
      <c r="AN153" s="8">
        <f t="shared" si="156"/>
        <v>2849.8879999999999</v>
      </c>
      <c r="AO153" s="8">
        <f t="shared" si="157"/>
        <v>1.2864077777777778E-2</v>
      </c>
      <c r="AP153" s="8">
        <f t="shared" si="158"/>
        <v>308.73786666666666</v>
      </c>
      <c r="AQ153" s="381"/>
      <c r="AR153" s="397"/>
      <c r="AS153" s="397"/>
    </row>
    <row r="154" spans="2:45" ht="29.4" thickBot="1" x14ac:dyDescent="0.35">
      <c r="B154" s="441"/>
      <c r="C154" s="417"/>
      <c r="D154" s="88" t="s">
        <v>13</v>
      </c>
      <c r="E154" s="25" t="s">
        <v>78</v>
      </c>
      <c r="F154" s="24"/>
      <c r="G154" s="49" t="s">
        <v>37</v>
      </c>
      <c r="H154" s="50" t="s">
        <v>38</v>
      </c>
      <c r="I154" s="51">
        <v>40</v>
      </c>
      <c r="J154" s="50" t="s">
        <v>39</v>
      </c>
      <c r="K154" s="51">
        <v>97</v>
      </c>
      <c r="L154" s="50" t="s">
        <v>50</v>
      </c>
      <c r="M154" s="51">
        <v>69</v>
      </c>
      <c r="N154" s="50" t="s">
        <v>35</v>
      </c>
      <c r="O154" s="50"/>
      <c r="P154" s="50"/>
      <c r="Q154" s="399" t="s">
        <v>36</v>
      </c>
      <c r="R154" s="399"/>
      <c r="S154" s="12"/>
      <c r="T154" s="9">
        <f t="shared" si="153"/>
        <v>0</v>
      </c>
      <c r="U154" s="11">
        <f t="shared" si="154"/>
        <v>0</v>
      </c>
      <c r="V154" s="39">
        <f t="shared" si="150"/>
        <v>0</v>
      </c>
      <c r="W154" s="11">
        <f t="shared" si="145"/>
        <v>0</v>
      </c>
      <c r="X154" s="424"/>
      <c r="Y154" s="11">
        <f t="shared" si="146"/>
        <v>0</v>
      </c>
      <c r="Z154" s="403"/>
      <c r="AA154" s="42">
        <f t="shared" si="151"/>
        <v>0</v>
      </c>
      <c r="AB154" s="406"/>
      <c r="AC154" s="409"/>
      <c r="AD154" s="412"/>
      <c r="AE154" s="409"/>
      <c r="AF154" s="45">
        <v>500</v>
      </c>
      <c r="AG154" s="8">
        <f t="shared" si="147"/>
        <v>0</v>
      </c>
      <c r="AH154" s="8"/>
      <c r="AI154" s="8"/>
      <c r="AJ154" s="8">
        <f t="shared" si="148"/>
        <v>0</v>
      </c>
      <c r="AK154" s="8">
        <f t="shared" si="155"/>
        <v>0</v>
      </c>
      <c r="AL154" s="8">
        <f t="shared" si="149"/>
        <v>0</v>
      </c>
      <c r="AM154" s="8">
        <f t="shared" si="152"/>
        <v>0</v>
      </c>
      <c r="AN154" s="8">
        <f t="shared" si="156"/>
        <v>0</v>
      </c>
      <c r="AO154" s="8">
        <f t="shared" si="157"/>
        <v>0</v>
      </c>
      <c r="AP154" s="8">
        <f t="shared" si="158"/>
        <v>0</v>
      </c>
      <c r="AQ154" s="381"/>
      <c r="AR154" s="397"/>
      <c r="AS154" s="397"/>
    </row>
    <row r="155" spans="2:45" ht="29.4" thickBot="1" x14ac:dyDescent="0.35">
      <c r="B155" s="441"/>
      <c r="C155" s="417"/>
      <c r="D155" s="88" t="s">
        <v>14</v>
      </c>
      <c r="E155" s="26" t="s">
        <v>55</v>
      </c>
      <c r="F155" s="24" t="s">
        <v>112</v>
      </c>
      <c r="G155" s="49" t="s">
        <v>80</v>
      </c>
      <c r="H155" s="50" t="s">
        <v>56</v>
      </c>
      <c r="I155" s="51">
        <v>22</v>
      </c>
      <c r="J155" s="50" t="s">
        <v>30</v>
      </c>
      <c r="K155" s="51">
        <v>90</v>
      </c>
      <c r="L155" s="50" t="s">
        <v>57</v>
      </c>
      <c r="M155" s="51">
        <v>54</v>
      </c>
      <c r="N155" s="50">
        <v>1.5</v>
      </c>
      <c r="O155" s="50"/>
      <c r="P155" s="50"/>
      <c r="Q155" s="399" t="s">
        <v>72</v>
      </c>
      <c r="R155" s="399"/>
      <c r="S155" s="12">
        <f>50*365</f>
        <v>18250</v>
      </c>
      <c r="T155" s="9">
        <f t="shared" si="153"/>
        <v>1520.8333333333333</v>
      </c>
      <c r="U155" s="11">
        <f t="shared" si="154"/>
        <v>50</v>
      </c>
      <c r="V155" s="39">
        <f t="shared" si="150"/>
        <v>57.471264367816083</v>
      </c>
      <c r="W155" s="11">
        <f t="shared" si="145"/>
        <v>4015</v>
      </c>
      <c r="X155" s="424"/>
      <c r="Y155" s="11">
        <f t="shared" si="146"/>
        <v>3613.5</v>
      </c>
      <c r="Z155" s="403"/>
      <c r="AA155" s="42">
        <f t="shared" si="151"/>
        <v>59.538128458022619</v>
      </c>
      <c r="AB155" s="406"/>
      <c r="AC155" s="409"/>
      <c r="AD155" s="412"/>
      <c r="AE155" s="409"/>
      <c r="AF155" s="45">
        <v>170</v>
      </c>
      <c r="AG155" s="8">
        <f t="shared" si="147"/>
        <v>614295</v>
      </c>
      <c r="AH155" s="8"/>
      <c r="AI155" s="8"/>
      <c r="AJ155" s="8">
        <f t="shared" si="148"/>
        <v>33.659999999999997</v>
      </c>
      <c r="AK155" s="8">
        <f t="shared" si="155"/>
        <v>1683</v>
      </c>
      <c r="AL155" s="8">
        <f t="shared" si="149"/>
        <v>908.82000000000016</v>
      </c>
      <c r="AM155" s="8">
        <f t="shared" si="152"/>
        <v>331719.30000000005</v>
      </c>
      <c r="AN155" s="8">
        <f t="shared" si="156"/>
        <v>33626.340000000004</v>
      </c>
      <c r="AO155" s="8">
        <f t="shared" si="157"/>
        <v>0.15178556250000003</v>
      </c>
      <c r="AP155" s="8">
        <f t="shared" si="158"/>
        <v>3642.8535000000006</v>
      </c>
      <c r="AQ155" s="381"/>
      <c r="AR155" s="397"/>
      <c r="AS155" s="397"/>
    </row>
    <row r="156" spans="2:45" ht="15" thickBot="1" x14ac:dyDescent="0.35">
      <c r="B156" s="441"/>
      <c r="C156" s="417"/>
      <c r="D156" s="88" t="s">
        <v>15</v>
      </c>
      <c r="E156" s="25" t="s">
        <v>7</v>
      </c>
      <c r="F156" s="2"/>
      <c r="G156" s="49">
        <v>5.7</v>
      </c>
      <c r="H156" s="58" t="s">
        <v>51</v>
      </c>
      <c r="I156" s="51">
        <v>21</v>
      </c>
      <c r="J156" s="50" t="s">
        <v>32</v>
      </c>
      <c r="K156" s="51">
        <v>65</v>
      </c>
      <c r="L156" s="50" t="s">
        <v>52</v>
      </c>
      <c r="M156" s="51">
        <v>58</v>
      </c>
      <c r="N156" s="50"/>
      <c r="O156" s="50"/>
      <c r="P156" s="50"/>
      <c r="Q156" s="399" t="e">
        <f>O156/N156</f>
        <v>#DIV/0!</v>
      </c>
      <c r="R156" s="399"/>
      <c r="S156" s="12">
        <f>7*365</f>
        <v>2555</v>
      </c>
      <c r="T156" s="9">
        <f t="shared" si="153"/>
        <v>212.91666666666666</v>
      </c>
      <c r="U156" s="11">
        <f t="shared" si="154"/>
        <v>7</v>
      </c>
      <c r="V156" s="39">
        <f t="shared" si="150"/>
        <v>8.0459770114942515</v>
      </c>
      <c r="W156" s="11">
        <f t="shared" si="145"/>
        <v>536.54999999999995</v>
      </c>
      <c r="X156" s="424"/>
      <c r="Y156" s="11">
        <f t="shared" si="146"/>
        <v>348.75749999999999</v>
      </c>
      <c r="Z156" s="403"/>
      <c r="AA156" s="42">
        <f t="shared" si="151"/>
        <v>5.7463314890546071</v>
      </c>
      <c r="AB156" s="406"/>
      <c r="AC156" s="409"/>
      <c r="AD156" s="412"/>
      <c r="AE156" s="409"/>
      <c r="AF156" s="45">
        <v>580</v>
      </c>
      <c r="AG156" s="8">
        <f t="shared" si="147"/>
        <v>202279.35</v>
      </c>
      <c r="AH156" s="8"/>
      <c r="AI156" s="8"/>
      <c r="AJ156" s="8">
        <f t="shared" si="148"/>
        <v>79.17</v>
      </c>
      <c r="AK156" s="8">
        <f t="shared" si="155"/>
        <v>554.19000000000005</v>
      </c>
      <c r="AL156" s="8">
        <f t="shared" si="149"/>
        <v>321.43020000000001</v>
      </c>
      <c r="AM156" s="8">
        <f t="shared" si="152"/>
        <v>117322.023</v>
      </c>
      <c r="AN156" s="8">
        <f t="shared" si="156"/>
        <v>11892.9174</v>
      </c>
      <c r="AO156" s="8">
        <f t="shared" si="157"/>
        <v>5.3683307708333336E-2</v>
      </c>
      <c r="AP156" s="8">
        <f t="shared" si="158"/>
        <v>1288.3993850000002</v>
      </c>
      <c r="AQ156" s="381"/>
      <c r="AR156" s="397"/>
      <c r="AS156" s="397"/>
    </row>
    <row r="157" spans="2:45" ht="58.2" thickBot="1" x14ac:dyDescent="0.35">
      <c r="B157" s="441"/>
      <c r="C157" s="418"/>
      <c r="D157" s="88" t="s">
        <v>16</v>
      </c>
      <c r="E157" s="25" t="s">
        <v>53</v>
      </c>
      <c r="F157" s="2"/>
      <c r="G157" s="59"/>
      <c r="H157" s="60" t="s">
        <v>28</v>
      </c>
      <c r="I157" s="61">
        <v>16</v>
      </c>
      <c r="J157" s="60" t="s">
        <v>34</v>
      </c>
      <c r="K157" s="61">
        <v>85</v>
      </c>
      <c r="L157" s="60" t="s">
        <v>54</v>
      </c>
      <c r="M157" s="61">
        <v>52</v>
      </c>
      <c r="N157" s="60" t="s">
        <v>76</v>
      </c>
      <c r="O157" s="60"/>
      <c r="P157" s="60"/>
      <c r="Q157" s="427" t="e">
        <f>O157/N157</f>
        <v>#VALUE!</v>
      </c>
      <c r="R157" s="427"/>
      <c r="S157" s="14"/>
      <c r="T157" s="9">
        <f t="shared" si="153"/>
        <v>0</v>
      </c>
      <c r="U157" s="9">
        <f t="shared" si="154"/>
        <v>0</v>
      </c>
      <c r="V157" s="39">
        <f t="shared" si="150"/>
        <v>0</v>
      </c>
      <c r="W157" s="11">
        <f t="shared" si="145"/>
        <v>0</v>
      </c>
      <c r="X157" s="425"/>
      <c r="Y157" s="35">
        <f t="shared" si="146"/>
        <v>0</v>
      </c>
      <c r="Z157" s="404"/>
      <c r="AA157" s="42">
        <f t="shared" si="151"/>
        <v>0</v>
      </c>
      <c r="AB157" s="407"/>
      <c r="AC157" s="410"/>
      <c r="AD157" s="413"/>
      <c r="AE157" s="410"/>
      <c r="AF157" s="46">
        <v>700</v>
      </c>
      <c r="AG157" s="36">
        <f t="shared" si="147"/>
        <v>0</v>
      </c>
      <c r="AH157" s="36"/>
      <c r="AI157" s="36"/>
      <c r="AJ157" s="36">
        <f t="shared" si="148"/>
        <v>0</v>
      </c>
      <c r="AK157" s="36">
        <f t="shared" si="155"/>
        <v>0</v>
      </c>
      <c r="AL157" s="36">
        <f t="shared" si="149"/>
        <v>0</v>
      </c>
      <c r="AM157" s="36">
        <f t="shared" si="152"/>
        <v>0</v>
      </c>
      <c r="AN157" s="36">
        <f t="shared" si="156"/>
        <v>0</v>
      </c>
      <c r="AO157" s="36">
        <f t="shared" si="157"/>
        <v>0</v>
      </c>
      <c r="AP157" s="36">
        <f t="shared" si="158"/>
        <v>0</v>
      </c>
      <c r="AQ157" s="415"/>
      <c r="AR157" s="398"/>
      <c r="AS157" s="398"/>
    </row>
    <row r="158" spans="2:45" ht="18" x14ac:dyDescent="0.3">
      <c r="B158" s="441"/>
      <c r="S158" s="17">
        <f t="shared" ref="S158:W158" si="159">SUM(S146:S157)</f>
        <v>31755</v>
      </c>
      <c r="T158" s="17">
        <f t="shared" si="159"/>
        <v>2646.25</v>
      </c>
      <c r="U158" s="17">
        <f t="shared" si="159"/>
        <v>87</v>
      </c>
      <c r="V158" s="17">
        <f t="shared" si="159"/>
        <v>100</v>
      </c>
      <c r="W158" s="16">
        <f t="shared" si="159"/>
        <v>7124.8</v>
      </c>
      <c r="X158" s="16"/>
      <c r="Y158" s="16">
        <f>SUM(Y146:Y157)</f>
        <v>6069.2199999999993</v>
      </c>
      <c r="Z158" s="16"/>
      <c r="AA158" s="16">
        <f>SUM(AA146:AA157)</f>
        <v>100.00000000000001</v>
      </c>
      <c r="AB158" s="16"/>
      <c r="AC158" s="16"/>
      <c r="AD158" s="16"/>
      <c r="AE158" s="16"/>
      <c r="AF158" s="16"/>
      <c r="AG158" s="16">
        <f>SUM(AG146:AG157)</f>
        <v>1937106.1</v>
      </c>
      <c r="AH158" s="16"/>
      <c r="AI158" s="16"/>
      <c r="AJ158" s="16"/>
      <c r="AK158" s="16">
        <f t="shared" ref="AK158:AP158" si="160">SUM(AK146:AK157)</f>
        <v>5307.1400000000012</v>
      </c>
      <c r="AL158" s="18">
        <f t="shared" si="160"/>
        <v>3055.4566999999997</v>
      </c>
      <c r="AM158" s="18">
        <f t="shared" si="160"/>
        <v>1115241.6955000001</v>
      </c>
      <c r="AN158" s="16">
        <f t="shared" si="160"/>
        <v>113051.89790000001</v>
      </c>
      <c r="AO158" s="16">
        <f t="shared" si="160"/>
        <v>0.51030370579861106</v>
      </c>
      <c r="AP158" s="16">
        <f t="shared" si="160"/>
        <v>12247.288939166669</v>
      </c>
      <c r="AQ158" s="16"/>
      <c r="AR158" s="16"/>
    </row>
    <row r="159" spans="2:45" x14ac:dyDescent="0.3">
      <c r="B159" s="441"/>
    </row>
    <row r="160" spans="2:45" ht="15" thickBot="1" x14ac:dyDescent="0.35">
      <c r="B160" s="441"/>
    </row>
    <row r="161" spans="2:45" ht="15" thickBot="1" x14ac:dyDescent="0.35">
      <c r="B161" s="441"/>
      <c r="C161" s="416" t="s">
        <v>150</v>
      </c>
      <c r="D161" s="419" t="s">
        <v>9</v>
      </c>
      <c r="E161" s="25" t="s">
        <v>17</v>
      </c>
      <c r="F161" s="2"/>
      <c r="G161" s="62">
        <v>8.1</v>
      </c>
      <c r="H161" s="51" t="s">
        <v>42</v>
      </c>
      <c r="I161" s="51">
        <v>17</v>
      </c>
      <c r="J161" s="51" t="s">
        <v>43</v>
      </c>
      <c r="K161" s="51">
        <v>72</v>
      </c>
      <c r="L161" s="51">
        <v>58</v>
      </c>
      <c r="M161" s="51">
        <v>55</v>
      </c>
      <c r="N161" s="51">
        <v>1.77</v>
      </c>
      <c r="O161" s="51">
        <v>35.69</v>
      </c>
      <c r="P161" s="48"/>
      <c r="Q161" s="422">
        <f>O161/N161</f>
        <v>20.163841807909602</v>
      </c>
      <c r="R161" s="422"/>
      <c r="S161" s="29"/>
      <c r="T161" s="28">
        <f>S161/12</f>
        <v>0</v>
      </c>
      <c r="U161" s="31">
        <f>S161/365</f>
        <v>0</v>
      </c>
      <c r="V161" s="38">
        <f>(T161*100)/$T$173</f>
        <v>0</v>
      </c>
      <c r="W161" s="31">
        <f t="shared" ref="W161:W172" si="161">I161%*S161</f>
        <v>0</v>
      </c>
      <c r="X161" s="423">
        <f>W173/365</f>
        <v>14.49</v>
      </c>
      <c r="Y161" s="31">
        <f t="shared" ref="Y161:Y172" si="162">W161*K161%</f>
        <v>0</v>
      </c>
      <c r="Z161" s="402">
        <f>Y173/365</f>
        <v>10.368500000000001</v>
      </c>
      <c r="AA161" s="41">
        <f>(Y161*100)/$Y$173</f>
        <v>0</v>
      </c>
      <c r="AB161" s="405">
        <v>5.5</v>
      </c>
      <c r="AC161" s="408">
        <f>(X161-AB161)/X161</f>
        <v>0.62042788129744653</v>
      </c>
      <c r="AD161" s="411">
        <v>6.5</v>
      </c>
      <c r="AE161" s="408">
        <f>(Z161-AD161)/Z161</f>
        <v>0.37310122004147184</v>
      </c>
      <c r="AF161" s="47">
        <v>280</v>
      </c>
      <c r="AG161" s="32">
        <f t="shared" ref="AG161:AG172" si="163">Y161*AF161</f>
        <v>0</v>
      </c>
      <c r="AH161" s="32"/>
      <c r="AI161" s="32"/>
      <c r="AJ161" s="32">
        <f t="shared" ref="AJ161:AJ172" si="164">IFERROR(AG161/S161,0)</f>
        <v>0</v>
      </c>
      <c r="AK161" s="32">
        <f>AG161/365</f>
        <v>0</v>
      </c>
      <c r="AL161" s="32">
        <f t="shared" ref="AL161:AL172" si="165">IFERROR(AG161*M161%/365,0)</f>
        <v>0</v>
      </c>
      <c r="AM161" s="32">
        <f>AL161*365</f>
        <v>0</v>
      </c>
      <c r="AN161" s="32">
        <f>AL161*37</f>
        <v>0</v>
      </c>
      <c r="AO161" s="32">
        <f>AN161/3600/24*0.39</f>
        <v>0</v>
      </c>
      <c r="AP161" s="32">
        <f>AO161*1000*24</f>
        <v>0</v>
      </c>
      <c r="AQ161" s="414">
        <v>10000000</v>
      </c>
      <c r="AR161" s="396">
        <f>(Z161*1000)/3.7</f>
        <v>2802.2972972972975</v>
      </c>
      <c r="AS161" s="396">
        <f>AR161/U173</f>
        <v>41.825332795482055</v>
      </c>
    </row>
    <row r="162" spans="2:45" ht="29.4" thickBot="1" x14ac:dyDescent="0.35">
      <c r="B162" s="441"/>
      <c r="C162" s="417"/>
      <c r="D162" s="420"/>
      <c r="E162" s="25" t="s">
        <v>45</v>
      </c>
      <c r="F162" s="2"/>
      <c r="G162" s="49">
        <v>5.09</v>
      </c>
      <c r="H162" s="50" t="s">
        <v>46</v>
      </c>
      <c r="I162" s="51">
        <v>33</v>
      </c>
      <c r="J162" s="52" t="s">
        <v>47</v>
      </c>
      <c r="K162" s="51">
        <v>57</v>
      </c>
      <c r="L162" s="50">
        <v>55</v>
      </c>
      <c r="M162" s="51">
        <v>55</v>
      </c>
      <c r="N162" s="50">
        <v>4.33</v>
      </c>
      <c r="O162" s="50">
        <v>42.82</v>
      </c>
      <c r="P162" s="50"/>
      <c r="Q162" s="399">
        <f>O162/N162</f>
        <v>9.8891454965357966</v>
      </c>
      <c r="R162" s="399"/>
      <c r="S162" s="12">
        <f>5*365</f>
        <v>1825</v>
      </c>
      <c r="T162" s="9">
        <f>S162/12</f>
        <v>152.08333333333334</v>
      </c>
      <c r="U162" s="11">
        <f>S162/365</f>
        <v>5</v>
      </c>
      <c r="V162" s="39">
        <f t="shared" ref="V162:V172" si="166">(T162*100)/$T$173</f>
        <v>7.4626865671641793</v>
      </c>
      <c r="W162" s="11">
        <f t="shared" si="161"/>
        <v>602.25</v>
      </c>
      <c r="X162" s="424"/>
      <c r="Y162" s="11">
        <f t="shared" si="162"/>
        <v>343.28249999999997</v>
      </c>
      <c r="Z162" s="403"/>
      <c r="AA162" s="42">
        <f t="shared" ref="AA162:AA172" si="167">(Y162*100)/$Y$173</f>
        <v>9.0707431161691652</v>
      </c>
      <c r="AB162" s="406"/>
      <c r="AC162" s="409"/>
      <c r="AD162" s="412"/>
      <c r="AE162" s="409"/>
      <c r="AF162" s="45">
        <v>300</v>
      </c>
      <c r="AG162" s="8">
        <f t="shared" si="163"/>
        <v>102984.74999999999</v>
      </c>
      <c r="AH162" s="8"/>
      <c r="AI162" s="8"/>
      <c r="AJ162" s="8">
        <f t="shared" si="164"/>
        <v>56.429999999999993</v>
      </c>
      <c r="AK162" s="8">
        <f>AG162/365</f>
        <v>282.14999999999998</v>
      </c>
      <c r="AL162" s="8">
        <f t="shared" si="165"/>
        <v>155.18249999999998</v>
      </c>
      <c r="AM162" s="8">
        <f t="shared" ref="AM162:AM172" si="168">AL162*365</f>
        <v>56641.612499999988</v>
      </c>
      <c r="AN162" s="8">
        <f>AL162*37</f>
        <v>5741.7524999999987</v>
      </c>
      <c r="AO162" s="8">
        <f>AN162/3600/24*0.39</f>
        <v>2.5917632812499994E-2</v>
      </c>
      <c r="AP162" s="8">
        <f>AO162*1000*24</f>
        <v>622.02318749999995</v>
      </c>
      <c r="AQ162" s="381"/>
      <c r="AR162" s="397"/>
      <c r="AS162" s="397"/>
    </row>
    <row r="163" spans="2:45" ht="15" thickBot="1" x14ac:dyDescent="0.35">
      <c r="B163" s="441"/>
      <c r="C163" s="417"/>
      <c r="D163" s="421"/>
      <c r="E163" s="25" t="s">
        <v>6</v>
      </c>
      <c r="F163" s="2"/>
      <c r="G163" s="49">
        <v>7.8</v>
      </c>
      <c r="H163" s="50" t="s">
        <v>48</v>
      </c>
      <c r="I163" s="51">
        <v>20</v>
      </c>
      <c r="J163" s="50" t="s">
        <v>154</v>
      </c>
      <c r="K163" s="51">
        <v>68</v>
      </c>
      <c r="L163" s="50">
        <v>58</v>
      </c>
      <c r="M163" s="51">
        <v>60</v>
      </c>
      <c r="N163" s="50">
        <v>2.15</v>
      </c>
      <c r="O163" s="50">
        <v>38.4</v>
      </c>
      <c r="P163" s="50"/>
      <c r="Q163" s="399">
        <f>O163/N163</f>
        <v>17.86046511627907</v>
      </c>
      <c r="R163" s="399"/>
      <c r="S163" s="12"/>
      <c r="T163" s="9">
        <f>S163/12</f>
        <v>0</v>
      </c>
      <c r="U163" s="11">
        <f>S163/365</f>
        <v>0</v>
      </c>
      <c r="V163" s="39">
        <f t="shared" si="166"/>
        <v>0</v>
      </c>
      <c r="W163" s="11">
        <f t="shared" si="161"/>
        <v>0</v>
      </c>
      <c r="X163" s="424"/>
      <c r="Y163" s="11">
        <f t="shared" si="162"/>
        <v>0</v>
      </c>
      <c r="Z163" s="403"/>
      <c r="AA163" s="42">
        <f t="shared" si="167"/>
        <v>0</v>
      </c>
      <c r="AB163" s="406"/>
      <c r="AC163" s="409"/>
      <c r="AD163" s="412"/>
      <c r="AE163" s="409"/>
      <c r="AF163" s="45">
        <v>280</v>
      </c>
      <c r="AG163" s="8">
        <f t="shared" si="163"/>
        <v>0</v>
      </c>
      <c r="AH163" s="8"/>
      <c r="AI163" s="8"/>
      <c r="AJ163" s="8">
        <f t="shared" si="164"/>
        <v>0</v>
      </c>
      <c r="AK163" s="8">
        <f>AG163/365</f>
        <v>0</v>
      </c>
      <c r="AL163" s="8">
        <f t="shared" si="165"/>
        <v>0</v>
      </c>
      <c r="AM163" s="8">
        <f t="shared" si="168"/>
        <v>0</v>
      </c>
      <c r="AN163" s="8">
        <f>AL163*37</f>
        <v>0</v>
      </c>
      <c r="AO163" s="8">
        <f>AN163/3600/24*0.39</f>
        <v>0</v>
      </c>
      <c r="AP163" s="8">
        <f>AO163*1000*24</f>
        <v>0</v>
      </c>
      <c r="AQ163" s="381"/>
      <c r="AR163" s="397"/>
      <c r="AS163" s="397"/>
    </row>
    <row r="164" spans="2:45" ht="15" thickBot="1" x14ac:dyDescent="0.35">
      <c r="B164" s="441"/>
      <c r="C164" s="417"/>
      <c r="D164" s="88" t="s">
        <v>10</v>
      </c>
      <c r="E164" s="25" t="s">
        <v>18</v>
      </c>
      <c r="F164" s="2"/>
      <c r="G164" s="53" t="s">
        <v>22</v>
      </c>
      <c r="H164" s="54" t="s">
        <v>20</v>
      </c>
      <c r="I164" s="51">
        <v>8</v>
      </c>
      <c r="J164" s="52" t="s">
        <v>23</v>
      </c>
      <c r="K164" s="51">
        <v>80</v>
      </c>
      <c r="L164" s="52" t="s">
        <v>44</v>
      </c>
      <c r="M164" s="51">
        <v>50</v>
      </c>
      <c r="N164" s="55" t="s">
        <v>24</v>
      </c>
      <c r="O164" s="50"/>
      <c r="P164" s="50"/>
      <c r="Q164" s="399">
        <f>O164/N164</f>
        <v>0</v>
      </c>
      <c r="R164" s="399"/>
      <c r="S164" s="12"/>
      <c r="T164" s="9">
        <f t="shared" ref="T164:T172" si="169">S164/12</f>
        <v>0</v>
      </c>
      <c r="U164" s="11">
        <f t="shared" ref="U164:U172" si="170">S164/365</f>
        <v>0</v>
      </c>
      <c r="V164" s="39">
        <f t="shared" si="166"/>
        <v>0</v>
      </c>
      <c r="W164" s="11">
        <f t="shared" si="161"/>
        <v>0</v>
      </c>
      <c r="X164" s="424"/>
      <c r="Y164" s="11">
        <f t="shared" si="162"/>
        <v>0</v>
      </c>
      <c r="Z164" s="403"/>
      <c r="AA164" s="42">
        <f t="shared" si="167"/>
        <v>0</v>
      </c>
      <c r="AB164" s="406"/>
      <c r="AC164" s="409"/>
      <c r="AD164" s="412"/>
      <c r="AE164" s="409"/>
      <c r="AF164" s="45">
        <v>200</v>
      </c>
      <c r="AG164" s="8">
        <f t="shared" si="163"/>
        <v>0</v>
      </c>
      <c r="AH164" s="8"/>
      <c r="AI164" s="8"/>
      <c r="AJ164" s="8">
        <f t="shared" si="164"/>
        <v>0</v>
      </c>
      <c r="AK164" s="8">
        <f t="shared" ref="AK164:AK172" si="171">AG164/365</f>
        <v>0</v>
      </c>
      <c r="AL164" s="8">
        <f t="shared" si="165"/>
        <v>0</v>
      </c>
      <c r="AM164" s="8">
        <f t="shared" si="168"/>
        <v>0</v>
      </c>
      <c r="AN164" s="8">
        <f t="shared" ref="AN164:AN172" si="172">AL164*37</f>
        <v>0</v>
      </c>
      <c r="AO164" s="8">
        <f t="shared" ref="AO164:AO172" si="173">AN164/3600/24*0.39</f>
        <v>0</v>
      </c>
      <c r="AP164" s="8">
        <f t="shared" ref="AP164:AP172" si="174">AO164*1000*24</f>
        <v>0</v>
      </c>
      <c r="AQ164" s="381"/>
      <c r="AR164" s="397"/>
      <c r="AS164" s="397"/>
    </row>
    <row r="165" spans="2:45" ht="15" thickBot="1" x14ac:dyDescent="0.35">
      <c r="B165" s="441"/>
      <c r="C165" s="417"/>
      <c r="D165" s="88" t="s">
        <v>11</v>
      </c>
      <c r="E165" s="27" t="s">
        <v>58</v>
      </c>
      <c r="F165" s="24"/>
      <c r="G165" s="56" t="s">
        <v>67</v>
      </c>
      <c r="H165" s="50" t="s">
        <v>59</v>
      </c>
      <c r="I165" s="51">
        <v>12</v>
      </c>
      <c r="J165" s="50">
        <v>89</v>
      </c>
      <c r="K165" s="51">
        <v>89</v>
      </c>
      <c r="L165" s="50" t="s">
        <v>57</v>
      </c>
      <c r="M165" s="51">
        <v>51</v>
      </c>
      <c r="N165" s="50">
        <v>1.4</v>
      </c>
      <c r="O165" s="50"/>
      <c r="P165" s="50"/>
      <c r="Q165" s="399" t="s">
        <v>70</v>
      </c>
      <c r="R165" s="399"/>
      <c r="S165" s="12"/>
      <c r="T165" s="9">
        <f t="shared" si="169"/>
        <v>0</v>
      </c>
      <c r="U165" s="11">
        <f t="shared" si="170"/>
        <v>0</v>
      </c>
      <c r="V165" s="39">
        <f t="shared" si="166"/>
        <v>0</v>
      </c>
      <c r="W165" s="11">
        <f t="shared" si="161"/>
        <v>0</v>
      </c>
      <c r="X165" s="424"/>
      <c r="Y165" s="11">
        <f t="shared" si="162"/>
        <v>0</v>
      </c>
      <c r="Z165" s="403"/>
      <c r="AA165" s="42">
        <f t="shared" si="167"/>
        <v>0</v>
      </c>
      <c r="AB165" s="406"/>
      <c r="AC165" s="409"/>
      <c r="AD165" s="412"/>
      <c r="AE165" s="409"/>
      <c r="AF165" s="45">
        <v>300</v>
      </c>
      <c r="AG165" s="8">
        <f t="shared" si="163"/>
        <v>0</v>
      </c>
      <c r="AH165" s="8"/>
      <c r="AI165" s="8"/>
      <c r="AJ165" s="8">
        <f t="shared" si="164"/>
        <v>0</v>
      </c>
      <c r="AK165" s="8">
        <f t="shared" si="171"/>
        <v>0</v>
      </c>
      <c r="AL165" s="8">
        <f t="shared" si="165"/>
        <v>0</v>
      </c>
      <c r="AM165" s="8">
        <f t="shared" si="168"/>
        <v>0</v>
      </c>
      <c r="AN165" s="8">
        <f t="shared" si="172"/>
        <v>0</v>
      </c>
      <c r="AO165" s="8">
        <f t="shared" si="173"/>
        <v>0</v>
      </c>
      <c r="AP165" s="8">
        <f t="shared" si="174"/>
        <v>0</v>
      </c>
      <c r="AQ165" s="381"/>
      <c r="AR165" s="397"/>
      <c r="AS165" s="397"/>
    </row>
    <row r="166" spans="2:45" ht="29.4" thickBot="1" x14ac:dyDescent="0.35">
      <c r="B166" s="441"/>
      <c r="C166" s="417"/>
      <c r="D166" s="426" t="s">
        <v>12</v>
      </c>
      <c r="E166" s="27" t="s">
        <v>27</v>
      </c>
      <c r="F166" s="24"/>
      <c r="G166" s="57" t="s">
        <v>29</v>
      </c>
      <c r="H166" s="50" t="s">
        <v>28</v>
      </c>
      <c r="I166" s="51">
        <v>25</v>
      </c>
      <c r="J166" s="50" t="s">
        <v>60</v>
      </c>
      <c r="K166" s="51">
        <v>90</v>
      </c>
      <c r="L166" s="50">
        <v>65</v>
      </c>
      <c r="M166" s="51">
        <v>60</v>
      </c>
      <c r="N166" s="55" t="s">
        <v>61</v>
      </c>
      <c r="O166" s="50"/>
      <c r="P166" s="50"/>
      <c r="Q166" s="399">
        <v>35</v>
      </c>
      <c r="R166" s="399"/>
      <c r="S166" s="12">
        <f>10*365</f>
        <v>3650</v>
      </c>
      <c r="T166" s="9">
        <f t="shared" si="169"/>
        <v>304.16666666666669</v>
      </c>
      <c r="U166" s="11">
        <f t="shared" si="170"/>
        <v>10</v>
      </c>
      <c r="V166" s="39">
        <f t="shared" si="166"/>
        <v>14.925373134328359</v>
      </c>
      <c r="W166" s="11">
        <f t="shared" si="161"/>
        <v>912.5</v>
      </c>
      <c r="X166" s="424"/>
      <c r="Y166" s="11">
        <f t="shared" si="162"/>
        <v>821.25</v>
      </c>
      <c r="Z166" s="403"/>
      <c r="AA166" s="42">
        <f t="shared" si="167"/>
        <v>21.700342383179819</v>
      </c>
      <c r="AB166" s="406"/>
      <c r="AC166" s="409"/>
      <c r="AD166" s="412"/>
      <c r="AE166" s="409"/>
      <c r="AF166" s="45">
        <v>590</v>
      </c>
      <c r="AG166" s="8">
        <f t="shared" si="163"/>
        <v>484537.5</v>
      </c>
      <c r="AH166" s="8"/>
      <c r="AI166" s="8"/>
      <c r="AJ166" s="8">
        <f t="shared" si="164"/>
        <v>132.75</v>
      </c>
      <c r="AK166" s="8">
        <f t="shared" si="171"/>
        <v>1327.5</v>
      </c>
      <c r="AL166" s="8">
        <f t="shared" si="165"/>
        <v>796.5</v>
      </c>
      <c r="AM166" s="8">
        <f t="shared" si="168"/>
        <v>290722.5</v>
      </c>
      <c r="AN166" s="8">
        <f t="shared" si="172"/>
        <v>29470.5</v>
      </c>
      <c r="AO166" s="8">
        <f t="shared" si="173"/>
        <v>0.1330265625</v>
      </c>
      <c r="AP166" s="8">
        <f t="shared" si="174"/>
        <v>3192.6375000000003</v>
      </c>
      <c r="AQ166" s="381"/>
      <c r="AR166" s="397"/>
      <c r="AS166" s="397"/>
    </row>
    <row r="167" spans="2:45" ht="29.4" thickBot="1" x14ac:dyDescent="0.35">
      <c r="B167" s="441"/>
      <c r="C167" s="417"/>
      <c r="D167" s="426"/>
      <c r="E167" s="27" t="s">
        <v>158</v>
      </c>
      <c r="F167" s="2"/>
      <c r="G167" s="57" t="s">
        <v>75</v>
      </c>
      <c r="H167" s="50" t="s">
        <v>155</v>
      </c>
      <c r="I167" s="51">
        <v>12</v>
      </c>
      <c r="J167" s="50" t="s">
        <v>62</v>
      </c>
      <c r="K167" s="51">
        <v>85</v>
      </c>
      <c r="L167" s="50" t="s">
        <v>63</v>
      </c>
      <c r="M167" s="51">
        <v>55</v>
      </c>
      <c r="N167" s="50"/>
      <c r="O167" s="50"/>
      <c r="P167" s="50"/>
      <c r="Q167" s="400"/>
      <c r="R167" s="401"/>
      <c r="S167" s="13"/>
      <c r="T167" s="9">
        <f t="shared" si="169"/>
        <v>0</v>
      </c>
      <c r="U167" s="11">
        <f t="shared" si="170"/>
        <v>0</v>
      </c>
      <c r="V167" s="39">
        <f t="shared" si="166"/>
        <v>0</v>
      </c>
      <c r="W167" s="11">
        <f t="shared" si="161"/>
        <v>0</v>
      </c>
      <c r="X167" s="424"/>
      <c r="Y167" s="11">
        <f t="shared" si="162"/>
        <v>0</v>
      </c>
      <c r="Z167" s="403"/>
      <c r="AA167" s="42">
        <f t="shared" si="167"/>
        <v>0</v>
      </c>
      <c r="AB167" s="406"/>
      <c r="AC167" s="409"/>
      <c r="AD167" s="412"/>
      <c r="AE167" s="409"/>
      <c r="AF167" s="45">
        <v>500</v>
      </c>
      <c r="AG167" s="8">
        <f t="shared" si="163"/>
        <v>0</v>
      </c>
      <c r="AH167" s="8"/>
      <c r="AI167" s="8"/>
      <c r="AJ167" s="8">
        <f t="shared" si="164"/>
        <v>0</v>
      </c>
      <c r="AK167" s="8">
        <f t="shared" si="171"/>
        <v>0</v>
      </c>
      <c r="AL167" s="8">
        <f t="shared" si="165"/>
        <v>0</v>
      </c>
      <c r="AM167" s="8">
        <f t="shared" si="168"/>
        <v>0</v>
      </c>
      <c r="AN167" s="8">
        <f t="shared" si="172"/>
        <v>0</v>
      </c>
      <c r="AO167" s="8">
        <f t="shared" si="173"/>
        <v>0</v>
      </c>
      <c r="AP167" s="8">
        <f t="shared" si="174"/>
        <v>0</v>
      </c>
      <c r="AQ167" s="381"/>
      <c r="AR167" s="397"/>
      <c r="AS167" s="397"/>
    </row>
    <row r="168" spans="2:45" ht="29.4" thickBot="1" x14ac:dyDescent="0.35">
      <c r="B168" s="441"/>
      <c r="C168" s="417"/>
      <c r="D168" s="426"/>
      <c r="E168" s="27" t="s">
        <v>64</v>
      </c>
      <c r="F168" s="24"/>
      <c r="G168" s="57" t="s">
        <v>79</v>
      </c>
      <c r="H168" s="55" t="s">
        <v>21</v>
      </c>
      <c r="I168" s="51">
        <v>8</v>
      </c>
      <c r="J168" s="50" t="s">
        <v>65</v>
      </c>
      <c r="K168" s="51">
        <v>83</v>
      </c>
      <c r="L168" s="50" t="s">
        <v>66</v>
      </c>
      <c r="M168" s="51">
        <v>58</v>
      </c>
      <c r="N168" s="55" t="s">
        <v>73</v>
      </c>
      <c r="O168" s="50"/>
      <c r="P168" s="50"/>
      <c r="Q168" s="400"/>
      <c r="R168" s="401"/>
      <c r="S168" s="13">
        <f>5*365</f>
        <v>1825</v>
      </c>
      <c r="T168" s="9">
        <f t="shared" si="169"/>
        <v>152.08333333333334</v>
      </c>
      <c r="U168" s="11">
        <f t="shared" si="170"/>
        <v>5</v>
      </c>
      <c r="V168" s="39">
        <f t="shared" si="166"/>
        <v>7.4626865671641793</v>
      </c>
      <c r="W168" s="11">
        <f t="shared" si="161"/>
        <v>146</v>
      </c>
      <c r="X168" s="424"/>
      <c r="Y168" s="11">
        <f t="shared" si="162"/>
        <v>121.17999999999999</v>
      </c>
      <c r="Z168" s="403"/>
      <c r="AA168" s="42">
        <f t="shared" si="167"/>
        <v>3.2020060760958668</v>
      </c>
      <c r="AB168" s="406"/>
      <c r="AC168" s="409"/>
      <c r="AD168" s="412"/>
      <c r="AE168" s="409"/>
      <c r="AF168" s="45">
        <v>400</v>
      </c>
      <c r="AG168" s="8">
        <f t="shared" si="163"/>
        <v>48472</v>
      </c>
      <c r="AH168" s="8"/>
      <c r="AI168" s="8"/>
      <c r="AJ168" s="8">
        <f t="shared" si="164"/>
        <v>26.56</v>
      </c>
      <c r="AK168" s="8">
        <f t="shared" si="171"/>
        <v>132.80000000000001</v>
      </c>
      <c r="AL168" s="8">
        <f t="shared" si="165"/>
        <v>77.024000000000001</v>
      </c>
      <c r="AM168" s="8">
        <f t="shared" si="168"/>
        <v>28113.760000000002</v>
      </c>
      <c r="AN168" s="8">
        <f t="shared" si="172"/>
        <v>2849.8879999999999</v>
      </c>
      <c r="AO168" s="8">
        <f t="shared" si="173"/>
        <v>1.2864077777777778E-2</v>
      </c>
      <c r="AP168" s="8">
        <f t="shared" si="174"/>
        <v>308.73786666666666</v>
      </c>
      <c r="AQ168" s="381"/>
      <c r="AR168" s="397"/>
      <c r="AS168" s="397"/>
    </row>
    <row r="169" spans="2:45" ht="29.4" thickBot="1" x14ac:dyDescent="0.35">
      <c r="B169" s="441"/>
      <c r="C169" s="417"/>
      <c r="D169" s="88" t="s">
        <v>13</v>
      </c>
      <c r="E169" s="25" t="s">
        <v>78</v>
      </c>
      <c r="F169" s="24"/>
      <c r="G169" s="49" t="s">
        <v>37</v>
      </c>
      <c r="H169" s="50" t="s">
        <v>38</v>
      </c>
      <c r="I169" s="51">
        <v>40</v>
      </c>
      <c r="J169" s="50" t="s">
        <v>39</v>
      </c>
      <c r="K169" s="51">
        <v>97</v>
      </c>
      <c r="L169" s="50" t="s">
        <v>50</v>
      </c>
      <c r="M169" s="51">
        <v>69</v>
      </c>
      <c r="N169" s="50" t="s">
        <v>35</v>
      </c>
      <c r="O169" s="50"/>
      <c r="P169" s="50"/>
      <c r="Q169" s="399" t="s">
        <v>36</v>
      </c>
      <c r="R169" s="399"/>
      <c r="S169" s="12"/>
      <c r="T169" s="9">
        <f t="shared" si="169"/>
        <v>0</v>
      </c>
      <c r="U169" s="11">
        <f t="shared" si="170"/>
        <v>0</v>
      </c>
      <c r="V169" s="39">
        <f t="shared" si="166"/>
        <v>0</v>
      </c>
      <c r="W169" s="11">
        <f t="shared" si="161"/>
        <v>0</v>
      </c>
      <c r="X169" s="424"/>
      <c r="Y169" s="11">
        <f t="shared" si="162"/>
        <v>0</v>
      </c>
      <c r="Z169" s="403"/>
      <c r="AA169" s="42">
        <f t="shared" si="167"/>
        <v>0</v>
      </c>
      <c r="AB169" s="406"/>
      <c r="AC169" s="409"/>
      <c r="AD169" s="412"/>
      <c r="AE169" s="409"/>
      <c r="AF169" s="45">
        <v>500</v>
      </c>
      <c r="AG169" s="8">
        <f t="shared" si="163"/>
        <v>0</v>
      </c>
      <c r="AH169" s="8"/>
      <c r="AI169" s="8"/>
      <c r="AJ169" s="8">
        <f t="shared" si="164"/>
        <v>0</v>
      </c>
      <c r="AK169" s="8">
        <f t="shared" si="171"/>
        <v>0</v>
      </c>
      <c r="AL169" s="8">
        <f t="shared" si="165"/>
        <v>0</v>
      </c>
      <c r="AM169" s="8">
        <f t="shared" si="168"/>
        <v>0</v>
      </c>
      <c r="AN169" s="8">
        <f t="shared" si="172"/>
        <v>0</v>
      </c>
      <c r="AO169" s="8">
        <f t="shared" si="173"/>
        <v>0</v>
      </c>
      <c r="AP169" s="8">
        <f t="shared" si="174"/>
        <v>0</v>
      </c>
      <c r="AQ169" s="381"/>
      <c r="AR169" s="397"/>
      <c r="AS169" s="397"/>
    </row>
    <row r="170" spans="2:45" ht="29.4" thickBot="1" x14ac:dyDescent="0.35">
      <c r="B170" s="441"/>
      <c r="C170" s="417"/>
      <c r="D170" s="88" t="s">
        <v>14</v>
      </c>
      <c r="E170" s="25" t="s">
        <v>55</v>
      </c>
      <c r="F170" s="2"/>
      <c r="G170" s="49" t="s">
        <v>80</v>
      </c>
      <c r="H170" s="50" t="s">
        <v>56</v>
      </c>
      <c r="I170" s="51">
        <v>22</v>
      </c>
      <c r="J170" s="50" t="s">
        <v>30</v>
      </c>
      <c r="K170" s="51">
        <v>90</v>
      </c>
      <c r="L170" s="50" t="s">
        <v>57</v>
      </c>
      <c r="M170" s="51">
        <v>54</v>
      </c>
      <c r="N170" s="50">
        <v>1.5</v>
      </c>
      <c r="O170" s="50"/>
      <c r="P170" s="50"/>
      <c r="Q170" s="399" t="s">
        <v>72</v>
      </c>
      <c r="R170" s="399"/>
      <c r="S170" s="12">
        <f>7*365</f>
        <v>2555</v>
      </c>
      <c r="T170" s="9">
        <f t="shared" si="169"/>
        <v>212.91666666666666</v>
      </c>
      <c r="U170" s="11">
        <f t="shared" si="170"/>
        <v>7</v>
      </c>
      <c r="V170" s="39">
        <f t="shared" si="166"/>
        <v>10.44776119402985</v>
      </c>
      <c r="W170" s="11">
        <f t="shared" si="161"/>
        <v>562.1</v>
      </c>
      <c r="X170" s="424"/>
      <c r="Y170" s="11">
        <f t="shared" si="162"/>
        <v>505.89000000000004</v>
      </c>
      <c r="Z170" s="403"/>
      <c r="AA170" s="42">
        <f t="shared" si="167"/>
        <v>13.367410908038771</v>
      </c>
      <c r="AB170" s="406"/>
      <c r="AC170" s="409"/>
      <c r="AD170" s="412"/>
      <c r="AE170" s="409"/>
      <c r="AF170" s="45">
        <v>170</v>
      </c>
      <c r="AG170" s="8">
        <f t="shared" si="163"/>
        <v>86001.3</v>
      </c>
      <c r="AH170" s="8"/>
      <c r="AI170" s="8"/>
      <c r="AJ170" s="8">
        <f t="shared" si="164"/>
        <v>33.660000000000004</v>
      </c>
      <c r="AK170" s="8">
        <f t="shared" si="171"/>
        <v>235.62</v>
      </c>
      <c r="AL170" s="8">
        <f t="shared" si="165"/>
        <v>127.23480000000001</v>
      </c>
      <c r="AM170" s="8">
        <f t="shared" si="168"/>
        <v>46440.702000000005</v>
      </c>
      <c r="AN170" s="8">
        <f t="shared" si="172"/>
        <v>4707.6876000000002</v>
      </c>
      <c r="AO170" s="8">
        <f t="shared" si="173"/>
        <v>2.1249978750000002E-2</v>
      </c>
      <c r="AP170" s="8">
        <f t="shared" si="174"/>
        <v>509.99949000000009</v>
      </c>
      <c r="AQ170" s="381"/>
      <c r="AR170" s="397"/>
      <c r="AS170" s="397"/>
    </row>
    <row r="171" spans="2:45" ht="15" thickBot="1" x14ac:dyDescent="0.35">
      <c r="B171" s="441"/>
      <c r="C171" s="417"/>
      <c r="D171" s="88" t="s">
        <v>15</v>
      </c>
      <c r="E171" s="26" t="s">
        <v>7</v>
      </c>
      <c r="F171" s="24" t="s">
        <v>112</v>
      </c>
      <c r="G171" s="49">
        <v>5.7</v>
      </c>
      <c r="H171" s="58" t="s">
        <v>51</v>
      </c>
      <c r="I171" s="51">
        <v>21</v>
      </c>
      <c r="J171" s="50" t="s">
        <v>32</v>
      </c>
      <c r="K171" s="51">
        <v>65</v>
      </c>
      <c r="L171" s="50" t="s">
        <v>52</v>
      </c>
      <c r="M171" s="51">
        <v>58</v>
      </c>
      <c r="N171" s="50"/>
      <c r="O171" s="50"/>
      <c r="P171" s="50"/>
      <c r="Q171" s="399" t="e">
        <f>O171/N171</f>
        <v>#DIV/0!</v>
      </c>
      <c r="R171" s="399"/>
      <c r="S171" s="12">
        <f>40*365</f>
        <v>14600</v>
      </c>
      <c r="T171" s="9">
        <f t="shared" si="169"/>
        <v>1216.6666666666667</v>
      </c>
      <c r="U171" s="11">
        <f t="shared" si="170"/>
        <v>40</v>
      </c>
      <c r="V171" s="39">
        <f t="shared" si="166"/>
        <v>59.701492537313435</v>
      </c>
      <c r="W171" s="11">
        <f t="shared" si="161"/>
        <v>3066</v>
      </c>
      <c r="X171" s="424"/>
      <c r="Y171" s="11">
        <f t="shared" si="162"/>
        <v>1992.9</v>
      </c>
      <c r="Z171" s="403"/>
      <c r="AA171" s="42">
        <f t="shared" si="167"/>
        <v>52.659497516516367</v>
      </c>
      <c r="AB171" s="406"/>
      <c r="AC171" s="409"/>
      <c r="AD171" s="412"/>
      <c r="AE171" s="409"/>
      <c r="AF171" s="45">
        <v>580</v>
      </c>
      <c r="AG171" s="8">
        <f t="shared" si="163"/>
        <v>1155882</v>
      </c>
      <c r="AH171" s="8"/>
      <c r="AI171" s="8"/>
      <c r="AJ171" s="8">
        <f t="shared" si="164"/>
        <v>79.17</v>
      </c>
      <c r="AK171" s="8">
        <f t="shared" si="171"/>
        <v>3166.8</v>
      </c>
      <c r="AL171" s="8">
        <f t="shared" si="165"/>
        <v>1836.7439999999999</v>
      </c>
      <c r="AM171" s="8">
        <f t="shared" si="168"/>
        <v>670411.55999999994</v>
      </c>
      <c r="AN171" s="8">
        <f t="shared" si="172"/>
        <v>67959.527999999991</v>
      </c>
      <c r="AO171" s="8">
        <f t="shared" si="173"/>
        <v>0.3067617583333333</v>
      </c>
      <c r="AP171" s="8">
        <f t="shared" si="174"/>
        <v>7362.2821999999996</v>
      </c>
      <c r="AQ171" s="381"/>
      <c r="AR171" s="397"/>
      <c r="AS171" s="397"/>
    </row>
    <row r="172" spans="2:45" ht="58.2" thickBot="1" x14ac:dyDescent="0.35">
      <c r="B172" s="441"/>
      <c r="C172" s="418"/>
      <c r="D172" s="88" t="s">
        <v>16</v>
      </c>
      <c r="E172" s="25" t="s">
        <v>53</v>
      </c>
      <c r="F172" s="2"/>
      <c r="G172" s="59"/>
      <c r="H172" s="60" t="s">
        <v>28</v>
      </c>
      <c r="I172" s="61">
        <v>16</v>
      </c>
      <c r="J172" s="60" t="s">
        <v>34</v>
      </c>
      <c r="K172" s="61">
        <v>85</v>
      </c>
      <c r="L172" s="60" t="s">
        <v>54</v>
      </c>
      <c r="M172" s="61">
        <v>52</v>
      </c>
      <c r="N172" s="60" t="s">
        <v>76</v>
      </c>
      <c r="O172" s="60"/>
      <c r="P172" s="60"/>
      <c r="Q172" s="427" t="e">
        <f>O172/N172</f>
        <v>#VALUE!</v>
      </c>
      <c r="R172" s="427"/>
      <c r="S172" s="14"/>
      <c r="T172" s="9">
        <f t="shared" si="169"/>
        <v>0</v>
      </c>
      <c r="U172" s="9">
        <f t="shared" si="170"/>
        <v>0</v>
      </c>
      <c r="V172" s="39">
        <f t="shared" si="166"/>
        <v>0</v>
      </c>
      <c r="W172" s="11">
        <f t="shared" si="161"/>
        <v>0</v>
      </c>
      <c r="X172" s="425"/>
      <c r="Y172" s="35">
        <f t="shared" si="162"/>
        <v>0</v>
      </c>
      <c r="Z172" s="404"/>
      <c r="AA172" s="42">
        <f t="shared" si="167"/>
        <v>0</v>
      </c>
      <c r="AB172" s="407"/>
      <c r="AC172" s="410"/>
      <c r="AD172" s="413"/>
      <c r="AE172" s="410"/>
      <c r="AF172" s="46">
        <v>700</v>
      </c>
      <c r="AG172" s="36">
        <f t="shared" si="163"/>
        <v>0</v>
      </c>
      <c r="AH172" s="36"/>
      <c r="AI172" s="36"/>
      <c r="AJ172" s="36">
        <f t="shared" si="164"/>
        <v>0</v>
      </c>
      <c r="AK172" s="36">
        <f t="shared" si="171"/>
        <v>0</v>
      </c>
      <c r="AL172" s="36">
        <f t="shared" si="165"/>
        <v>0</v>
      </c>
      <c r="AM172" s="36">
        <f t="shared" si="168"/>
        <v>0</v>
      </c>
      <c r="AN172" s="36">
        <f t="shared" si="172"/>
        <v>0</v>
      </c>
      <c r="AO172" s="36">
        <f t="shared" si="173"/>
        <v>0</v>
      </c>
      <c r="AP172" s="36">
        <f t="shared" si="174"/>
        <v>0</v>
      </c>
      <c r="AQ172" s="415"/>
      <c r="AR172" s="398"/>
      <c r="AS172" s="398"/>
    </row>
    <row r="173" spans="2:45" ht="18" x14ac:dyDescent="0.3">
      <c r="S173" s="17">
        <f t="shared" ref="S173:W173" si="175">SUM(S161:S172)</f>
        <v>24455</v>
      </c>
      <c r="T173" s="17">
        <f t="shared" si="175"/>
        <v>2037.9166666666667</v>
      </c>
      <c r="U173" s="17">
        <f t="shared" si="175"/>
        <v>67</v>
      </c>
      <c r="V173" s="17">
        <f t="shared" si="175"/>
        <v>100</v>
      </c>
      <c r="W173" s="16">
        <f t="shared" si="175"/>
        <v>5288.85</v>
      </c>
      <c r="X173" s="16"/>
      <c r="Y173" s="16">
        <f>SUM(Y161:Y172)</f>
        <v>3784.5025000000005</v>
      </c>
      <c r="Z173" s="16"/>
      <c r="AA173" s="16">
        <f>SUM(AA161:AA172)</f>
        <v>100</v>
      </c>
      <c r="AB173" s="16"/>
      <c r="AC173" s="16"/>
      <c r="AD173" s="16"/>
      <c r="AE173" s="16"/>
      <c r="AF173" s="16"/>
      <c r="AG173" s="16">
        <f>SUM(AG161:AG172)</f>
        <v>1877877.55</v>
      </c>
      <c r="AH173" s="16"/>
      <c r="AI173" s="16"/>
      <c r="AJ173" s="16"/>
      <c r="AK173" s="16">
        <f t="shared" ref="AK173:AP173" si="176">SUM(AK161:AK172)</f>
        <v>5144.8700000000008</v>
      </c>
      <c r="AL173" s="18">
        <f t="shared" si="176"/>
        <v>2992.6853000000001</v>
      </c>
      <c r="AM173" s="18">
        <f t="shared" si="176"/>
        <v>1092330.1344999999</v>
      </c>
      <c r="AN173" s="16">
        <f t="shared" si="176"/>
        <v>110729.35609999999</v>
      </c>
      <c r="AO173" s="16">
        <f t="shared" si="176"/>
        <v>0.49982001017361111</v>
      </c>
      <c r="AP173" s="16">
        <f t="shared" si="176"/>
        <v>11995.680244166666</v>
      </c>
      <c r="AQ173" s="16"/>
      <c r="AR173" s="16"/>
    </row>
    <row r="177" spans="37:48" ht="18.600000000000001" thickBot="1" x14ac:dyDescent="0.4">
      <c r="AL177" s="75"/>
    </row>
    <row r="178" spans="37:48" ht="34.200000000000003" thickBot="1" x14ac:dyDescent="0.7">
      <c r="AL178" s="388" t="str">
        <f>B7</f>
        <v>Firma Y</v>
      </c>
      <c r="AM178" s="389"/>
      <c r="AN178" s="389"/>
      <c r="AO178" s="389"/>
      <c r="AP178" s="389"/>
      <c r="AQ178" s="389"/>
      <c r="AR178" s="389"/>
      <c r="AS178" s="389"/>
      <c r="AT178" s="389"/>
      <c r="AU178" s="389"/>
      <c r="AV178" s="390"/>
    </row>
    <row r="179" spans="37:48" ht="26.4" thickBot="1" x14ac:dyDescent="0.55000000000000004">
      <c r="AL179" s="391" t="s">
        <v>159</v>
      </c>
      <c r="AM179" s="392"/>
      <c r="AN179" s="392"/>
      <c r="AO179" s="392"/>
      <c r="AP179" s="392"/>
      <c r="AQ179" s="392"/>
      <c r="AR179" s="392"/>
      <c r="AS179" s="392"/>
      <c r="AT179" s="392"/>
      <c r="AU179" s="392"/>
      <c r="AV179" s="393"/>
    </row>
    <row r="180" spans="37:48" ht="18.600000000000001" thickBot="1" x14ac:dyDescent="0.35">
      <c r="AK180" s="69" t="s">
        <v>120</v>
      </c>
      <c r="AL180" s="72" t="s">
        <v>114</v>
      </c>
      <c r="AM180" s="73" t="s">
        <v>113</v>
      </c>
      <c r="AN180" s="74" t="s">
        <v>115</v>
      </c>
      <c r="AO180" s="72" t="s">
        <v>143</v>
      </c>
      <c r="AP180" s="73" t="s">
        <v>144</v>
      </c>
      <c r="AQ180" s="74" t="s">
        <v>145</v>
      </c>
      <c r="AR180" s="72" t="s">
        <v>146</v>
      </c>
      <c r="AS180" s="73" t="s">
        <v>147</v>
      </c>
      <c r="AT180" s="74" t="s">
        <v>148</v>
      </c>
      <c r="AU180" s="74" t="s">
        <v>149</v>
      </c>
      <c r="AV180" s="74" t="s">
        <v>150</v>
      </c>
    </row>
    <row r="181" spans="37:48" ht="75" customHeight="1" thickBot="1" x14ac:dyDescent="0.35">
      <c r="AK181" s="70" t="s">
        <v>121</v>
      </c>
      <c r="AL181" s="96" t="str">
        <f>E11</f>
        <v>Słoma zbóż po zakiszeniu, trawy</v>
      </c>
      <c r="AM181" s="97" t="str">
        <f>E29</f>
        <v>Odpady z produkcji spożywczej - wywar zbożowy</v>
      </c>
      <c r="AN181" s="98" t="str">
        <f>E42</f>
        <v>Odpady z produkcji spożywczej - odpady owocowo warzywne</v>
      </c>
      <c r="AO181" s="96" t="str">
        <f>E56</f>
        <v>Trzoda chlewna obornik</v>
      </c>
      <c r="AP181" s="97" t="str">
        <f>E70</f>
        <v>Obornik drobiowy/pomiot drobiowy</v>
      </c>
      <c r="AQ181" s="98" t="str">
        <f>E95</f>
        <v xml:space="preserve">Odpady biodegradowalne w tym gospodarstwa domowe - odpady kuchenne, przeterminowana żywność, usł. komunalne, </v>
      </c>
      <c r="AR181" s="96" t="str">
        <f>E104</f>
        <v>Gnojowica bydlęca</v>
      </c>
      <c r="AS181" s="97" t="str">
        <f>E122</f>
        <v>Odpady z produkcji spożywczej - wytłoki, wycierki, łupiny</v>
      </c>
      <c r="AT181" s="98" t="str">
        <f>E139</f>
        <v>Odpady poubojowe (KII +KIII) bydło</v>
      </c>
      <c r="AU181" s="98" t="str">
        <f>E155</f>
        <v>Trwałe Użytki Zielone (TUZ) - zieleń miejska</v>
      </c>
      <c r="AV181" s="98" t="str">
        <f>E171</f>
        <v>Browary odpady (młóto)</v>
      </c>
    </row>
    <row r="182" spans="37:48" ht="58.2" thickBot="1" x14ac:dyDescent="0.35">
      <c r="AK182" s="70" t="s">
        <v>122</v>
      </c>
      <c r="AL182" s="100">
        <f>V11</f>
        <v>23.148148148148149</v>
      </c>
      <c r="AM182" s="101">
        <f>V29</f>
        <v>58.4</v>
      </c>
      <c r="AN182" s="102">
        <f>V42</f>
        <v>55</v>
      </c>
      <c r="AO182" s="103">
        <f>V54+V56</f>
        <v>50.877192982456137</v>
      </c>
      <c r="AP182" s="101">
        <f>V70</f>
        <v>77.777777777777757</v>
      </c>
      <c r="AQ182" s="102">
        <f>V95</f>
        <v>60</v>
      </c>
      <c r="AR182" s="103">
        <f>V104</f>
        <v>56.410256410256416</v>
      </c>
      <c r="AS182" s="101">
        <f>V122</f>
        <v>57.547169811320764</v>
      </c>
      <c r="AT182" s="102">
        <f>V139</f>
        <v>57.575757575757571</v>
      </c>
      <c r="AU182" s="102">
        <f>V155</f>
        <v>57.471264367816083</v>
      </c>
      <c r="AV182" s="104">
        <f>V171</f>
        <v>59.701492537313435</v>
      </c>
    </row>
    <row r="183" spans="37:48" ht="58.2" thickBot="1" x14ac:dyDescent="0.35">
      <c r="AK183" s="70" t="s">
        <v>123</v>
      </c>
      <c r="AL183" s="100">
        <f>AA11</f>
        <v>15.904785732156258</v>
      </c>
      <c r="AM183" s="101">
        <f>AA29</f>
        <v>33.091432901644602</v>
      </c>
      <c r="AN183" s="102">
        <f>AA42</f>
        <v>67.274934763699619</v>
      </c>
      <c r="AO183" s="103">
        <f>AA54+AA56</f>
        <v>44.937244013744561</v>
      </c>
      <c r="AP183" s="101">
        <f>AA70</f>
        <v>79.807255205018635</v>
      </c>
      <c r="AQ183" s="102">
        <f>AA95</f>
        <v>59.538865648409377</v>
      </c>
      <c r="AR183" s="103">
        <f>AA104</f>
        <v>32.79280328393839</v>
      </c>
      <c r="AS183" s="101">
        <f>AA122</f>
        <v>48.49382331164022</v>
      </c>
      <c r="AT183" s="102">
        <f>AA139</f>
        <v>78.190959037780289</v>
      </c>
      <c r="AU183" s="102">
        <f>AA155</f>
        <v>59.538128458022619</v>
      </c>
      <c r="AV183" s="104">
        <f>AA171</f>
        <v>52.659497516516367</v>
      </c>
    </row>
    <row r="184" spans="37:48" ht="29.4" thickBot="1" x14ac:dyDescent="0.35">
      <c r="AK184" s="70" t="s">
        <v>160</v>
      </c>
      <c r="AL184" s="100">
        <f>U19</f>
        <v>108</v>
      </c>
      <c r="AM184" s="101">
        <f>U34</f>
        <v>125</v>
      </c>
      <c r="AN184" s="102">
        <f>U49</f>
        <v>60</v>
      </c>
      <c r="AO184" s="103">
        <f>U66</f>
        <v>114</v>
      </c>
      <c r="AP184" s="101">
        <f>U81</f>
        <v>90</v>
      </c>
      <c r="AQ184" s="102">
        <f>U96</f>
        <v>75</v>
      </c>
      <c r="AR184" s="103">
        <f>U113</f>
        <v>156</v>
      </c>
      <c r="AS184" s="101">
        <f>U128</f>
        <v>106</v>
      </c>
      <c r="AT184" s="102">
        <f>U143</f>
        <v>33</v>
      </c>
      <c r="AU184" s="102">
        <f>U158</f>
        <v>87</v>
      </c>
      <c r="AV184" s="104">
        <f>U173</f>
        <v>67</v>
      </c>
    </row>
    <row r="185" spans="37:48" ht="29.4" thickBot="1" x14ac:dyDescent="0.35">
      <c r="AK185" s="70" t="s">
        <v>124</v>
      </c>
      <c r="AL185" s="100">
        <f>X7</f>
        <v>22.16</v>
      </c>
      <c r="AM185" s="101">
        <f>X22</f>
        <v>18.16</v>
      </c>
      <c r="AN185" s="102">
        <f>X37</f>
        <v>13.209999999999999</v>
      </c>
      <c r="AO185" s="103">
        <f>X54</f>
        <v>24.1</v>
      </c>
      <c r="AP185" s="101">
        <f>X69</f>
        <v>27.1</v>
      </c>
      <c r="AQ185" s="102">
        <f>X84</f>
        <v>13</v>
      </c>
      <c r="AR185" s="103">
        <f>X101</f>
        <v>21.65</v>
      </c>
      <c r="AS185" s="101">
        <f>X116</f>
        <v>15.919999999999998</v>
      </c>
      <c r="AT185" s="102">
        <f>X131</f>
        <v>9.93</v>
      </c>
      <c r="AU185" s="102">
        <f>X146</f>
        <v>19.52</v>
      </c>
      <c r="AV185" s="104">
        <f>X161</f>
        <v>14.49</v>
      </c>
    </row>
    <row r="186" spans="37:48" ht="29.4" thickBot="1" x14ac:dyDescent="0.35">
      <c r="AK186" s="70" t="s">
        <v>125</v>
      </c>
      <c r="AL186" s="100">
        <f>AB7</f>
        <v>5</v>
      </c>
      <c r="AM186" s="101">
        <f>AB22</f>
        <v>10</v>
      </c>
      <c r="AN186" s="102">
        <f>AB37</f>
        <v>7</v>
      </c>
      <c r="AO186" s="103">
        <f>AB54</f>
        <v>10</v>
      </c>
      <c r="AP186" s="101">
        <f>AB69</f>
        <v>23</v>
      </c>
      <c r="AQ186" s="102">
        <f>AB84</f>
        <v>3.5</v>
      </c>
      <c r="AR186" s="103">
        <f>AB101</f>
        <v>9</v>
      </c>
      <c r="AS186" s="101">
        <f>AB116</f>
        <v>7</v>
      </c>
      <c r="AT186" s="102">
        <f>AB131</f>
        <v>5</v>
      </c>
      <c r="AU186" s="102">
        <f>AB146</f>
        <v>5.5</v>
      </c>
      <c r="AV186" s="104">
        <f>AB161</f>
        <v>5.5</v>
      </c>
    </row>
    <row r="187" spans="37:48" ht="15" thickBot="1" x14ac:dyDescent="0.35">
      <c r="AK187" s="70" t="s">
        <v>126</v>
      </c>
      <c r="AL187" s="105">
        <f>AC7</f>
        <v>0.77436823104693142</v>
      </c>
      <c r="AM187" s="106">
        <f>AC22</f>
        <v>0.44933920704845814</v>
      </c>
      <c r="AN187" s="107">
        <f>AC37</f>
        <v>0.47009841029523086</v>
      </c>
      <c r="AO187" s="108">
        <f>AC54</f>
        <v>0.58506224066390045</v>
      </c>
      <c r="AP187" s="106">
        <f>AC69</f>
        <v>0.15129151291512918</v>
      </c>
      <c r="AQ187" s="107">
        <f>AC84</f>
        <v>0.73076923076923073</v>
      </c>
      <c r="AR187" s="108">
        <f>AC101</f>
        <v>0.58429561200923785</v>
      </c>
      <c r="AS187" s="106">
        <f>AC116</f>
        <v>0.56030150753768837</v>
      </c>
      <c r="AT187" s="107">
        <f>AC131</f>
        <v>0.49647532729103727</v>
      </c>
      <c r="AU187" s="107">
        <f>AC146</f>
        <v>0.71823770491803274</v>
      </c>
      <c r="AV187" s="109">
        <f>AC161</f>
        <v>0.62042788129744653</v>
      </c>
    </row>
    <row r="188" spans="37:48" ht="29.4" thickBot="1" x14ac:dyDescent="0.35">
      <c r="AK188" s="70" t="s">
        <v>127</v>
      </c>
      <c r="AL188" s="100">
        <f>Z7</f>
        <v>16.787400000000002</v>
      </c>
      <c r="AM188" s="101">
        <f>Z22</f>
        <v>14.6479</v>
      </c>
      <c r="AN188" s="102">
        <f>Z37</f>
        <v>11.036800000000001</v>
      </c>
      <c r="AO188" s="103">
        <f>Z54</f>
        <v>16.675699999999999</v>
      </c>
      <c r="AP188" s="101">
        <f>Z69</f>
        <v>16.4985</v>
      </c>
      <c r="AQ188" s="102">
        <f>Z84</f>
        <v>10.278999999999998</v>
      </c>
      <c r="AR188" s="103">
        <f>Z101</f>
        <v>17.174500000000002</v>
      </c>
      <c r="AS188" s="101">
        <f>Z116</f>
        <v>12.830500000000002</v>
      </c>
      <c r="AT188" s="102">
        <f>Z131</f>
        <v>9.4281999999999986</v>
      </c>
      <c r="AU188" s="102">
        <f>Z146</f>
        <v>16.627999999999997</v>
      </c>
      <c r="AV188" s="104">
        <f>Z161</f>
        <v>10.368500000000001</v>
      </c>
    </row>
    <row r="189" spans="37:48" ht="29.4" thickBot="1" x14ac:dyDescent="0.35">
      <c r="AK189" s="70" t="s">
        <v>128</v>
      </c>
      <c r="AL189" s="110">
        <f>AD7</f>
        <v>4</v>
      </c>
      <c r="AM189" s="111">
        <f>AD22</f>
        <v>6.5</v>
      </c>
      <c r="AN189" s="112">
        <f>AD37</f>
        <v>8</v>
      </c>
      <c r="AO189" s="113">
        <f>AD54</f>
        <v>12</v>
      </c>
      <c r="AP189" s="111">
        <f>AD69</f>
        <v>15</v>
      </c>
      <c r="AQ189" s="112">
        <f>AD84</f>
        <v>6.5</v>
      </c>
      <c r="AR189" s="113">
        <f>AD101</f>
        <v>13</v>
      </c>
      <c r="AS189" s="111">
        <f>AD116</f>
        <v>12</v>
      </c>
      <c r="AT189" s="112">
        <f>AD131</f>
        <v>8.5</v>
      </c>
      <c r="AU189" s="112">
        <f>AD146</f>
        <v>11</v>
      </c>
      <c r="AV189" s="114">
        <f>AD161</f>
        <v>6.5</v>
      </c>
    </row>
    <row r="190" spans="37:48" ht="15" thickBot="1" x14ac:dyDescent="0.35">
      <c r="AK190" s="70" t="s">
        <v>129</v>
      </c>
      <c r="AL190" s="105">
        <f>AE7</f>
        <v>0.76172605644709723</v>
      </c>
      <c r="AM190" s="106">
        <f>AE22</f>
        <v>0.55625038401409077</v>
      </c>
      <c r="AN190" s="107">
        <f>AE37</f>
        <v>0.27515221803421291</v>
      </c>
      <c r="AO190" s="108">
        <f>AE54</f>
        <v>0.2803900286044963</v>
      </c>
      <c r="AP190" s="106">
        <f>AE69</f>
        <v>9.082643876716065E-2</v>
      </c>
      <c r="AQ190" s="107">
        <f>AE84</f>
        <v>0.36764276680610941</v>
      </c>
      <c r="AR190" s="108">
        <f>AE101</f>
        <v>0.24306384465341066</v>
      </c>
      <c r="AS190" s="106">
        <f>AE116</f>
        <v>6.472857643895423E-2</v>
      </c>
      <c r="AT190" s="107">
        <f>AE131</f>
        <v>9.8449332852506177E-2</v>
      </c>
      <c r="AU190" s="107">
        <f>AE146</f>
        <v>0.33846523935530415</v>
      </c>
      <c r="AV190" s="109">
        <f>AE161</f>
        <v>0.37310122004147184</v>
      </c>
    </row>
    <row r="191" spans="37:48" ht="31.2" thickBot="1" x14ac:dyDescent="0.35">
      <c r="AK191" s="70" t="s">
        <v>131</v>
      </c>
      <c r="AL191" s="115">
        <f>AM19</f>
        <v>1017375.7785</v>
      </c>
      <c r="AM191" s="116">
        <f>AM34</f>
        <v>1046630.6015</v>
      </c>
      <c r="AN191" s="116">
        <f>AM49</f>
        <v>1202179.7315</v>
      </c>
      <c r="AO191" s="116">
        <f>AM66</f>
        <v>1097290.959</v>
      </c>
      <c r="AP191" s="116">
        <f>AM81</f>
        <v>1085138.4300000002</v>
      </c>
      <c r="AQ191" s="116">
        <f>AM96</f>
        <v>1086350.7774999999</v>
      </c>
      <c r="AR191" s="116">
        <f>AM113</f>
        <v>1100371.2305000001</v>
      </c>
      <c r="AS191" s="116">
        <f>AM128</f>
        <v>1146531.6124999998</v>
      </c>
      <c r="AT191" s="116">
        <f>AM143</f>
        <v>1072584.0359999996</v>
      </c>
      <c r="AU191" s="116">
        <f>AM158</f>
        <v>1115241.6955000001</v>
      </c>
      <c r="AV191" s="117">
        <f>AM173</f>
        <v>1092330.1344999999</v>
      </c>
    </row>
    <row r="192" spans="37:48" ht="29.4" thickBot="1" x14ac:dyDescent="0.35">
      <c r="AK192" s="70" t="s">
        <v>130</v>
      </c>
      <c r="AL192" s="100">
        <f>AO19</f>
        <v>0.46552297322916669</v>
      </c>
      <c r="AM192" s="101">
        <f>AO34</f>
        <v>0.47890916982638887</v>
      </c>
      <c r="AN192" s="102">
        <f>AO49</f>
        <v>0.55008414274305562</v>
      </c>
      <c r="AO192" s="103">
        <f>AO66</f>
        <v>0.50208994604166668</v>
      </c>
      <c r="AP192" s="101">
        <f>AO81</f>
        <v>0.49652928541666674</v>
      </c>
      <c r="AQ192" s="102">
        <f>AO96</f>
        <v>0.49708402204861107</v>
      </c>
      <c r="AR192" s="103">
        <f>AO113</f>
        <v>0.5034993929513889</v>
      </c>
      <c r="AS192" s="101">
        <f>AO128</f>
        <v>0.52462110503472226</v>
      </c>
      <c r="AT192" s="102">
        <f>AO143</f>
        <v>0.49078474249999987</v>
      </c>
      <c r="AU192" s="102">
        <f>AO158</f>
        <v>0.51030370579861106</v>
      </c>
      <c r="AV192" s="104">
        <f>AO173</f>
        <v>0.49982001017361111</v>
      </c>
    </row>
    <row r="193" spans="36:48" ht="173.4" thickBot="1" x14ac:dyDescent="0.35">
      <c r="AK193" s="118" t="s">
        <v>174</v>
      </c>
      <c r="AL193" s="119">
        <v>2</v>
      </c>
      <c r="AM193" s="120">
        <v>1</v>
      </c>
      <c r="AN193" s="121"/>
      <c r="AO193" s="122"/>
      <c r="AP193" s="120"/>
      <c r="AQ193" s="121"/>
      <c r="AR193" s="122"/>
      <c r="AS193" s="120"/>
      <c r="AT193" s="121"/>
      <c r="AU193" s="121"/>
      <c r="AV193" s="123"/>
    </row>
    <row r="194" spans="36:48" ht="159" thickBot="1" x14ac:dyDescent="0.35">
      <c r="AK194" s="70" t="s">
        <v>176</v>
      </c>
      <c r="AL194" s="126">
        <v>3</v>
      </c>
      <c r="AM194" s="101">
        <v>2</v>
      </c>
      <c r="AN194" s="102"/>
      <c r="AO194" s="103"/>
      <c r="AP194" s="101"/>
      <c r="AQ194" s="102"/>
      <c r="AR194" s="103"/>
      <c r="AS194" s="101"/>
      <c r="AT194" s="102"/>
      <c r="AU194" s="102"/>
      <c r="AV194" s="104"/>
    </row>
    <row r="195" spans="36:48" ht="173.4" thickBot="1" x14ac:dyDescent="0.35">
      <c r="AK195" s="70" t="s">
        <v>177</v>
      </c>
      <c r="AL195" s="126">
        <v>4</v>
      </c>
      <c r="AM195" s="101">
        <v>4</v>
      </c>
      <c r="AN195" s="102"/>
      <c r="AO195" s="103"/>
      <c r="AP195" s="101"/>
      <c r="AQ195" s="102"/>
      <c r="AR195" s="103"/>
      <c r="AS195" s="101"/>
      <c r="AT195" s="102"/>
      <c r="AU195" s="102"/>
      <c r="AV195" s="104"/>
    </row>
    <row r="196" spans="36:48" ht="29.4" thickBot="1" x14ac:dyDescent="0.35">
      <c r="AJ196" s="394" t="s">
        <v>205</v>
      </c>
      <c r="AK196" s="197" t="s">
        <v>206</v>
      </c>
      <c r="AL196" s="119">
        <v>96</v>
      </c>
      <c r="AM196" s="200">
        <v>99</v>
      </c>
      <c r="AN196" s="121"/>
      <c r="AO196" s="122"/>
      <c r="AP196" s="120"/>
      <c r="AQ196" s="121"/>
      <c r="AR196" s="122"/>
      <c r="AS196" s="120"/>
      <c r="AT196" s="121"/>
      <c r="AU196" s="121"/>
      <c r="AV196" s="123"/>
    </row>
    <row r="197" spans="36:48" ht="29.4" thickBot="1" x14ac:dyDescent="0.35">
      <c r="AJ197" s="394"/>
      <c r="AK197" s="197" t="s">
        <v>207</v>
      </c>
      <c r="AL197" s="119">
        <v>39</v>
      </c>
      <c r="AM197" s="200">
        <v>30</v>
      </c>
      <c r="AN197" s="121"/>
      <c r="AO197" s="122"/>
      <c r="AP197" s="120"/>
      <c r="AQ197" s="121"/>
      <c r="AR197" s="122"/>
      <c r="AS197" s="120"/>
      <c r="AT197" s="121"/>
      <c r="AU197" s="121"/>
      <c r="AV197" s="123"/>
    </row>
    <row r="198" spans="36:48" ht="29.4" thickBot="1" x14ac:dyDescent="0.35">
      <c r="AJ198" s="394"/>
      <c r="AK198" s="198" t="s">
        <v>208</v>
      </c>
      <c r="AL198" s="119">
        <v>1.8</v>
      </c>
      <c r="AM198" s="200">
        <v>3.5</v>
      </c>
      <c r="AN198" s="121"/>
      <c r="AO198" s="122"/>
      <c r="AP198" s="120"/>
      <c r="AQ198" s="121"/>
      <c r="AR198" s="122"/>
      <c r="AS198" s="120"/>
      <c r="AT198" s="121"/>
      <c r="AU198" s="121"/>
      <c r="AV198" s="123"/>
    </row>
    <row r="199" spans="36:48" ht="29.4" thickBot="1" x14ac:dyDescent="0.35">
      <c r="AJ199" s="394"/>
      <c r="AK199" s="198" t="s">
        <v>209</v>
      </c>
      <c r="AL199" s="119">
        <v>3.3</v>
      </c>
      <c r="AM199" s="200">
        <v>4</v>
      </c>
      <c r="AN199" s="121"/>
      <c r="AO199" s="122"/>
      <c r="AP199" s="120"/>
      <c r="AQ199" s="121"/>
      <c r="AR199" s="122"/>
      <c r="AS199" s="120"/>
      <c r="AT199" s="121"/>
      <c r="AU199" s="121"/>
      <c r="AV199" s="123"/>
    </row>
    <row r="200" spans="36:48" ht="43.8" thickBot="1" x14ac:dyDescent="0.35">
      <c r="AJ200" s="395" t="s">
        <v>210</v>
      </c>
      <c r="AK200" s="198" t="s">
        <v>211</v>
      </c>
      <c r="AL200" s="119">
        <v>21</v>
      </c>
      <c r="AM200" s="200">
        <v>23</v>
      </c>
      <c r="AN200" s="121"/>
      <c r="AO200" s="122"/>
      <c r="AP200" s="120"/>
      <c r="AQ200" s="121"/>
      <c r="AR200" s="122"/>
      <c r="AS200" s="120"/>
      <c r="AT200" s="121"/>
      <c r="AU200" s="121"/>
      <c r="AV200" s="123"/>
    </row>
    <row r="201" spans="36:48" ht="43.8" thickBot="1" x14ac:dyDescent="0.35">
      <c r="AJ201" s="395"/>
      <c r="AK201" s="198" t="s">
        <v>228</v>
      </c>
      <c r="AL201" s="119">
        <v>25</v>
      </c>
      <c r="AM201" s="200">
        <v>21</v>
      </c>
      <c r="AN201" s="121"/>
      <c r="AO201" s="122"/>
      <c r="AP201" s="120"/>
      <c r="AQ201" s="121"/>
      <c r="AR201" s="122"/>
      <c r="AS201" s="120"/>
      <c r="AT201" s="121"/>
      <c r="AU201" s="121"/>
      <c r="AV201" s="123"/>
    </row>
    <row r="202" spans="36:48" ht="43.8" thickBot="1" x14ac:dyDescent="0.35">
      <c r="AJ202" s="395"/>
      <c r="AK202" s="198" t="s">
        <v>213</v>
      </c>
      <c r="AL202" s="119">
        <v>30</v>
      </c>
      <c r="AM202" s="200">
        <v>31</v>
      </c>
      <c r="AN202" s="121"/>
      <c r="AO202" s="122"/>
      <c r="AP202" s="120"/>
      <c r="AQ202" s="121"/>
      <c r="AR202" s="122"/>
      <c r="AS202" s="120"/>
      <c r="AT202" s="121"/>
      <c r="AU202" s="121"/>
      <c r="AV202" s="123"/>
    </row>
    <row r="203" spans="36:48" ht="43.8" thickBot="1" x14ac:dyDescent="0.35">
      <c r="AJ203" s="395"/>
      <c r="AK203" s="198" t="s">
        <v>229</v>
      </c>
      <c r="AL203" s="119">
        <v>29</v>
      </c>
      <c r="AM203" s="200">
        <v>30</v>
      </c>
      <c r="AN203" s="121"/>
      <c r="AO203" s="122"/>
      <c r="AP203" s="120"/>
      <c r="AQ203" s="121"/>
      <c r="AR203" s="122"/>
      <c r="AS203" s="120"/>
      <c r="AT203" s="121"/>
      <c r="AU203" s="121"/>
      <c r="AV203" s="123"/>
    </row>
    <row r="204" spans="36:48" ht="58.2" thickBot="1" x14ac:dyDescent="0.35">
      <c r="AJ204" s="395"/>
      <c r="AK204" s="198" t="s">
        <v>215</v>
      </c>
      <c r="AL204" s="119">
        <f>4000/3000</f>
        <v>1.3333333333333333</v>
      </c>
      <c r="AM204" s="200">
        <v>1.45</v>
      </c>
      <c r="AN204" s="121"/>
      <c r="AO204" s="122"/>
      <c r="AP204" s="120"/>
      <c r="AQ204" s="121"/>
      <c r="AR204" s="122"/>
      <c r="AS204" s="120"/>
      <c r="AT204" s="121"/>
      <c r="AU204" s="121"/>
      <c r="AV204" s="123"/>
    </row>
    <row r="205" spans="36:48" ht="43.8" thickBot="1" x14ac:dyDescent="0.35">
      <c r="AJ205" s="395"/>
      <c r="AK205" s="198" t="s">
        <v>230</v>
      </c>
      <c r="AL205" s="119">
        <f>1300/4000</f>
        <v>0.32500000000000001</v>
      </c>
      <c r="AM205" s="200">
        <f>1800/4000</f>
        <v>0.45</v>
      </c>
      <c r="AN205" s="121"/>
      <c r="AO205" s="122"/>
      <c r="AP205" s="120"/>
      <c r="AQ205" s="121"/>
      <c r="AR205" s="122"/>
      <c r="AS205" s="120"/>
      <c r="AT205" s="121"/>
      <c r="AU205" s="121"/>
      <c r="AV205" s="123"/>
    </row>
    <row r="206" spans="36:48" ht="72.599999999999994" thickBot="1" x14ac:dyDescent="0.35">
      <c r="AJ206" s="395"/>
      <c r="AK206" s="198" t="s">
        <v>231</v>
      </c>
      <c r="AL206" s="119">
        <f>U19/AL19</f>
        <v>3.8746745138871025E-2</v>
      </c>
      <c r="AM206" s="200">
        <f>U34/AL34</f>
        <v>4.3592266397152538E-2</v>
      </c>
      <c r="AN206" s="121"/>
      <c r="AO206" s="122"/>
      <c r="AP206" s="120"/>
      <c r="AQ206" s="121"/>
      <c r="AR206" s="122"/>
      <c r="AS206" s="120"/>
      <c r="AT206" s="121"/>
      <c r="AU206" s="121"/>
      <c r="AV206" s="123"/>
    </row>
    <row r="207" spans="36:48" x14ac:dyDescent="0.3">
      <c r="AK207" s="76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</row>
    <row r="208" spans="36:48" ht="28.8" x14ac:dyDescent="0.3">
      <c r="AK208" s="77" t="s">
        <v>132</v>
      </c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</row>
    <row r="209" spans="36:48" ht="14.55" customHeight="1" x14ac:dyDescent="0.3">
      <c r="AJ209" s="386" t="str">
        <f>AK187</f>
        <v>Redukcja s.m. [%]</v>
      </c>
      <c r="AK209" s="386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</row>
    <row r="210" spans="36:48" x14ac:dyDescent="0.3">
      <c r="AJ210" s="80" t="s">
        <v>133</v>
      </c>
      <c r="AK210" s="79">
        <f>MAX(AL187,AO187,AR187)</f>
        <v>0.77436823104693142</v>
      </c>
      <c r="AL210" s="387">
        <f>AL187/AK210</f>
        <v>1</v>
      </c>
      <c r="AM210" s="387">
        <f>AM187/AK211*10</f>
        <v>8.0195966101025267</v>
      </c>
      <c r="AN210" s="387">
        <f>AN187/AK212*10</f>
        <v>6.432925614566317</v>
      </c>
      <c r="AO210" s="387">
        <f>AO187/AK210*10</f>
        <v>7.5553492151002537</v>
      </c>
      <c r="AP210" s="387">
        <f>AP187/AK211*10</f>
        <v>2.7001803650323506</v>
      </c>
      <c r="AQ210" s="387">
        <f>AQ187/AK212*10</f>
        <v>10</v>
      </c>
      <c r="AR210" s="387">
        <f>AR187/AK210*10</f>
        <v>7.545449162077337</v>
      </c>
      <c r="AS210" s="387">
        <f>AS187/AK211*10</f>
        <v>10</v>
      </c>
      <c r="AT210" s="387">
        <f>AT187/AK212*10</f>
        <v>6.7938728997720901</v>
      </c>
      <c r="AU210" s="387" t="e">
        <f>AU187/AL212*10</f>
        <v>#DIV/0!</v>
      </c>
      <c r="AV210" s="387" t="e">
        <f>AV187/AM212*10</f>
        <v>#DIV/0!</v>
      </c>
    </row>
    <row r="211" spans="36:48" x14ac:dyDescent="0.3">
      <c r="AJ211" s="80" t="s">
        <v>134</v>
      </c>
      <c r="AK211" s="79">
        <f>MAX(AM187,AP187,AS187)</f>
        <v>0.56030150753768837</v>
      </c>
      <c r="AL211" s="387"/>
      <c r="AM211" s="387"/>
      <c r="AN211" s="387"/>
      <c r="AO211" s="387"/>
      <c r="AP211" s="387"/>
      <c r="AQ211" s="387"/>
      <c r="AR211" s="387"/>
      <c r="AS211" s="387"/>
      <c r="AT211" s="387"/>
      <c r="AU211" s="387"/>
      <c r="AV211" s="387"/>
    </row>
    <row r="212" spans="36:48" x14ac:dyDescent="0.3">
      <c r="AJ212" s="80" t="s">
        <v>135</v>
      </c>
      <c r="AK212" s="79">
        <f>MAX(AN187,AQ187,AT187)</f>
        <v>0.73076923076923073</v>
      </c>
      <c r="AL212" s="387"/>
      <c r="AM212" s="387"/>
      <c r="AN212" s="387"/>
      <c r="AO212" s="387"/>
      <c r="AP212" s="387"/>
      <c r="AQ212" s="387"/>
      <c r="AR212" s="387"/>
      <c r="AS212" s="387"/>
      <c r="AT212" s="387"/>
      <c r="AU212" s="387"/>
      <c r="AV212" s="387"/>
    </row>
    <row r="213" spans="36:48" ht="14.55" customHeight="1" x14ac:dyDescent="0.3">
      <c r="AJ213" s="386" t="str">
        <f>AK190</f>
        <v>Redukcja s.m.o [%]</v>
      </c>
      <c r="AK213" s="386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</row>
    <row r="214" spans="36:48" x14ac:dyDescent="0.3">
      <c r="AJ214" s="80" t="s">
        <v>133</v>
      </c>
      <c r="AK214" s="79">
        <f>MAX(AL190,AO190,AR190)</f>
        <v>0.76172605644709723</v>
      </c>
      <c r="AL214" s="387">
        <f>AL190/AK214*10</f>
        <v>10</v>
      </c>
      <c r="AM214" s="387">
        <f>AM190/AK215*10</f>
        <v>10</v>
      </c>
      <c r="AN214" s="387">
        <f>AN190/AK216*10</f>
        <v>7.4842277035556384</v>
      </c>
      <c r="AO214" s="387">
        <f>AO190/AK214*10</f>
        <v>3.6809825032415668</v>
      </c>
      <c r="AP214" s="387">
        <f>AP190/AK215*10</f>
        <v>1.6328337269940629</v>
      </c>
      <c r="AQ214" s="387">
        <f>AQ190/AK216*10</f>
        <v>10</v>
      </c>
      <c r="AR214" s="387">
        <f>AR190/AK214*10</f>
        <v>3.190961403987258</v>
      </c>
      <c r="AS214" s="387">
        <f>AS190/AK215*10</f>
        <v>1.1636589978033083</v>
      </c>
      <c r="AT214" s="387">
        <f>AT190/AK216*10</f>
        <v>2.6778531156150076</v>
      </c>
      <c r="AU214" s="387" t="e">
        <f>AU190/AL216*10</f>
        <v>#DIV/0!</v>
      </c>
      <c r="AV214" s="387" t="e">
        <f>AV190/AM216*10</f>
        <v>#DIV/0!</v>
      </c>
    </row>
    <row r="215" spans="36:48" x14ac:dyDescent="0.3">
      <c r="AJ215" s="80" t="s">
        <v>134</v>
      </c>
      <c r="AK215" s="79">
        <f>MAX(AM190,AP190,AS190)</f>
        <v>0.55625038401409077</v>
      </c>
      <c r="AL215" s="387"/>
      <c r="AM215" s="387"/>
      <c r="AN215" s="387"/>
      <c r="AO215" s="387"/>
      <c r="AP215" s="387"/>
      <c r="AQ215" s="387"/>
      <c r="AR215" s="387"/>
      <c r="AS215" s="387"/>
      <c r="AT215" s="387"/>
      <c r="AU215" s="387"/>
      <c r="AV215" s="387"/>
    </row>
    <row r="216" spans="36:48" x14ac:dyDescent="0.3">
      <c r="AJ216" s="80" t="s">
        <v>135</v>
      </c>
      <c r="AK216" s="79">
        <f>MAX(AN190,AQ190,AT190)</f>
        <v>0.36764276680610941</v>
      </c>
      <c r="AL216" s="387"/>
      <c r="AM216" s="387"/>
      <c r="AN216" s="387"/>
      <c r="AO216" s="387"/>
      <c r="AP216" s="387"/>
      <c r="AQ216" s="387"/>
      <c r="AR216" s="387"/>
      <c r="AS216" s="387"/>
      <c r="AT216" s="387"/>
      <c r="AU216" s="387"/>
      <c r="AV216" s="387"/>
    </row>
    <row r="217" spans="36:48" ht="15.6" x14ac:dyDescent="0.3">
      <c r="AJ217" s="386" t="str">
        <f>AK191</f>
        <v>Ilość produkowanego biometanu N m3/rok</v>
      </c>
      <c r="AK217" s="386"/>
      <c r="AN217" s="78"/>
      <c r="AO217" s="78"/>
      <c r="AP217" s="78"/>
      <c r="AQ217" s="78"/>
      <c r="AR217" s="78"/>
      <c r="AS217" s="78"/>
      <c r="AT217" s="78"/>
      <c r="AU217" s="78"/>
      <c r="AV217" s="78"/>
    </row>
    <row r="218" spans="36:48" x14ac:dyDescent="0.3">
      <c r="AJ218" s="80" t="s">
        <v>133</v>
      </c>
      <c r="AK218" s="84">
        <f>MAX(AL191,AO191,AR191)</f>
        <v>1100371.2305000001</v>
      </c>
      <c r="AL218" s="383">
        <f>AL191/AK218*10</f>
        <v>9.2457504367658938</v>
      </c>
      <c r="AM218" s="383">
        <f>AM191/AK219*10</f>
        <v>9.1286676275574568</v>
      </c>
      <c r="AN218" s="383">
        <f>AN191/AK220*10</f>
        <v>10</v>
      </c>
      <c r="AO218" s="383">
        <f>AO191/AK218*10</f>
        <v>9.9720069789665402</v>
      </c>
      <c r="AP218" s="383">
        <f>AP191/AK219*10</f>
        <v>9.4645312712648852</v>
      </c>
      <c r="AQ218" s="383">
        <f>AQ191/AK220*10</f>
        <v>9.0365088433534275</v>
      </c>
      <c r="AR218" s="383">
        <f>AR191/AK218*10</f>
        <v>10</v>
      </c>
      <c r="AS218" s="383">
        <f>AS191/AK219*10</f>
        <v>10</v>
      </c>
      <c r="AT218" s="383">
        <f>AT191/AK220*10</f>
        <v>8.9219940071831054</v>
      </c>
      <c r="AU218" s="383" t="e">
        <f>AU191/AL220*10</f>
        <v>#DIV/0!</v>
      </c>
      <c r="AV218" s="383" t="e">
        <f>AV191/AM220*10</f>
        <v>#DIV/0!</v>
      </c>
    </row>
    <row r="219" spans="36:48" x14ac:dyDescent="0.3">
      <c r="AJ219" s="80" t="s">
        <v>134</v>
      </c>
      <c r="AK219" s="84">
        <f>MAX(AM191,AP191,AS191)</f>
        <v>1146531.6124999998</v>
      </c>
      <c r="AL219" s="384"/>
      <c r="AM219" s="384"/>
      <c r="AN219" s="384"/>
      <c r="AO219" s="384"/>
      <c r="AP219" s="384"/>
      <c r="AQ219" s="384"/>
      <c r="AR219" s="384"/>
      <c r="AS219" s="384"/>
      <c r="AT219" s="384"/>
      <c r="AU219" s="384"/>
      <c r="AV219" s="384"/>
    </row>
    <row r="220" spans="36:48" x14ac:dyDescent="0.3">
      <c r="AJ220" s="80" t="s">
        <v>135</v>
      </c>
      <c r="AK220" s="84">
        <f>MAX(AN191,AQ191,AT191)</f>
        <v>1202179.7315</v>
      </c>
      <c r="AL220" s="385"/>
      <c r="AM220" s="385"/>
      <c r="AN220" s="385"/>
      <c r="AO220" s="385"/>
      <c r="AP220" s="385"/>
      <c r="AQ220" s="385"/>
      <c r="AR220" s="385"/>
      <c r="AS220" s="385"/>
      <c r="AT220" s="385"/>
      <c r="AU220" s="385"/>
      <c r="AV220" s="385"/>
    </row>
    <row r="221" spans="36:48" x14ac:dyDescent="0.3">
      <c r="AL221" s="78"/>
      <c r="AM221" s="78"/>
      <c r="AN221" s="78"/>
      <c r="AO221" s="78"/>
      <c r="AP221" s="78"/>
      <c r="AQ221" s="78"/>
      <c r="AR221" s="78"/>
      <c r="AS221" s="78"/>
      <c r="AT221" s="78"/>
    </row>
  </sheetData>
  <mergeCells count="324">
    <mergeCell ref="B7:B172"/>
    <mergeCell ref="C7:C18"/>
    <mergeCell ref="D7:D9"/>
    <mergeCell ref="Q7:R7"/>
    <mergeCell ref="X7:X18"/>
    <mergeCell ref="Z7:Z18"/>
    <mergeCell ref="AB7:AB18"/>
    <mergeCell ref="H4:R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D12:D14"/>
    <mergeCell ref="C22:C33"/>
    <mergeCell ref="D22:D24"/>
    <mergeCell ref="Q22:R22"/>
    <mergeCell ref="D27:D29"/>
    <mergeCell ref="Q30:R30"/>
    <mergeCell ref="Q31:R31"/>
    <mergeCell ref="AD7:AD18"/>
    <mergeCell ref="AE7:AE18"/>
    <mergeCell ref="AR7:AR18"/>
    <mergeCell ref="AS7:AS18"/>
    <mergeCell ref="AI7:AI12"/>
    <mergeCell ref="AI14:AI18"/>
    <mergeCell ref="AH7:AH12"/>
    <mergeCell ref="O5:P5"/>
    <mergeCell ref="Q5:R6"/>
    <mergeCell ref="S5:AS5"/>
    <mergeCell ref="Q8:R8"/>
    <mergeCell ref="Q9:R9"/>
    <mergeCell ref="Q10:R10"/>
    <mergeCell ref="Q11:R11"/>
    <mergeCell ref="Q12:R12"/>
    <mergeCell ref="Q13:R13"/>
    <mergeCell ref="Q14:R14"/>
    <mergeCell ref="AC7:AC18"/>
    <mergeCell ref="Q15:R15"/>
    <mergeCell ref="Q16:R16"/>
    <mergeCell ref="Q17:R17"/>
    <mergeCell ref="Q18:R18"/>
    <mergeCell ref="AH14:AH18"/>
    <mergeCell ref="AQ7:AQ12"/>
    <mergeCell ref="AR22:AR33"/>
    <mergeCell ref="AS22:AS33"/>
    <mergeCell ref="Q23:R23"/>
    <mergeCell ref="Q24:R24"/>
    <mergeCell ref="Q25:R25"/>
    <mergeCell ref="Q26:R26"/>
    <mergeCell ref="Q27:R27"/>
    <mergeCell ref="Q28:R28"/>
    <mergeCell ref="Q29:R29"/>
    <mergeCell ref="X22:X33"/>
    <mergeCell ref="Z22:Z33"/>
    <mergeCell ref="AB22:AB33"/>
    <mergeCell ref="AC22:AC33"/>
    <mergeCell ref="AD22:AD33"/>
    <mergeCell ref="AE22:AE33"/>
    <mergeCell ref="AQ22:AQ28"/>
    <mergeCell ref="AQ30:AQ33"/>
    <mergeCell ref="Q32:R32"/>
    <mergeCell ref="Q33:R33"/>
    <mergeCell ref="C37:C48"/>
    <mergeCell ref="D37:D39"/>
    <mergeCell ref="Q37:R37"/>
    <mergeCell ref="X37:X48"/>
    <mergeCell ref="D42:D44"/>
    <mergeCell ref="Q46:R46"/>
    <mergeCell ref="Q47:R47"/>
    <mergeCell ref="Q48:R48"/>
    <mergeCell ref="AR37:AR48"/>
    <mergeCell ref="AS37:AS48"/>
    <mergeCell ref="Q38:R38"/>
    <mergeCell ref="Q39:R39"/>
    <mergeCell ref="Q40:R40"/>
    <mergeCell ref="Q41:R41"/>
    <mergeCell ref="Q42:R42"/>
    <mergeCell ref="Q43:R43"/>
    <mergeCell ref="Q44:R44"/>
    <mergeCell ref="Q45:R45"/>
    <mergeCell ref="Z37:Z48"/>
    <mergeCell ref="AB37:AB48"/>
    <mergeCell ref="AC37:AC48"/>
    <mergeCell ref="AD37:AD48"/>
    <mergeCell ref="AE37:AE48"/>
    <mergeCell ref="AQ37:AQ48"/>
    <mergeCell ref="AQ54:AQ65"/>
    <mergeCell ref="AR54:AR65"/>
    <mergeCell ref="AS54:AS65"/>
    <mergeCell ref="C54:C65"/>
    <mergeCell ref="D54:D56"/>
    <mergeCell ref="Q54:R54"/>
    <mergeCell ref="X54:X65"/>
    <mergeCell ref="Z54:Z65"/>
    <mergeCell ref="AB54:AB65"/>
    <mergeCell ref="Q55:R55"/>
    <mergeCell ref="Q56:R56"/>
    <mergeCell ref="Q57:R57"/>
    <mergeCell ref="Q58:R58"/>
    <mergeCell ref="D59:D61"/>
    <mergeCell ref="Q59:R59"/>
    <mergeCell ref="Q60:R60"/>
    <mergeCell ref="Q61:R61"/>
    <mergeCell ref="Q62:R62"/>
    <mergeCell ref="Q63:R63"/>
    <mergeCell ref="AC54:AC65"/>
    <mergeCell ref="AD54:AD65"/>
    <mergeCell ref="AE54:AE65"/>
    <mergeCell ref="Q64:R64"/>
    <mergeCell ref="Q65:R65"/>
    <mergeCell ref="C69:C80"/>
    <mergeCell ref="D69:D71"/>
    <mergeCell ref="Q69:R69"/>
    <mergeCell ref="X69:X80"/>
    <mergeCell ref="D74:D76"/>
    <mergeCell ref="Q78:R78"/>
    <mergeCell ref="Q79:R79"/>
    <mergeCell ref="Q80:R80"/>
    <mergeCell ref="AR69:AR80"/>
    <mergeCell ref="AS69:AS80"/>
    <mergeCell ref="Q70:R70"/>
    <mergeCell ref="Q71:R71"/>
    <mergeCell ref="Q72:R72"/>
    <mergeCell ref="Q73:R73"/>
    <mergeCell ref="Q74:R74"/>
    <mergeCell ref="Q75:R75"/>
    <mergeCell ref="Q76:R76"/>
    <mergeCell ref="Q77:R77"/>
    <mergeCell ref="Z69:Z80"/>
    <mergeCell ref="AB69:AB80"/>
    <mergeCell ref="AC69:AC80"/>
    <mergeCell ref="AD69:AD80"/>
    <mergeCell ref="AE69:AE80"/>
    <mergeCell ref="AQ69:AQ80"/>
    <mergeCell ref="AQ84:AQ95"/>
    <mergeCell ref="AR84:AR95"/>
    <mergeCell ref="AS84:AS95"/>
    <mergeCell ref="C84:C95"/>
    <mergeCell ref="D84:D86"/>
    <mergeCell ref="Q84:R84"/>
    <mergeCell ref="X84:X95"/>
    <mergeCell ref="Z84:Z95"/>
    <mergeCell ref="AB84:AB95"/>
    <mergeCell ref="Q85:R85"/>
    <mergeCell ref="Q86:R86"/>
    <mergeCell ref="Q87:R87"/>
    <mergeCell ref="Q88:R88"/>
    <mergeCell ref="D89:D91"/>
    <mergeCell ref="Q89:R89"/>
    <mergeCell ref="Q90:R90"/>
    <mergeCell ref="Q91:R91"/>
    <mergeCell ref="Q92:R92"/>
    <mergeCell ref="Q93:R93"/>
    <mergeCell ref="AC84:AC95"/>
    <mergeCell ref="AD84:AD95"/>
    <mergeCell ref="AE84:AE95"/>
    <mergeCell ref="Q94:R94"/>
    <mergeCell ref="Q95:R95"/>
    <mergeCell ref="C101:C112"/>
    <mergeCell ref="D101:D103"/>
    <mergeCell ref="Q101:R101"/>
    <mergeCell ref="X101:X112"/>
    <mergeCell ref="D106:D108"/>
    <mergeCell ref="Q110:R110"/>
    <mergeCell ref="Q111:R111"/>
    <mergeCell ref="Q112:R112"/>
    <mergeCell ref="AR101:AR112"/>
    <mergeCell ref="AS101:AS112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Z101:Z112"/>
    <mergeCell ref="AB101:AB112"/>
    <mergeCell ref="AC101:AC112"/>
    <mergeCell ref="AD101:AD112"/>
    <mergeCell ref="AE101:AE112"/>
    <mergeCell ref="AQ101:AQ112"/>
    <mergeCell ref="AQ116:AQ127"/>
    <mergeCell ref="AR116:AR127"/>
    <mergeCell ref="AS116:AS127"/>
    <mergeCell ref="C116:C127"/>
    <mergeCell ref="D116:D118"/>
    <mergeCell ref="Q116:R116"/>
    <mergeCell ref="X116:X127"/>
    <mergeCell ref="Z116:Z127"/>
    <mergeCell ref="AB116:AB127"/>
    <mergeCell ref="Q117:R117"/>
    <mergeCell ref="Q118:R118"/>
    <mergeCell ref="Q119:R119"/>
    <mergeCell ref="Q120:R120"/>
    <mergeCell ref="D121:D123"/>
    <mergeCell ref="Q121:R121"/>
    <mergeCell ref="Q122:R122"/>
    <mergeCell ref="Q123:R123"/>
    <mergeCell ref="Q124:R124"/>
    <mergeCell ref="Q125:R125"/>
    <mergeCell ref="AC116:AC127"/>
    <mergeCell ref="AD116:AD127"/>
    <mergeCell ref="AE116:AE127"/>
    <mergeCell ref="Q126:R126"/>
    <mergeCell ref="Q127:R127"/>
    <mergeCell ref="C131:C142"/>
    <mergeCell ref="D131:D133"/>
    <mergeCell ref="Q131:R131"/>
    <mergeCell ref="X131:X142"/>
    <mergeCell ref="D136:D138"/>
    <mergeCell ref="Q140:R140"/>
    <mergeCell ref="Q141:R141"/>
    <mergeCell ref="Q142:R142"/>
    <mergeCell ref="AR131:AR142"/>
    <mergeCell ref="AS131:AS142"/>
    <mergeCell ref="Q132:R132"/>
    <mergeCell ref="Q133:R133"/>
    <mergeCell ref="Q134:R134"/>
    <mergeCell ref="Q135:R135"/>
    <mergeCell ref="Q136:R136"/>
    <mergeCell ref="Q137:R137"/>
    <mergeCell ref="Q138:R138"/>
    <mergeCell ref="Q139:R139"/>
    <mergeCell ref="Z131:Z142"/>
    <mergeCell ref="AB131:AB142"/>
    <mergeCell ref="AC131:AC142"/>
    <mergeCell ref="AD131:AD142"/>
    <mergeCell ref="AE131:AE142"/>
    <mergeCell ref="AQ131:AQ142"/>
    <mergeCell ref="AQ146:AQ157"/>
    <mergeCell ref="AR146:AR157"/>
    <mergeCell ref="AS146:AS157"/>
    <mergeCell ref="C146:C157"/>
    <mergeCell ref="D146:D148"/>
    <mergeCell ref="Q146:R146"/>
    <mergeCell ref="X146:X157"/>
    <mergeCell ref="Z146:Z157"/>
    <mergeCell ref="AB146:AB157"/>
    <mergeCell ref="Q147:R147"/>
    <mergeCell ref="Q148:R148"/>
    <mergeCell ref="Q149:R149"/>
    <mergeCell ref="Q150:R150"/>
    <mergeCell ref="D151:D153"/>
    <mergeCell ref="Q151:R151"/>
    <mergeCell ref="Q152:R152"/>
    <mergeCell ref="Q153:R153"/>
    <mergeCell ref="Q154:R154"/>
    <mergeCell ref="Q155:R155"/>
    <mergeCell ref="AC146:AC157"/>
    <mergeCell ref="AD146:AD157"/>
    <mergeCell ref="AE146:AE157"/>
    <mergeCell ref="Q156:R156"/>
    <mergeCell ref="Q157:R157"/>
    <mergeCell ref="C161:C172"/>
    <mergeCell ref="D161:D163"/>
    <mergeCell ref="Q161:R161"/>
    <mergeCell ref="X161:X172"/>
    <mergeCell ref="D166:D168"/>
    <mergeCell ref="Q170:R170"/>
    <mergeCell ref="Q171:R171"/>
    <mergeCell ref="Q172:R172"/>
    <mergeCell ref="AR161:AR172"/>
    <mergeCell ref="AS161:AS172"/>
    <mergeCell ref="Q162:R162"/>
    <mergeCell ref="Q163:R163"/>
    <mergeCell ref="Q164:R164"/>
    <mergeCell ref="Q165:R165"/>
    <mergeCell ref="Q166:R166"/>
    <mergeCell ref="Q167:R167"/>
    <mergeCell ref="Q168:R168"/>
    <mergeCell ref="Q169:R169"/>
    <mergeCell ref="Z161:Z172"/>
    <mergeCell ref="AB161:AB172"/>
    <mergeCell ref="AC161:AC172"/>
    <mergeCell ref="AD161:AD172"/>
    <mergeCell ref="AE161:AE172"/>
    <mergeCell ref="AQ161:AQ172"/>
    <mergeCell ref="AL214:AL216"/>
    <mergeCell ref="AM214:AM216"/>
    <mergeCell ref="AN214:AN216"/>
    <mergeCell ref="AO214:AO216"/>
    <mergeCell ref="AP214:AP216"/>
    <mergeCell ref="AL178:AV178"/>
    <mergeCell ref="AL179:AV179"/>
    <mergeCell ref="AJ209:AK209"/>
    <mergeCell ref="AL210:AL212"/>
    <mergeCell ref="AM210:AM212"/>
    <mergeCell ref="AN210:AN212"/>
    <mergeCell ref="AO210:AO212"/>
    <mergeCell ref="AP210:AP212"/>
    <mergeCell ref="AQ210:AQ212"/>
    <mergeCell ref="AR210:AR212"/>
    <mergeCell ref="AJ196:AJ199"/>
    <mergeCell ref="AJ200:AJ206"/>
    <mergeCell ref="AQ14:AQ18"/>
    <mergeCell ref="AQ218:AQ220"/>
    <mergeCell ref="AR218:AR220"/>
    <mergeCell ref="AS218:AS220"/>
    <mergeCell ref="AT218:AT220"/>
    <mergeCell ref="AU218:AU220"/>
    <mergeCell ref="AV218:AV220"/>
    <mergeCell ref="AJ217:AK217"/>
    <mergeCell ref="AL218:AL220"/>
    <mergeCell ref="AM218:AM220"/>
    <mergeCell ref="AN218:AN220"/>
    <mergeCell ref="AO218:AO220"/>
    <mergeCell ref="AP218:AP220"/>
    <mergeCell ref="AQ214:AQ216"/>
    <mergeCell ref="AR214:AR216"/>
    <mergeCell ref="AS214:AS216"/>
    <mergeCell ref="AT214:AT216"/>
    <mergeCell ref="AU214:AU216"/>
    <mergeCell ref="AV214:AV216"/>
    <mergeCell ref="AS210:AS212"/>
    <mergeCell ref="AT210:AT212"/>
    <mergeCell ref="AU210:AU212"/>
    <mergeCell ref="AV210:AV212"/>
    <mergeCell ref="AJ213:AK213"/>
  </mergeCells>
  <conditionalFormatting sqref="AO191 AL191 AR19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191 AP191 AS19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:V1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2:V3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7:V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4:V6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9:V8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01:V1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84:V9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16:V12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31:V1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46:V15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61:V1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191 AQ191 AT191:AV19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87:AV18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90:AV1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1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zakresy!$C$3:$C$101</xm:f>
          </x14:formula1>
          <xm:sqref>M131:M142 M7:M18 M54:M65 M37:M48 M22:M33 M69:M80 M116:M127 M146:M157 M101:M112 M84:M95 M161:M172</xm:sqref>
        </x14:dataValidation>
        <x14:dataValidation type="list" allowBlank="1" showInputMessage="1" showErrorMessage="1">
          <x14:formula1>
            <xm:f>zakresy!$B$3:$B$99</xm:f>
          </x14:formula1>
          <xm:sqref>K131:K142 K7:K18 K54:K65 K37:K48 K22:K33 K69:K80 K116:K127 K146:K157 K101:K112 K84:K95 K161:K172</xm:sqref>
        </x14:dataValidation>
        <x14:dataValidation type="list" allowBlank="1" showInputMessage="1" showErrorMessage="1">
          <x14:formula1>
            <xm:f>zakresy!$A$3:$A$99</xm:f>
          </x14:formula1>
          <xm:sqref>I131:I142 I7:I18 I54:I65 I37:I48 I22:I33 I69:I80 I116:I127 I146:I157 I101:I112 I84:I95 I161:I172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3"/>
  <sheetViews>
    <sheetView zoomScale="90" zoomScaleNormal="9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G28" sqref="G28"/>
    </sheetView>
  </sheetViews>
  <sheetFormatPr defaultRowHeight="14.4" x14ac:dyDescent="0.3"/>
  <cols>
    <col min="4" max="4" width="45.33203125" customWidth="1"/>
    <col min="5" max="5" width="17.6640625" customWidth="1"/>
    <col min="6" max="6" width="21.5546875" customWidth="1"/>
    <col min="7" max="7" width="21.44140625" customWidth="1"/>
    <col min="8" max="8" width="21.109375" customWidth="1"/>
    <col min="9" max="9" width="18.77734375" customWidth="1"/>
    <col min="10" max="10" width="17.5546875" customWidth="1"/>
    <col min="11" max="11" width="24.77734375" customWidth="1"/>
    <col min="12" max="12" width="23.33203125" customWidth="1"/>
    <col min="13" max="13" width="24.33203125" customWidth="1"/>
    <col min="14" max="14" width="23" customWidth="1"/>
    <col min="15" max="15" width="19.44140625" customWidth="1"/>
    <col min="16" max="16" width="18.21875" customWidth="1"/>
  </cols>
  <sheetData>
    <row r="2" spans="2:19" ht="34.950000000000003" customHeight="1" thickBot="1" x14ac:dyDescent="0.35">
      <c r="F2" s="447" t="s">
        <v>198</v>
      </c>
      <c r="G2" s="447"/>
      <c r="H2" s="447"/>
      <c r="I2" s="447"/>
      <c r="J2" s="447"/>
      <c r="K2" s="447"/>
      <c r="L2" s="447"/>
      <c r="M2" s="447"/>
      <c r="N2" s="447"/>
      <c r="O2" s="447"/>
    </row>
    <row r="3" spans="2:19" ht="18.600000000000001" thickBot="1" x14ac:dyDescent="0.4">
      <c r="F3" s="450" t="e">
        <f>#REF!</f>
        <v>#REF!</v>
      </c>
      <c r="G3" s="450"/>
      <c r="H3" s="450"/>
      <c r="I3" s="450"/>
      <c r="L3" s="450" t="e">
        <f>#REF!</f>
        <v>#REF!</v>
      </c>
      <c r="M3" s="450"/>
      <c r="N3" s="450"/>
      <c r="O3" s="450"/>
    </row>
    <row r="4" spans="2:19" ht="63.45" customHeight="1" thickBot="1" x14ac:dyDescent="0.35">
      <c r="D4" s="466" t="e">
        <f>#REF!</f>
        <v>#REF!</v>
      </c>
      <c r="E4" s="467"/>
      <c r="F4" s="451" t="e">
        <f>#REF!</f>
        <v>#REF!</v>
      </c>
      <c r="G4" s="451"/>
      <c r="H4" s="451"/>
      <c r="I4" s="451"/>
      <c r="J4" s="448" t="s">
        <v>199</v>
      </c>
      <c r="K4" s="182"/>
      <c r="L4" s="451" t="e">
        <f>#REF!</f>
        <v>#REF!</v>
      </c>
      <c r="M4" s="451"/>
      <c r="N4" s="451"/>
      <c r="O4" s="451"/>
      <c r="P4" s="448" t="s">
        <v>199</v>
      </c>
      <c r="Q4" s="184"/>
      <c r="R4" s="184"/>
      <c r="S4" s="184"/>
    </row>
    <row r="5" spans="2:19" ht="25.95" customHeight="1" thickBot="1" x14ac:dyDescent="0.35">
      <c r="D5" s="145" t="s">
        <v>204</v>
      </c>
      <c r="E5" s="145" t="s">
        <v>136</v>
      </c>
      <c r="F5" s="146" t="e">
        <f>#REF!</f>
        <v>#REF!</v>
      </c>
      <c r="G5" s="146" t="str">
        <f>'wariant surowcowy firma X'!L3</f>
        <v>Firma X</v>
      </c>
      <c r="H5" s="146" t="str">
        <f>'wariant surowcowy firma Y'!L3</f>
        <v>Firma Y</v>
      </c>
      <c r="I5" s="146" t="s">
        <v>163</v>
      </c>
      <c r="J5" s="449"/>
      <c r="K5" s="182"/>
      <c r="L5" s="146" t="e">
        <f>F5</f>
        <v>#REF!</v>
      </c>
      <c r="M5" s="146" t="str">
        <f t="shared" ref="M5:O5" si="0">G5</f>
        <v>Firma X</v>
      </c>
      <c r="N5" s="146" t="str">
        <f t="shared" si="0"/>
        <v>Firma Y</v>
      </c>
      <c r="O5" s="146" t="str">
        <f t="shared" si="0"/>
        <v>Firma …………………</v>
      </c>
      <c r="P5" s="449"/>
    </row>
    <row r="6" spans="2:19" ht="58.5" customHeight="1" thickBot="1" x14ac:dyDescent="0.35">
      <c r="B6" s="69" t="s">
        <v>9</v>
      </c>
      <c r="C6" s="455" t="s">
        <v>170</v>
      </c>
      <c r="D6" s="460" t="e">
        <f>#REF!</f>
        <v>#REF!</v>
      </c>
      <c r="E6" s="461"/>
      <c r="F6" s="132" t="e">
        <f>#REF!</f>
        <v>#REF!</v>
      </c>
      <c r="G6" s="132">
        <f>'wariant surowcowy firma X'!AL182</f>
        <v>53.278688524590166</v>
      </c>
      <c r="H6" s="132">
        <f>'wariant surowcowy firma Y'!AL182</f>
        <v>23.148148148148149</v>
      </c>
      <c r="I6" s="99" t="s">
        <v>165</v>
      </c>
      <c r="J6" s="133" t="e">
        <f t="shared" ref="J6:J14" si="1">MAX(F6:I6)</f>
        <v>#REF!</v>
      </c>
      <c r="K6" s="183"/>
      <c r="L6" s="132" t="e">
        <f>#REF!</f>
        <v>#REF!</v>
      </c>
      <c r="M6" s="132">
        <f>'wariant surowcowy firma X'!AM182</f>
        <v>59.016393442622956</v>
      </c>
      <c r="N6" s="132">
        <f>'wariant surowcowy firma Y'!AM182</f>
        <v>58.4</v>
      </c>
      <c r="O6" s="99" t="s">
        <v>165</v>
      </c>
      <c r="P6" s="133" t="e">
        <f t="shared" ref="P6:P14" si="2">MAX(L6:O6)</f>
        <v>#REF!</v>
      </c>
    </row>
    <row r="7" spans="2:19" ht="62.55" customHeight="1" thickBot="1" x14ac:dyDescent="0.35">
      <c r="B7" s="69" t="s">
        <v>10</v>
      </c>
      <c r="C7" s="455"/>
      <c r="D7" s="462" t="e">
        <f>#REF!</f>
        <v>#REF!</v>
      </c>
      <c r="E7" s="463"/>
      <c r="F7" s="135" t="e">
        <f>#REF!</f>
        <v>#REF!</v>
      </c>
      <c r="G7" s="135">
        <f>'wariant surowcowy firma X'!AL183</f>
        <v>41.146555709662508</v>
      </c>
      <c r="H7" s="135">
        <f>'wariant surowcowy firma Y'!AL183</f>
        <v>15.904785732156258</v>
      </c>
      <c r="I7" s="71"/>
      <c r="J7" s="136" t="e">
        <f t="shared" si="1"/>
        <v>#REF!</v>
      </c>
      <c r="K7" s="183"/>
      <c r="L7" s="135" t="e">
        <f>#REF!</f>
        <v>#REF!</v>
      </c>
      <c r="M7" s="135">
        <f>'wariant surowcowy firma X'!AM183</f>
        <v>33.655044244049748</v>
      </c>
      <c r="N7" s="135">
        <f>'wariant surowcowy firma Y'!AM183</f>
        <v>33.091432901644602</v>
      </c>
      <c r="O7" s="71"/>
      <c r="P7" s="136" t="e">
        <f t="shared" si="2"/>
        <v>#REF!</v>
      </c>
    </row>
    <row r="8" spans="2:19" ht="15" thickBot="1" x14ac:dyDescent="0.35">
      <c r="B8" s="69" t="s">
        <v>11</v>
      </c>
      <c r="C8" s="455"/>
      <c r="D8" s="134" t="e">
        <f>#REF!</f>
        <v>#REF!</v>
      </c>
      <c r="E8" s="144"/>
      <c r="F8" s="135" t="e">
        <f>#REF!</f>
        <v>#REF!</v>
      </c>
      <c r="G8" s="135">
        <f>'wariant surowcowy firma X'!AL184</f>
        <v>122</v>
      </c>
      <c r="H8" s="135">
        <f>'wariant surowcowy firma Y'!AL184</f>
        <v>108</v>
      </c>
      <c r="I8" s="71"/>
      <c r="J8" s="136" t="e">
        <f t="shared" si="1"/>
        <v>#REF!</v>
      </c>
      <c r="K8" s="183"/>
      <c r="L8" s="135" t="e">
        <f>#REF!</f>
        <v>#REF!</v>
      </c>
      <c r="M8" s="135">
        <f>'wariant surowcowy firma X'!AM184</f>
        <v>122</v>
      </c>
      <c r="N8" s="135">
        <f>'wariant surowcowy firma Y'!AM184</f>
        <v>125</v>
      </c>
      <c r="O8" s="71"/>
      <c r="P8" s="136" t="e">
        <f t="shared" si="2"/>
        <v>#REF!</v>
      </c>
    </row>
    <row r="9" spans="2:19" ht="15" thickBot="1" x14ac:dyDescent="0.35">
      <c r="B9" s="69" t="s">
        <v>12</v>
      </c>
      <c r="C9" s="455"/>
      <c r="D9" s="134" t="e">
        <f>#REF!</f>
        <v>#REF!</v>
      </c>
      <c r="E9" s="144"/>
      <c r="F9" s="135" t="e">
        <f>#REF!</f>
        <v>#REF!</v>
      </c>
      <c r="G9" s="135">
        <f>'wariant surowcowy firma X'!AL185</f>
        <v>22.240000000000002</v>
      </c>
      <c r="H9" s="135">
        <f>'wariant surowcowy firma Y'!AL185</f>
        <v>22.16</v>
      </c>
      <c r="I9" s="71"/>
      <c r="J9" s="136" t="e">
        <f t="shared" si="1"/>
        <v>#REF!</v>
      </c>
      <c r="K9" s="183"/>
      <c r="L9" s="135" t="e">
        <f>#REF!</f>
        <v>#REF!</v>
      </c>
      <c r="M9" s="135">
        <f>'wariant surowcowy firma X'!AM185</f>
        <v>17.420000000000002</v>
      </c>
      <c r="N9" s="135">
        <f>'wariant surowcowy firma Y'!AM185</f>
        <v>18.16</v>
      </c>
      <c r="O9" s="71"/>
      <c r="P9" s="136" t="e">
        <f t="shared" si="2"/>
        <v>#REF!</v>
      </c>
    </row>
    <row r="10" spans="2:19" ht="15" thickBot="1" x14ac:dyDescent="0.35">
      <c r="B10" s="69" t="s">
        <v>13</v>
      </c>
      <c r="C10" s="455"/>
      <c r="D10" s="134" t="e">
        <f>#REF!</f>
        <v>#REF!</v>
      </c>
      <c r="E10" s="144"/>
      <c r="F10" s="135" t="e">
        <f>#REF!</f>
        <v>#REF!</v>
      </c>
      <c r="G10" s="135">
        <f>'wariant surowcowy firma X'!AL186</f>
        <v>9</v>
      </c>
      <c r="H10" s="135">
        <f>'wariant surowcowy firma Y'!AL186</f>
        <v>5</v>
      </c>
      <c r="I10" s="71"/>
      <c r="J10" s="136" t="e">
        <f t="shared" si="1"/>
        <v>#REF!</v>
      </c>
      <c r="K10" s="183"/>
      <c r="L10" s="135" t="e">
        <f>#REF!</f>
        <v>#REF!</v>
      </c>
      <c r="M10" s="135">
        <f>'wariant surowcowy firma X'!AM186</f>
        <v>10</v>
      </c>
      <c r="N10" s="135">
        <f>'wariant surowcowy firma Y'!AM186</f>
        <v>10</v>
      </c>
      <c r="O10" s="71"/>
      <c r="P10" s="136" t="e">
        <f t="shared" si="2"/>
        <v>#REF!</v>
      </c>
    </row>
    <row r="11" spans="2:19" ht="15" thickBot="1" x14ac:dyDescent="0.35">
      <c r="B11" s="69" t="s">
        <v>14</v>
      </c>
      <c r="C11" s="455"/>
      <c r="D11" s="134" t="e">
        <f>#REF!</f>
        <v>#REF!</v>
      </c>
      <c r="E11" s="144"/>
      <c r="F11" s="135" t="e">
        <f>#REF!</f>
        <v>#REF!</v>
      </c>
      <c r="G11" s="135">
        <f>'wariant surowcowy firma X'!AL187</f>
        <v>0.59532374100719432</v>
      </c>
      <c r="H11" s="135">
        <f>'wariant surowcowy firma Y'!AL187</f>
        <v>0.77436823104693142</v>
      </c>
      <c r="I11" s="71"/>
      <c r="J11" s="136" t="e">
        <f t="shared" si="1"/>
        <v>#REF!</v>
      </c>
      <c r="K11" s="183"/>
      <c r="L11" s="135" t="e">
        <f>#REF!</f>
        <v>#REF!</v>
      </c>
      <c r="M11" s="135">
        <f>'wariant surowcowy firma X'!AM187</f>
        <v>0.42594718714121704</v>
      </c>
      <c r="N11" s="135">
        <f>'wariant surowcowy firma Y'!AM187</f>
        <v>0.44933920704845814</v>
      </c>
      <c r="O11" s="71"/>
      <c r="P11" s="136" t="e">
        <f t="shared" si="2"/>
        <v>#REF!</v>
      </c>
    </row>
    <row r="12" spans="2:19" ht="15" thickBot="1" x14ac:dyDescent="0.35">
      <c r="B12" s="69" t="s">
        <v>15</v>
      </c>
      <c r="C12" s="455"/>
      <c r="D12" s="134" t="e">
        <f>#REF!</f>
        <v>#REF!</v>
      </c>
      <c r="E12" s="144"/>
      <c r="F12" s="135" t="e">
        <f>#REF!</f>
        <v>#REF!</v>
      </c>
      <c r="G12" s="135">
        <f>'wariant surowcowy firma X'!AL188</f>
        <v>16.871399999999998</v>
      </c>
      <c r="H12" s="135">
        <f>'wariant surowcowy firma Y'!AL188</f>
        <v>16.787400000000002</v>
      </c>
      <c r="I12" s="71"/>
      <c r="J12" s="136" t="e">
        <f t="shared" si="1"/>
        <v>#REF!</v>
      </c>
      <c r="K12" s="183"/>
      <c r="L12" s="135" t="e">
        <f>#REF!</f>
        <v>#REF!</v>
      </c>
      <c r="M12" s="135">
        <f>'wariant surowcowy firma X'!AM188</f>
        <v>14.205300000000001</v>
      </c>
      <c r="N12" s="135">
        <f>'wariant surowcowy firma Y'!AM188</f>
        <v>14.6479</v>
      </c>
      <c r="O12" s="71"/>
      <c r="P12" s="136" t="e">
        <f t="shared" si="2"/>
        <v>#REF!</v>
      </c>
    </row>
    <row r="13" spans="2:19" ht="15" thickBot="1" x14ac:dyDescent="0.35">
      <c r="B13" s="69" t="s">
        <v>16</v>
      </c>
      <c r="C13" s="455"/>
      <c r="D13" s="134" t="e">
        <f>#REF!</f>
        <v>#REF!</v>
      </c>
      <c r="E13" s="144"/>
      <c r="F13" s="135" t="e">
        <f>#REF!</f>
        <v>#REF!</v>
      </c>
      <c r="G13" s="135">
        <f>'wariant surowcowy firma X'!AL189</f>
        <v>11</v>
      </c>
      <c r="H13" s="135">
        <f>'wariant surowcowy firma Y'!AL189</f>
        <v>4</v>
      </c>
      <c r="I13" s="71"/>
      <c r="J13" s="136" t="e">
        <f t="shared" si="1"/>
        <v>#REF!</v>
      </c>
      <c r="K13" s="183"/>
      <c r="L13" s="135" t="e">
        <f>#REF!</f>
        <v>#REF!</v>
      </c>
      <c r="M13" s="135">
        <f>'wariant surowcowy firma X'!AM189</f>
        <v>7</v>
      </c>
      <c r="N13" s="135">
        <f>'wariant surowcowy firma Y'!AM189</f>
        <v>6.5</v>
      </c>
      <c r="O13" s="71"/>
      <c r="P13" s="136" t="e">
        <f t="shared" si="2"/>
        <v>#REF!</v>
      </c>
    </row>
    <row r="14" spans="2:19" ht="15" thickBot="1" x14ac:dyDescent="0.35">
      <c r="B14" s="69" t="s">
        <v>166</v>
      </c>
      <c r="C14" s="455"/>
      <c r="D14" s="134" t="e">
        <f>#REF!</f>
        <v>#REF!</v>
      </c>
      <c r="E14" s="144"/>
      <c r="F14" s="135" t="e">
        <f>#REF!</f>
        <v>#REF!</v>
      </c>
      <c r="G14" s="135">
        <f>'wariant surowcowy firma X'!AL190</f>
        <v>0.34800905674692073</v>
      </c>
      <c r="H14" s="135">
        <f>'wariant surowcowy firma Y'!AL190</f>
        <v>0.76172605644709723</v>
      </c>
      <c r="I14" s="71"/>
      <c r="J14" s="136" t="e">
        <f t="shared" si="1"/>
        <v>#REF!</v>
      </c>
      <c r="K14" s="183"/>
      <c r="L14" s="135" t="e">
        <f>#REF!</f>
        <v>#REF!</v>
      </c>
      <c r="M14" s="135">
        <f>'wariant surowcowy firma X'!AM190</f>
        <v>0.50722617614552323</v>
      </c>
      <c r="N14" s="135">
        <f>'wariant surowcowy firma Y'!AM190</f>
        <v>0.55625038401409077</v>
      </c>
      <c r="O14" s="71"/>
      <c r="P14" s="136" t="e">
        <f t="shared" si="2"/>
        <v>#REF!</v>
      </c>
    </row>
    <row r="15" spans="2:19" ht="135.44999999999999" customHeight="1" thickBot="1" x14ac:dyDescent="0.35">
      <c r="B15" s="69" t="s">
        <v>167</v>
      </c>
      <c r="C15" s="452" t="s">
        <v>175</v>
      </c>
      <c r="D15" s="134" t="e">
        <f>#REF!</f>
        <v>#REF!</v>
      </c>
      <c r="E15" s="144"/>
      <c r="F15" s="135" t="e">
        <f>#REF!</f>
        <v>#REF!</v>
      </c>
      <c r="G15" s="135">
        <f>'wariant surowcowy firma X'!AL193</f>
        <v>8</v>
      </c>
      <c r="H15" s="135">
        <f>'wariant surowcowy firma Y'!AL193</f>
        <v>2</v>
      </c>
      <c r="I15" s="71"/>
      <c r="J15" s="136" t="e">
        <f>MIN(F15:I15)</f>
        <v>#REF!</v>
      </c>
      <c r="K15" s="183"/>
      <c r="L15" s="135" t="e">
        <f>#REF!</f>
        <v>#REF!</v>
      </c>
      <c r="M15" s="135">
        <f>'wariant surowcowy firma X'!AM193</f>
        <v>5</v>
      </c>
      <c r="N15" s="135">
        <f>'wariant surowcowy firma Y'!AM193</f>
        <v>1</v>
      </c>
      <c r="O15" s="71"/>
      <c r="P15" s="136" t="e">
        <f>MIN(L15:O15)</f>
        <v>#REF!</v>
      </c>
    </row>
    <row r="16" spans="2:19" ht="135.44999999999999" customHeight="1" thickBot="1" x14ac:dyDescent="0.35">
      <c r="B16" s="69" t="s">
        <v>168</v>
      </c>
      <c r="C16" s="452"/>
      <c r="D16" s="134" t="e">
        <f>#REF!</f>
        <v>#REF!</v>
      </c>
      <c r="E16" s="144"/>
      <c r="F16" s="137" t="e">
        <f>#REF!</f>
        <v>#REF!</v>
      </c>
      <c r="G16" s="135">
        <f>'wariant surowcowy firma X'!AL194</f>
        <v>9</v>
      </c>
      <c r="H16" s="135">
        <f>'wariant surowcowy firma Y'!AL194</f>
        <v>3</v>
      </c>
      <c r="I16" s="71"/>
      <c r="J16" s="136" t="e">
        <f>MIN(F16:I16)</f>
        <v>#REF!</v>
      </c>
      <c r="K16" s="183"/>
      <c r="L16" s="185" t="e">
        <f>#REF!</f>
        <v>#REF!</v>
      </c>
      <c r="M16" s="135">
        <f>'wariant surowcowy firma X'!AM194</f>
        <v>4</v>
      </c>
      <c r="N16" s="135">
        <f>'wariant surowcowy firma Y'!AM194</f>
        <v>2</v>
      </c>
      <c r="O16" s="71"/>
      <c r="P16" s="136" t="e">
        <f>MIN(L16:O16)</f>
        <v>#REF!</v>
      </c>
    </row>
    <row r="17" spans="2:16" ht="15" thickBot="1" x14ac:dyDescent="0.35">
      <c r="B17" s="69" t="s">
        <v>178</v>
      </c>
      <c r="C17" s="452"/>
      <c r="D17" s="134" t="e">
        <f>#REF!</f>
        <v>#REF!</v>
      </c>
      <c r="E17" s="144"/>
      <c r="F17" s="137" t="e">
        <f>#REF!</f>
        <v>#REF!</v>
      </c>
      <c r="G17" s="135">
        <f>'wariant surowcowy firma X'!AL195</f>
        <v>10</v>
      </c>
      <c r="H17" s="135">
        <f>'wariant surowcowy firma Y'!AL195</f>
        <v>4</v>
      </c>
      <c r="I17" s="71"/>
      <c r="J17" s="136" t="e">
        <f>MIN(F17:I17)</f>
        <v>#REF!</v>
      </c>
      <c r="K17" s="183"/>
      <c r="L17" s="185" t="e">
        <f>#REF!</f>
        <v>#REF!</v>
      </c>
      <c r="M17" s="135">
        <f>'wariant surowcowy firma X'!AM195</f>
        <v>3</v>
      </c>
      <c r="N17" s="135">
        <f>'wariant surowcowy firma Y'!AM195</f>
        <v>4</v>
      </c>
      <c r="O17" s="71"/>
      <c r="P17" s="136" t="e">
        <f>MIN(L17:O17)</f>
        <v>#REF!</v>
      </c>
    </row>
    <row r="18" spans="2:16" ht="36.450000000000003" customHeight="1" thickBot="1" x14ac:dyDescent="0.35">
      <c r="B18" s="69" t="s">
        <v>179</v>
      </c>
      <c r="C18" s="456" t="s">
        <v>172</v>
      </c>
      <c r="D18" s="134" t="e">
        <f>#REF!</f>
        <v>#REF!</v>
      </c>
      <c r="E18" s="144"/>
      <c r="F18" s="135" t="e">
        <f>#REF!</f>
        <v>#REF!</v>
      </c>
      <c r="G18" s="135">
        <f>'wariant surowcowy firma X'!AK19</f>
        <v>5298.54</v>
      </c>
      <c r="H18" s="135">
        <f>'wariant surowcowy firma Y'!AK19</f>
        <v>5065.5</v>
      </c>
      <c r="I18" s="71"/>
      <c r="J18" s="136" t="e">
        <f t="shared" ref="J18:J23" si="3">MAX(F18:I18)</f>
        <v>#REF!</v>
      </c>
      <c r="K18" s="183"/>
      <c r="L18" s="135" t="e">
        <f>#REF!</f>
        <v>#REF!</v>
      </c>
      <c r="M18" s="135">
        <f>'wariant surowcowy firma X'!AK34</f>
        <v>4857.8999999999996</v>
      </c>
      <c r="N18" s="135">
        <f>'wariant surowcowy firma Y'!AK34</f>
        <v>4997.32</v>
      </c>
      <c r="O18" s="71"/>
      <c r="P18" s="136" t="e">
        <f t="shared" ref="P18:P23" si="4">MAX(L18:O18)</f>
        <v>#REF!</v>
      </c>
    </row>
    <row r="19" spans="2:16" ht="15" thickBot="1" x14ac:dyDescent="0.35">
      <c r="B19" s="69" t="s">
        <v>180</v>
      </c>
      <c r="C19" s="456"/>
      <c r="D19" s="134" t="e">
        <f>#REF!</f>
        <v>#REF!</v>
      </c>
      <c r="E19" s="144"/>
      <c r="F19" s="135" t="e">
        <f>#REF!</f>
        <v>#REF!</v>
      </c>
      <c r="G19" s="135">
        <f>'wariant surowcowy firma X'!AL191</f>
        <v>1047412.9425000001</v>
      </c>
      <c r="H19" s="135">
        <f>'wariant surowcowy firma Y'!AL191</f>
        <v>1017375.7785</v>
      </c>
      <c r="I19" s="71"/>
      <c r="J19" s="136" t="e">
        <f t="shared" si="3"/>
        <v>#REF!</v>
      </c>
      <c r="K19" s="183"/>
      <c r="L19" s="135" t="e">
        <f>#REF!</f>
        <v>#REF!</v>
      </c>
      <c r="M19" s="135">
        <f>'wariant surowcowy firma X'!AM191</f>
        <v>1018351.2044999999</v>
      </c>
      <c r="N19" s="135">
        <f>'wariant surowcowy firma Y'!AM191</f>
        <v>1046630.6015</v>
      </c>
      <c r="O19" s="71"/>
      <c r="P19" s="136" t="e">
        <f t="shared" si="4"/>
        <v>#REF!</v>
      </c>
    </row>
    <row r="20" spans="2:16" ht="48.45" customHeight="1" thickBot="1" x14ac:dyDescent="0.35">
      <c r="B20" s="69" t="s">
        <v>181</v>
      </c>
      <c r="C20" s="456"/>
      <c r="D20" s="134" t="e">
        <f>#REF!</f>
        <v>#REF!</v>
      </c>
      <c r="E20" s="144"/>
      <c r="F20" s="135" t="e">
        <f>#REF!</f>
        <v>#REF!</v>
      </c>
      <c r="G20" s="135">
        <f>'wariant surowcowy firma X'!AL19</f>
        <v>2869.6244999999999</v>
      </c>
      <c r="H20" s="135">
        <f>'wariant surowcowy firma Y'!AL19</f>
        <v>2787.3308999999999</v>
      </c>
      <c r="I20" s="71"/>
      <c r="J20" s="136" t="e">
        <f t="shared" si="3"/>
        <v>#REF!</v>
      </c>
      <c r="K20" s="183"/>
      <c r="L20" s="135" t="e">
        <f>#REF!</f>
        <v>#REF!</v>
      </c>
      <c r="M20" s="135">
        <f>'wariant surowcowy firma X'!AL34</f>
        <v>2790.0032999999999</v>
      </c>
      <c r="N20" s="135">
        <f>'wariant surowcowy firma Y'!AL19</f>
        <v>2787.3308999999999</v>
      </c>
      <c r="O20" s="71"/>
      <c r="P20" s="136" t="e">
        <f t="shared" si="4"/>
        <v>#REF!</v>
      </c>
    </row>
    <row r="21" spans="2:16" ht="59.55" customHeight="1" thickBot="1" x14ac:dyDescent="0.35">
      <c r="B21" s="69" t="s">
        <v>182</v>
      </c>
      <c r="C21" s="456"/>
      <c r="D21" s="134" t="e">
        <f>#REF!</f>
        <v>#REF!</v>
      </c>
      <c r="E21" s="144"/>
      <c r="F21" s="135" t="e">
        <f>#REF!</f>
        <v>#REF!</v>
      </c>
      <c r="G21" s="135">
        <f>'wariant surowcowy firma X'!AI13</f>
        <v>902.43212862349731</v>
      </c>
      <c r="H21" s="135">
        <f>'wariant surowcowy firma Y'!AI13</f>
        <v>396.1321300655332</v>
      </c>
      <c r="I21" s="71"/>
      <c r="J21" s="136" t="e">
        <f t="shared" si="3"/>
        <v>#REF!</v>
      </c>
      <c r="K21" s="183"/>
      <c r="L21" s="135" t="e">
        <f>#REF!</f>
        <v>#REF!</v>
      </c>
      <c r="M21" s="135">
        <f>'wariant surowcowy firma X'!AI29</f>
        <v>674.21203836065104</v>
      </c>
      <c r="N21" s="135">
        <f>'wariant surowcowy firma Y'!AI29</f>
        <v>613.32613311405385</v>
      </c>
      <c r="O21" s="71"/>
      <c r="P21" s="136" t="e">
        <f t="shared" si="4"/>
        <v>#REF!</v>
      </c>
    </row>
    <row r="22" spans="2:16" ht="64.05" customHeight="1" thickBot="1" x14ac:dyDescent="0.35">
      <c r="B22" s="69" t="s">
        <v>183</v>
      </c>
      <c r="C22" s="456"/>
      <c r="D22" s="134" t="e">
        <f>#REF!</f>
        <v>#REF!</v>
      </c>
      <c r="E22" s="144"/>
      <c r="F22" s="135" t="e">
        <f>#REF!</f>
        <v>#REF!</v>
      </c>
      <c r="G22" s="135">
        <f>'wariant surowcowy firma X'!AH13</f>
        <v>1.1620018492834028</v>
      </c>
      <c r="H22" s="135">
        <f>'wariant surowcowy firma Y'!AH13</f>
        <v>1.1164534114871869</v>
      </c>
      <c r="I22" s="71"/>
      <c r="J22" s="136" t="e">
        <f t="shared" si="3"/>
        <v>#REF!</v>
      </c>
      <c r="K22" s="183"/>
      <c r="L22" s="135" t="e">
        <f>#REF!</f>
        <v>#REF!</v>
      </c>
      <c r="M22" s="135">
        <f>'wariant surowcowy firma X'!AH29</f>
        <v>1.2653185782771217</v>
      </c>
      <c r="N22" s="135">
        <f>'wariant surowcowy firma Y'!AH29</f>
        <v>1.2623027191611085</v>
      </c>
      <c r="O22" s="71"/>
      <c r="P22" s="136" t="e">
        <f t="shared" si="4"/>
        <v>#REF!</v>
      </c>
    </row>
    <row r="23" spans="2:16" ht="15" thickBot="1" x14ac:dyDescent="0.35">
      <c r="B23" s="69" t="s">
        <v>184</v>
      </c>
      <c r="C23" s="129"/>
      <c r="D23" s="134" t="e">
        <f>#REF!</f>
        <v>#REF!</v>
      </c>
      <c r="E23" s="144"/>
      <c r="F23" s="135" t="e">
        <f>#REF!</f>
        <v>#REF!</v>
      </c>
      <c r="G23" s="135">
        <f>'wariant surowcowy firma X'!AL192</f>
        <v>0.47926714739583332</v>
      </c>
      <c r="H23" s="135">
        <f>'wariant surowcowy firma Y'!AL192</f>
        <v>0.46552297322916669</v>
      </c>
      <c r="I23" s="71"/>
      <c r="J23" s="136" t="e">
        <f t="shared" si="3"/>
        <v>#REF!</v>
      </c>
      <c r="K23" s="183"/>
      <c r="L23" s="135" t="e">
        <f>#REF!</f>
        <v>#REF!</v>
      </c>
      <c r="M23" s="135">
        <f>'wariant surowcowy firma X'!AO34</f>
        <v>0.46596930114583335</v>
      </c>
      <c r="N23" s="135">
        <f>'wariant surowcowy firma Y'!AO34</f>
        <v>0.47890916982638887</v>
      </c>
      <c r="O23" s="71"/>
      <c r="P23" s="136" t="e">
        <f t="shared" si="4"/>
        <v>#REF!</v>
      </c>
    </row>
    <row r="24" spans="2:16" ht="33.450000000000003" customHeight="1" thickBot="1" x14ac:dyDescent="0.35">
      <c r="B24" s="69" t="s">
        <v>191</v>
      </c>
      <c r="C24" s="454" t="s">
        <v>185</v>
      </c>
      <c r="D24" s="134" t="s">
        <v>186</v>
      </c>
      <c r="E24" s="144"/>
      <c r="F24" s="138" t="e">
        <f>#REF!</f>
        <v>#REF!</v>
      </c>
      <c r="G24" s="138">
        <f>'wariant surowcowy firma X'!AQ13</f>
        <v>8000000</v>
      </c>
      <c r="H24" s="138">
        <f>'wariant surowcowy firma Y'!AQ13</f>
        <v>11000000</v>
      </c>
      <c r="I24" s="71"/>
      <c r="J24" s="136" t="e">
        <f>MIN(F24:I24)</f>
        <v>#REF!</v>
      </c>
      <c r="K24" s="183"/>
      <c r="L24" s="138" t="e">
        <f>#REF!</f>
        <v>#REF!</v>
      </c>
      <c r="M24" s="138">
        <f>'wariant surowcowy firma X'!AQ29</f>
        <v>9000000</v>
      </c>
      <c r="N24" s="138">
        <f>'wariant surowcowy firma Y'!AQ29</f>
        <v>9900000</v>
      </c>
      <c r="O24" s="71"/>
      <c r="P24" s="136" t="e">
        <f>MIN(L24:O24)</f>
        <v>#REF!</v>
      </c>
    </row>
    <row r="25" spans="2:16" ht="28.5" customHeight="1" thickBot="1" x14ac:dyDescent="0.35">
      <c r="B25" s="69" t="s">
        <v>192</v>
      </c>
      <c r="C25" s="454"/>
      <c r="D25" s="134" t="s">
        <v>187</v>
      </c>
      <c r="E25" s="144"/>
      <c r="F25" s="71"/>
      <c r="G25" s="71"/>
      <c r="H25" s="71"/>
      <c r="I25" s="71"/>
      <c r="J25" s="136">
        <f t="shared" ref="J25:J26" si="5">MIN(F25:I25)</f>
        <v>0</v>
      </c>
      <c r="K25" s="183"/>
      <c r="L25" s="71"/>
      <c r="M25" s="71"/>
      <c r="N25" s="71"/>
      <c r="O25" s="71"/>
      <c r="P25" s="136">
        <f t="shared" ref="P25:P26" si="6">MIN(L25:O25)</f>
        <v>0</v>
      </c>
    </row>
    <row r="26" spans="2:16" ht="44.55" customHeight="1" thickBot="1" x14ac:dyDescent="0.35">
      <c r="B26" s="69" t="s">
        <v>193</v>
      </c>
      <c r="C26" s="454"/>
      <c r="D26" s="134" t="s">
        <v>188</v>
      </c>
      <c r="E26" s="144"/>
      <c r="F26" s="71"/>
      <c r="G26" s="71"/>
      <c r="H26" s="71"/>
      <c r="I26" s="71"/>
      <c r="J26" s="136">
        <f t="shared" si="5"/>
        <v>0</v>
      </c>
      <c r="K26" s="183"/>
      <c r="L26" s="71"/>
      <c r="M26" s="71"/>
      <c r="N26" s="71"/>
      <c r="O26" s="71"/>
      <c r="P26" s="136">
        <f t="shared" si="6"/>
        <v>0</v>
      </c>
    </row>
    <row r="27" spans="2:16" ht="123" thickBot="1" x14ac:dyDescent="0.35">
      <c r="B27" s="69" t="s">
        <v>194</v>
      </c>
      <c r="C27" s="130" t="s">
        <v>189</v>
      </c>
      <c r="D27" s="134" t="s">
        <v>190</v>
      </c>
      <c r="E27" s="144"/>
      <c r="F27" s="139">
        <v>2000</v>
      </c>
      <c r="G27" s="139">
        <v>3000</v>
      </c>
      <c r="H27" s="139">
        <v>4000</v>
      </c>
      <c r="I27" s="71"/>
      <c r="J27" s="136">
        <f>MAX(F27:I27)</f>
        <v>4000</v>
      </c>
      <c r="K27" s="183"/>
      <c r="L27" s="139">
        <v>5000</v>
      </c>
      <c r="M27" s="139">
        <v>6000</v>
      </c>
      <c r="N27" s="139">
        <v>3500</v>
      </c>
      <c r="O27" s="71"/>
      <c r="P27" s="136">
        <f>MAX(L27:O27)</f>
        <v>6000</v>
      </c>
    </row>
    <row r="28" spans="2:16" ht="114.45" customHeight="1" thickBot="1" x14ac:dyDescent="0.35">
      <c r="B28" s="69" t="s">
        <v>197</v>
      </c>
      <c r="C28" s="131" t="s">
        <v>195</v>
      </c>
      <c r="D28" s="464" t="s">
        <v>196</v>
      </c>
      <c r="E28" s="465"/>
      <c r="F28" s="140">
        <f>1000/8000</f>
        <v>0.125</v>
      </c>
      <c r="G28" s="140">
        <f>2000/8000</f>
        <v>0.25</v>
      </c>
      <c r="H28" s="140">
        <f>500/8200</f>
        <v>6.097560975609756E-2</v>
      </c>
      <c r="I28" s="71"/>
      <c r="J28" s="136">
        <f>MIN(F28:I28)</f>
        <v>6.097560975609756E-2</v>
      </c>
      <c r="K28" s="183"/>
      <c r="L28" s="140">
        <f>1000/8000</f>
        <v>0.125</v>
      </c>
      <c r="M28" s="140">
        <f>2000/8000</f>
        <v>0.25</v>
      </c>
      <c r="N28" s="140">
        <f>900/8200</f>
        <v>0.10975609756097561</v>
      </c>
      <c r="O28" s="71"/>
      <c r="P28" s="136">
        <f>MIN(L28:O28)</f>
        <v>0.10975609756097561</v>
      </c>
    </row>
    <row r="29" spans="2:16" ht="33" customHeight="1" thickBot="1" x14ac:dyDescent="0.35">
      <c r="B29" s="69" t="s">
        <v>217</v>
      </c>
      <c r="C29" s="470" t="s">
        <v>205</v>
      </c>
      <c r="D29" s="197" t="s">
        <v>206</v>
      </c>
      <c r="E29" s="199"/>
      <c r="F29" s="140" t="e">
        <f>#REF!</f>
        <v>#REF!</v>
      </c>
      <c r="G29" s="140">
        <f>'wariant surowcowy firma X'!AL196</f>
        <v>90</v>
      </c>
      <c r="H29" s="140">
        <f>'wariant surowcowy firma Y'!AL196</f>
        <v>96</v>
      </c>
      <c r="I29" s="71"/>
      <c r="J29" s="136" t="e">
        <f t="shared" ref="J29:J38" si="7">MIN(F29:I29)</f>
        <v>#REF!</v>
      </c>
      <c r="K29" s="183"/>
      <c r="L29" s="140" t="e">
        <f>#REF!</f>
        <v>#REF!</v>
      </c>
      <c r="M29" s="140">
        <f>'wariant surowcowy firma X'!AM196</f>
        <v>98</v>
      </c>
      <c r="N29" s="140">
        <f>'wariant surowcowy firma Y'!AM196</f>
        <v>99</v>
      </c>
      <c r="O29" s="71"/>
      <c r="P29" s="136" t="e">
        <f t="shared" ref="P29:P38" si="8">MIN(L29:O29)</f>
        <v>#REF!</v>
      </c>
    </row>
    <row r="30" spans="2:16" ht="33" customHeight="1" thickBot="1" x14ac:dyDescent="0.35">
      <c r="B30" s="69" t="s">
        <v>218</v>
      </c>
      <c r="C30" s="470"/>
      <c r="D30" s="197" t="s">
        <v>207</v>
      </c>
      <c r="E30" s="199"/>
      <c r="F30" s="140" t="e">
        <f>#REF!</f>
        <v>#REF!</v>
      </c>
      <c r="G30" s="140">
        <f>'wariant surowcowy firma X'!AL197</f>
        <v>40</v>
      </c>
      <c r="H30" s="140">
        <f>'wariant surowcowy firma Y'!AL197</f>
        <v>39</v>
      </c>
      <c r="I30" s="71"/>
      <c r="J30" s="136" t="e">
        <f t="shared" si="7"/>
        <v>#REF!</v>
      </c>
      <c r="K30" s="183"/>
      <c r="L30" s="140" t="e">
        <f>#REF!</f>
        <v>#REF!</v>
      </c>
      <c r="M30" s="140">
        <f>'wariant surowcowy firma X'!AM197</f>
        <v>43</v>
      </c>
      <c r="N30" s="140">
        <f>'wariant surowcowy firma Y'!AM197</f>
        <v>30</v>
      </c>
      <c r="O30" s="71"/>
      <c r="P30" s="136" t="e">
        <f t="shared" si="8"/>
        <v>#REF!</v>
      </c>
    </row>
    <row r="31" spans="2:16" ht="33" customHeight="1" thickBot="1" x14ac:dyDescent="0.35">
      <c r="B31" s="69" t="s">
        <v>219</v>
      </c>
      <c r="C31" s="470"/>
      <c r="D31" s="198" t="s">
        <v>208</v>
      </c>
      <c r="E31" s="199"/>
      <c r="F31" s="140" t="e">
        <f>#REF!</f>
        <v>#REF!</v>
      </c>
      <c r="G31" s="140">
        <f>'wariant surowcowy firma X'!AL198</f>
        <v>1</v>
      </c>
      <c r="H31" s="140">
        <f>'wariant surowcowy firma Y'!AL198</f>
        <v>1.8</v>
      </c>
      <c r="I31" s="71"/>
      <c r="J31" s="136" t="e">
        <f t="shared" si="7"/>
        <v>#REF!</v>
      </c>
      <c r="K31" s="183"/>
      <c r="L31" s="140" t="e">
        <f>#REF!</f>
        <v>#REF!</v>
      </c>
      <c r="M31" s="140">
        <f>'wariant surowcowy firma X'!AM198</f>
        <v>2</v>
      </c>
      <c r="N31" s="140">
        <f>'wariant surowcowy firma Y'!AM198</f>
        <v>3.5</v>
      </c>
      <c r="O31" s="71"/>
      <c r="P31" s="136" t="e">
        <f t="shared" si="8"/>
        <v>#REF!</v>
      </c>
    </row>
    <row r="32" spans="2:16" ht="33" customHeight="1" thickBot="1" x14ac:dyDescent="0.35">
      <c r="B32" s="69" t="s">
        <v>220</v>
      </c>
      <c r="C32" s="470"/>
      <c r="D32" s="198" t="s">
        <v>209</v>
      </c>
      <c r="E32" s="199"/>
      <c r="F32" s="140" t="e">
        <f>#REF!</f>
        <v>#REF!</v>
      </c>
      <c r="G32" s="140">
        <f>'wariant surowcowy firma X'!AL199</f>
        <v>3</v>
      </c>
      <c r="H32" s="140">
        <f>'wariant surowcowy firma Y'!AL199</f>
        <v>3.3</v>
      </c>
      <c r="I32" s="71"/>
      <c r="J32" s="136" t="e">
        <f t="shared" si="7"/>
        <v>#REF!</v>
      </c>
      <c r="K32" s="183"/>
      <c r="L32" s="140" t="e">
        <f>#REF!</f>
        <v>#REF!</v>
      </c>
      <c r="M32" s="140">
        <f>'wariant surowcowy firma X'!AM199</f>
        <v>2.7</v>
      </c>
      <c r="N32" s="140">
        <f>'wariant surowcowy firma Y'!AM199</f>
        <v>4</v>
      </c>
      <c r="O32" s="71"/>
      <c r="P32" s="136" t="e">
        <f t="shared" si="8"/>
        <v>#REF!</v>
      </c>
    </row>
    <row r="33" spans="2:16" ht="33" customHeight="1" thickBot="1" x14ac:dyDescent="0.35">
      <c r="B33" s="69" t="s">
        <v>221</v>
      </c>
      <c r="C33" s="470" t="s">
        <v>210</v>
      </c>
      <c r="D33" s="198" t="s">
        <v>211</v>
      </c>
      <c r="E33" s="199"/>
      <c r="F33" s="140" t="e">
        <f>#REF!</f>
        <v>#REF!</v>
      </c>
      <c r="G33" s="140">
        <f>'wariant surowcowy firma X'!AL200</f>
        <v>19</v>
      </c>
      <c r="H33" s="140">
        <f>'wariant surowcowy firma Y'!AL200</f>
        <v>21</v>
      </c>
      <c r="I33" s="71"/>
      <c r="J33" s="136" t="e">
        <f t="shared" si="7"/>
        <v>#REF!</v>
      </c>
      <c r="K33" s="183"/>
      <c r="L33" s="140" t="e">
        <f>#REF!</f>
        <v>#REF!</v>
      </c>
      <c r="M33" s="140">
        <f>'wariant surowcowy firma X'!AM200</f>
        <v>22</v>
      </c>
      <c r="N33" s="140">
        <f>'wariant surowcowy firma Y'!AM200</f>
        <v>23</v>
      </c>
      <c r="O33" s="71"/>
      <c r="P33" s="136" t="e">
        <f t="shared" si="8"/>
        <v>#REF!</v>
      </c>
    </row>
    <row r="34" spans="2:16" ht="33" customHeight="1" thickBot="1" x14ac:dyDescent="0.35">
      <c r="B34" s="69" t="s">
        <v>222</v>
      </c>
      <c r="C34" s="470"/>
      <c r="D34" s="198" t="s">
        <v>212</v>
      </c>
      <c r="E34" s="199"/>
      <c r="F34" s="140" t="e">
        <f>#REF!</f>
        <v>#REF!</v>
      </c>
      <c r="G34" s="140">
        <f>'wariant surowcowy firma X'!AL201</f>
        <v>21</v>
      </c>
      <c r="H34" s="140">
        <f>'wariant surowcowy firma Y'!AL201</f>
        <v>25</v>
      </c>
      <c r="I34" s="71"/>
      <c r="J34" s="136" t="e">
        <f t="shared" si="7"/>
        <v>#REF!</v>
      </c>
      <c r="K34" s="183"/>
      <c r="L34" s="140" t="e">
        <f>#REF!</f>
        <v>#REF!</v>
      </c>
      <c r="M34" s="140">
        <f>'wariant surowcowy firma X'!AM201</f>
        <v>22</v>
      </c>
      <c r="N34" s="140">
        <f>'wariant surowcowy firma Y'!AM201</f>
        <v>21</v>
      </c>
      <c r="O34" s="71"/>
      <c r="P34" s="136" t="e">
        <f t="shared" si="8"/>
        <v>#REF!</v>
      </c>
    </row>
    <row r="35" spans="2:16" ht="33" customHeight="1" thickBot="1" x14ac:dyDescent="0.35">
      <c r="B35" s="69" t="s">
        <v>223</v>
      </c>
      <c r="C35" s="470"/>
      <c r="D35" s="198" t="s">
        <v>213</v>
      </c>
      <c r="E35" s="199"/>
      <c r="F35" s="140" t="e">
        <f>#REF!</f>
        <v>#REF!</v>
      </c>
      <c r="G35" s="140">
        <f>'wariant surowcowy firma X'!AL202</f>
        <v>22</v>
      </c>
      <c r="H35" s="140">
        <f>'wariant surowcowy firma Y'!AL202</f>
        <v>30</v>
      </c>
      <c r="I35" s="71"/>
      <c r="J35" s="136" t="e">
        <f t="shared" si="7"/>
        <v>#REF!</v>
      </c>
      <c r="K35" s="183"/>
      <c r="L35" s="140" t="e">
        <f>#REF!</f>
        <v>#REF!</v>
      </c>
      <c r="M35" s="140">
        <f>'wariant surowcowy firma X'!AM202</f>
        <v>22</v>
      </c>
      <c r="N35" s="140">
        <f>'wariant surowcowy firma Y'!AM202</f>
        <v>31</v>
      </c>
      <c r="O35" s="71"/>
      <c r="P35" s="136" t="e">
        <f t="shared" si="8"/>
        <v>#REF!</v>
      </c>
    </row>
    <row r="36" spans="2:16" ht="33" customHeight="1" thickBot="1" x14ac:dyDescent="0.35">
      <c r="B36" s="69" t="s">
        <v>224</v>
      </c>
      <c r="C36" s="470"/>
      <c r="D36" s="198" t="s">
        <v>214</v>
      </c>
      <c r="E36" s="199"/>
      <c r="F36" s="140" t="e">
        <f>#REF!</f>
        <v>#REF!</v>
      </c>
      <c r="G36" s="140">
        <f>'wariant surowcowy firma X'!AL203</f>
        <v>33</v>
      </c>
      <c r="H36" s="140">
        <f>'wariant surowcowy firma Y'!AL203</f>
        <v>29</v>
      </c>
      <c r="I36" s="71"/>
      <c r="J36" s="136" t="e">
        <f t="shared" si="7"/>
        <v>#REF!</v>
      </c>
      <c r="K36" s="183"/>
      <c r="L36" s="140" t="e">
        <f>#REF!</f>
        <v>#REF!</v>
      </c>
      <c r="M36" s="140">
        <f>'wariant surowcowy firma X'!AM203</f>
        <v>20</v>
      </c>
      <c r="N36" s="140">
        <f>'wariant surowcowy firma Y'!AM203</f>
        <v>30</v>
      </c>
      <c r="O36" s="71"/>
      <c r="P36" s="136" t="e">
        <f t="shared" si="8"/>
        <v>#REF!</v>
      </c>
    </row>
    <row r="37" spans="2:16" ht="33" customHeight="1" thickBot="1" x14ac:dyDescent="0.35">
      <c r="B37" s="69" t="s">
        <v>225</v>
      </c>
      <c r="C37" s="470"/>
      <c r="D37" s="198" t="s">
        <v>215</v>
      </c>
      <c r="E37" s="199"/>
      <c r="F37" s="140" t="e">
        <f>#REF!</f>
        <v>#REF!</v>
      </c>
      <c r="G37" s="140">
        <f>'wariant surowcowy firma X'!AL204</f>
        <v>0.33333333333333331</v>
      </c>
      <c r="H37" s="140">
        <f>'wariant surowcowy firma Y'!AL204</f>
        <v>1.3333333333333333</v>
      </c>
      <c r="I37" s="71"/>
      <c r="J37" s="136" t="e">
        <f t="shared" si="7"/>
        <v>#REF!</v>
      </c>
      <c r="K37" s="183"/>
      <c r="L37" s="140" t="e">
        <f>#REF!</f>
        <v>#REF!</v>
      </c>
      <c r="M37" s="140">
        <f>'wariant surowcowy firma X'!AM204</f>
        <v>0.25</v>
      </c>
      <c r="N37" s="140">
        <f>'wariant surowcowy firma Y'!AM204</f>
        <v>1.45</v>
      </c>
      <c r="O37" s="71"/>
      <c r="P37" s="136" t="e">
        <f t="shared" si="8"/>
        <v>#REF!</v>
      </c>
    </row>
    <row r="38" spans="2:16" ht="40.950000000000003" customHeight="1" thickBot="1" x14ac:dyDescent="0.35">
      <c r="B38" s="69" t="s">
        <v>226</v>
      </c>
      <c r="C38" s="470"/>
      <c r="D38" s="198" t="s">
        <v>216</v>
      </c>
      <c r="E38" s="199"/>
      <c r="F38" s="140" t="e">
        <f>#REF!</f>
        <v>#REF!</v>
      </c>
      <c r="G38" s="140">
        <f>'wariant surowcowy firma X'!AL205</f>
        <v>0.75</v>
      </c>
      <c r="H38" s="140">
        <f>'wariant surowcowy firma Y'!AL205</f>
        <v>0.32500000000000001</v>
      </c>
      <c r="I38" s="71"/>
      <c r="J38" s="136" t="e">
        <f t="shared" si="7"/>
        <v>#REF!</v>
      </c>
      <c r="K38" s="183"/>
      <c r="L38" s="140" t="e">
        <f>#REF!</f>
        <v>#REF!</v>
      </c>
      <c r="M38" s="140">
        <f>'wariant surowcowy firma X'!AM205</f>
        <v>0.8571428571428571</v>
      </c>
      <c r="N38" s="140">
        <f>'wariant surowcowy firma Y'!AM205</f>
        <v>0.45</v>
      </c>
      <c r="O38" s="71"/>
      <c r="P38" s="136" t="e">
        <f t="shared" si="8"/>
        <v>#REF!</v>
      </c>
    </row>
    <row r="39" spans="2:16" ht="64.5" customHeight="1" thickBot="1" x14ac:dyDescent="0.35">
      <c r="B39" s="69" t="s">
        <v>227</v>
      </c>
      <c r="C39" s="470"/>
      <c r="D39" s="198" t="s">
        <v>232</v>
      </c>
      <c r="E39" s="199"/>
      <c r="F39" s="143" t="e">
        <f>#REF!</f>
        <v>#REF!</v>
      </c>
      <c r="G39" s="143">
        <f>'wariant surowcowy firma X'!AL206</f>
        <v>4.2514273208916362E-2</v>
      </c>
      <c r="H39" s="143">
        <f>'wariant surowcowy firma Y'!AL206</f>
        <v>3.8746745138871025E-2</v>
      </c>
      <c r="I39" s="201"/>
      <c r="J39" s="136" t="e">
        <f>MAX(F39:I39)</f>
        <v>#REF!</v>
      </c>
      <c r="K39" s="183"/>
      <c r="L39" s="143" t="e">
        <f>#REF!</f>
        <v>#REF!</v>
      </c>
      <c r="M39" s="143">
        <f>'wariant surowcowy firma X'!AM206</f>
        <v>4.2514273208916362E-2</v>
      </c>
      <c r="N39" s="143">
        <f>'wariant surowcowy firma Y'!AM206</f>
        <v>4.3592266397152538E-2</v>
      </c>
      <c r="O39" s="201"/>
      <c r="P39" s="136" t="e">
        <f>MAX(L39:O39)</f>
        <v>#REF!</v>
      </c>
    </row>
    <row r="40" spans="2:16" ht="15" thickBot="1" x14ac:dyDescent="0.35"/>
    <row r="41" spans="2:16" ht="74.55" customHeight="1" thickBot="1" x14ac:dyDescent="0.35">
      <c r="E41" s="149" t="s">
        <v>203</v>
      </c>
      <c r="F41" s="457" t="s">
        <v>200</v>
      </c>
      <c r="G41" s="458"/>
      <c r="H41" s="459"/>
      <c r="L41" s="457" t="s">
        <v>200</v>
      </c>
      <c r="M41" s="458"/>
      <c r="N41" s="459"/>
    </row>
    <row r="42" spans="2:16" ht="84" customHeight="1" thickBot="1" x14ac:dyDescent="0.35">
      <c r="C42" s="453" t="s">
        <v>170</v>
      </c>
      <c r="D42" s="154" t="s">
        <v>169</v>
      </c>
      <c r="E42" s="155">
        <v>1</v>
      </c>
      <c r="F42" s="156" t="e">
        <f>IF(F6&gt;=50,"1","0")*$E$42</f>
        <v>#REF!</v>
      </c>
      <c r="G42" s="156">
        <f t="shared" ref="G42:H42" si="9">IF(G6&gt;=50,"1","0")*$E$42</f>
        <v>1</v>
      </c>
      <c r="H42" s="156">
        <f t="shared" si="9"/>
        <v>0</v>
      </c>
      <c r="I42" s="157"/>
      <c r="L42" s="156" t="e">
        <f>IF(L6&gt;=50,"1","0")*$E$42</f>
        <v>#REF!</v>
      </c>
      <c r="M42" s="156">
        <f t="shared" ref="M42:N42" si="10">IF(M6&gt;=50,"1","0")*$E$42</f>
        <v>1</v>
      </c>
      <c r="N42" s="156">
        <f t="shared" si="10"/>
        <v>1</v>
      </c>
      <c r="O42" s="157"/>
    </row>
    <row r="43" spans="2:16" ht="67.05" customHeight="1" thickBot="1" x14ac:dyDescent="0.35">
      <c r="C43" s="453"/>
      <c r="D43" s="151" t="e">
        <f>D6</f>
        <v>#REF!</v>
      </c>
      <c r="E43" s="148">
        <v>1</v>
      </c>
      <c r="F43" s="141" t="e">
        <f>F6/$J$6*$E$43</f>
        <v>#REF!</v>
      </c>
      <c r="G43" s="141" t="e">
        <f t="shared" ref="G43:H43" si="11">G6/$J$6*$E$43</f>
        <v>#REF!</v>
      </c>
      <c r="H43" s="141" t="e">
        <f t="shared" si="11"/>
        <v>#REF!</v>
      </c>
      <c r="I43" s="158"/>
      <c r="L43" s="141" t="e">
        <f>L6/$P$6*$E$43</f>
        <v>#REF!</v>
      </c>
      <c r="M43" s="141" t="e">
        <f t="shared" ref="M43:N43" si="12">M6/$P$6*$E$43</f>
        <v>#REF!</v>
      </c>
      <c r="N43" s="141" t="e">
        <f t="shared" si="12"/>
        <v>#REF!</v>
      </c>
      <c r="O43" s="158"/>
    </row>
    <row r="44" spans="2:16" ht="67.05" customHeight="1" thickBot="1" x14ac:dyDescent="0.35">
      <c r="C44" s="453"/>
      <c r="D44" s="151" t="e">
        <f>D7</f>
        <v>#REF!</v>
      </c>
      <c r="E44" s="148">
        <v>1</v>
      </c>
      <c r="F44" s="141" t="e">
        <f>F7/$J$7*$E$44</f>
        <v>#REF!</v>
      </c>
      <c r="G44" s="141" t="e">
        <f t="shared" ref="G44:H44" si="13">G7/$J$7*$E$44</f>
        <v>#REF!</v>
      </c>
      <c r="H44" s="141" t="e">
        <f t="shared" si="13"/>
        <v>#REF!</v>
      </c>
      <c r="I44" s="158"/>
      <c r="L44" s="141" t="e">
        <f>L7/$P$7*$E$44</f>
        <v>#REF!</v>
      </c>
      <c r="M44" s="141" t="e">
        <f t="shared" ref="M44:N44" si="14">M7/$P$7*$E$44</f>
        <v>#REF!</v>
      </c>
      <c r="N44" s="141" t="e">
        <f t="shared" si="14"/>
        <v>#REF!</v>
      </c>
      <c r="O44" s="158"/>
    </row>
    <row r="45" spans="2:16" ht="15" thickBot="1" x14ac:dyDescent="0.35">
      <c r="C45" s="453"/>
      <c r="D45" s="152" t="e">
        <f>D11</f>
        <v>#REF!</v>
      </c>
      <c r="E45" s="148">
        <v>1</v>
      </c>
      <c r="F45" s="89" t="e">
        <f>F11/$J$11*E45</f>
        <v>#REF!</v>
      </c>
      <c r="G45" s="89" t="e">
        <f>G11/$J$11*E45</f>
        <v>#REF!</v>
      </c>
      <c r="H45" s="89" t="e">
        <f>H11/$J$11*E45</f>
        <v>#REF!</v>
      </c>
      <c r="I45" s="158"/>
      <c r="L45" s="89" t="e">
        <f>L11/$P$11</f>
        <v>#REF!</v>
      </c>
      <c r="M45" s="89" t="e">
        <f t="shared" ref="M45:O45" si="15">M11/$P$11</f>
        <v>#REF!</v>
      </c>
      <c r="N45" s="89" t="e">
        <f t="shared" si="15"/>
        <v>#REF!</v>
      </c>
      <c r="O45" s="89" t="e">
        <f t="shared" si="15"/>
        <v>#REF!</v>
      </c>
    </row>
    <row r="46" spans="2:16" ht="15" thickBot="1" x14ac:dyDescent="0.35">
      <c r="C46" s="453"/>
      <c r="D46" s="159" t="e">
        <f t="shared" ref="D46:D54" si="16">D14</f>
        <v>#REF!</v>
      </c>
      <c r="E46" s="160">
        <v>3</v>
      </c>
      <c r="F46" s="90" t="e">
        <f>F14/$J$14*$E$46</f>
        <v>#REF!</v>
      </c>
      <c r="G46" s="90" t="e">
        <f t="shared" ref="G46:H46" si="17">G14/$J$14*$E$46</f>
        <v>#REF!</v>
      </c>
      <c r="H46" s="90" t="e">
        <f t="shared" si="17"/>
        <v>#REF!</v>
      </c>
      <c r="I46" s="161"/>
      <c r="L46" s="90" t="e">
        <f>L14/$P$14*$E$46</f>
        <v>#REF!</v>
      </c>
      <c r="M46" s="90" t="e">
        <f t="shared" ref="M46:O46" si="18">M14/$P$14*$E$46</f>
        <v>#REF!</v>
      </c>
      <c r="N46" s="90" t="e">
        <f t="shared" si="18"/>
        <v>#REF!</v>
      </c>
      <c r="O46" s="90" t="e">
        <f t="shared" si="18"/>
        <v>#REF!</v>
      </c>
    </row>
    <row r="47" spans="2:16" ht="130.94999999999999" customHeight="1" thickBot="1" x14ac:dyDescent="0.35">
      <c r="C47" s="452" t="s">
        <v>175</v>
      </c>
      <c r="D47" s="154" t="e">
        <f t="shared" si="16"/>
        <v>#REF!</v>
      </c>
      <c r="E47" s="162">
        <v>1</v>
      </c>
      <c r="F47" s="163" t="e">
        <f>$J$15/F15*$E$47</f>
        <v>#REF!</v>
      </c>
      <c r="G47" s="163" t="e">
        <f t="shared" ref="G47:H47" si="19">$J$15/G15*$E$47</f>
        <v>#REF!</v>
      </c>
      <c r="H47" s="163" t="e">
        <f t="shared" si="19"/>
        <v>#REF!</v>
      </c>
      <c r="I47" s="157"/>
      <c r="L47" s="163" t="e">
        <f>$P$15/L15*$E$47</f>
        <v>#REF!</v>
      </c>
      <c r="M47" s="163" t="e">
        <f t="shared" ref="M47:N47" si="20">$P$15/M15*$E$47</f>
        <v>#REF!</v>
      </c>
      <c r="N47" s="163" t="e">
        <f t="shared" si="20"/>
        <v>#REF!</v>
      </c>
      <c r="O47" s="163"/>
    </row>
    <row r="48" spans="2:16" ht="15" thickBot="1" x14ac:dyDescent="0.35">
      <c r="C48" s="452"/>
      <c r="D48" s="151" t="e">
        <f t="shared" si="16"/>
        <v>#REF!</v>
      </c>
      <c r="E48" s="148">
        <v>3</v>
      </c>
      <c r="F48" s="142" t="e">
        <f>$J$16/F16*$E$48</f>
        <v>#REF!</v>
      </c>
      <c r="G48" s="142" t="e">
        <f t="shared" ref="G48:H48" si="21">$J$16/G16*$E$48</f>
        <v>#REF!</v>
      </c>
      <c r="H48" s="142" t="e">
        <f t="shared" si="21"/>
        <v>#REF!</v>
      </c>
      <c r="I48" s="158"/>
      <c r="L48" s="142" t="e">
        <f>$P$16/L16*$E$48</f>
        <v>#REF!</v>
      </c>
      <c r="M48" s="142" t="e">
        <f t="shared" ref="M48:N48" si="22">$P$16/M16*$E$48</f>
        <v>#REF!</v>
      </c>
      <c r="N48" s="142" t="e">
        <f t="shared" si="22"/>
        <v>#REF!</v>
      </c>
      <c r="O48" s="142"/>
    </row>
    <row r="49" spans="3:15" ht="15" thickBot="1" x14ac:dyDescent="0.35">
      <c r="C49" s="452"/>
      <c r="D49" s="164" t="e">
        <f t="shared" si="16"/>
        <v>#REF!</v>
      </c>
      <c r="E49" s="160">
        <v>1</v>
      </c>
      <c r="F49" s="165" t="e">
        <f>$J$17/F17*$E$49</f>
        <v>#REF!</v>
      </c>
      <c r="G49" s="165" t="e">
        <f t="shared" ref="G49:H49" si="23">$J$17/G17*$E$49</f>
        <v>#REF!</v>
      </c>
      <c r="H49" s="165" t="e">
        <f t="shared" si="23"/>
        <v>#REF!</v>
      </c>
      <c r="I49" s="161"/>
      <c r="L49" s="165" t="e">
        <f>$P$17/L17*$E$49</f>
        <v>#REF!</v>
      </c>
      <c r="M49" s="165" t="e">
        <f t="shared" ref="M49:N49" si="24">$P$17/M17*$E$49</f>
        <v>#REF!</v>
      </c>
      <c r="N49" s="165" t="e">
        <f t="shared" si="24"/>
        <v>#REF!</v>
      </c>
      <c r="O49" s="165"/>
    </row>
    <row r="50" spans="3:15" ht="18.45" customHeight="1" thickBot="1" x14ac:dyDescent="0.35">
      <c r="C50" s="456" t="s">
        <v>172</v>
      </c>
      <c r="D50" s="166" t="e">
        <f t="shared" si="16"/>
        <v>#REF!</v>
      </c>
      <c r="E50" s="162">
        <v>1</v>
      </c>
      <c r="F50" s="167" t="e">
        <f>F18/$J$18*$E$50</f>
        <v>#REF!</v>
      </c>
      <c r="G50" s="167" t="e">
        <f t="shared" ref="G50:H50" si="25">G18/$J$18*$E$50</f>
        <v>#REF!</v>
      </c>
      <c r="H50" s="167" t="e">
        <f t="shared" si="25"/>
        <v>#REF!</v>
      </c>
      <c r="I50" s="168" t="e">
        <f>I18/$J$18*$E$50</f>
        <v>#REF!</v>
      </c>
      <c r="L50" s="167" t="e">
        <f>L18/$P$18*$E$50</f>
        <v>#REF!</v>
      </c>
      <c r="M50" s="167" t="e">
        <f t="shared" ref="M50:O50" si="26">M18/$P$18*$E$50</f>
        <v>#REF!</v>
      </c>
      <c r="N50" s="167" t="e">
        <f t="shared" si="26"/>
        <v>#REF!</v>
      </c>
      <c r="O50" s="167" t="e">
        <f t="shared" si="26"/>
        <v>#REF!</v>
      </c>
    </row>
    <row r="51" spans="3:15" ht="20.55" customHeight="1" thickBot="1" x14ac:dyDescent="0.35">
      <c r="C51" s="456"/>
      <c r="D51" s="153" t="e">
        <f t="shared" si="16"/>
        <v>#REF!</v>
      </c>
      <c r="E51" s="148">
        <v>3</v>
      </c>
      <c r="F51" s="143" t="e">
        <f>F19/$J$19*$E$51</f>
        <v>#REF!</v>
      </c>
      <c r="G51" s="143" t="e">
        <f t="shared" ref="G51:I51" si="27">G19/$J$19*$E$51</f>
        <v>#REF!</v>
      </c>
      <c r="H51" s="143" t="e">
        <f t="shared" si="27"/>
        <v>#REF!</v>
      </c>
      <c r="I51" s="169" t="e">
        <f t="shared" si="27"/>
        <v>#REF!</v>
      </c>
      <c r="L51" s="143" t="e">
        <f>L19/$P$19*$E$51</f>
        <v>#REF!</v>
      </c>
      <c r="M51" s="143" t="e">
        <f t="shared" ref="M51:O51" si="28">M19/$P$19*$E$51</f>
        <v>#REF!</v>
      </c>
      <c r="N51" s="143" t="e">
        <f t="shared" si="28"/>
        <v>#REF!</v>
      </c>
      <c r="O51" s="143" t="e">
        <f t="shared" si="28"/>
        <v>#REF!</v>
      </c>
    </row>
    <row r="52" spans="3:15" ht="15" thickBot="1" x14ac:dyDescent="0.35">
      <c r="C52" s="456"/>
      <c r="D52" s="153" t="e">
        <f t="shared" si="16"/>
        <v>#REF!</v>
      </c>
      <c r="E52" s="148">
        <v>1</v>
      </c>
      <c r="F52" s="143" t="e">
        <f>F20/$J$20*$E$52</f>
        <v>#REF!</v>
      </c>
      <c r="G52" s="143" t="e">
        <f t="shared" ref="G52:I52" si="29">G20/$J$20*$E$52</f>
        <v>#REF!</v>
      </c>
      <c r="H52" s="143" t="e">
        <f t="shared" si="29"/>
        <v>#REF!</v>
      </c>
      <c r="I52" s="169" t="e">
        <f t="shared" si="29"/>
        <v>#REF!</v>
      </c>
      <c r="L52" s="143" t="e">
        <f>L20/$P$20*$E$52</f>
        <v>#REF!</v>
      </c>
      <c r="M52" s="143" t="e">
        <f t="shared" ref="M52:O52" si="30">M20/$P$20*$E$52</f>
        <v>#REF!</v>
      </c>
      <c r="N52" s="143" t="e">
        <f t="shared" si="30"/>
        <v>#REF!</v>
      </c>
      <c r="O52" s="143" t="e">
        <f t="shared" si="30"/>
        <v>#REF!</v>
      </c>
    </row>
    <row r="53" spans="3:15" ht="15" thickBot="1" x14ac:dyDescent="0.35">
      <c r="C53" s="456"/>
      <c r="D53" s="153" t="e">
        <f t="shared" si="16"/>
        <v>#REF!</v>
      </c>
      <c r="E53" s="148">
        <v>1</v>
      </c>
      <c r="F53" s="143" t="e">
        <f>F21/$J$21*$E$53</f>
        <v>#REF!</v>
      </c>
      <c r="G53" s="143" t="e">
        <f t="shared" ref="G53:I53" si="31">G21/$J$21*$E$53</f>
        <v>#REF!</v>
      </c>
      <c r="H53" s="143" t="e">
        <f t="shared" si="31"/>
        <v>#REF!</v>
      </c>
      <c r="I53" s="169" t="e">
        <f t="shared" si="31"/>
        <v>#REF!</v>
      </c>
      <c r="L53" s="143" t="e">
        <f>L21/$P$21*$E$53</f>
        <v>#REF!</v>
      </c>
      <c r="M53" s="143" t="e">
        <f t="shared" ref="M53:O53" si="32">M21/$P$21*$E$53</f>
        <v>#REF!</v>
      </c>
      <c r="N53" s="143" t="e">
        <f t="shared" si="32"/>
        <v>#REF!</v>
      </c>
      <c r="O53" s="143" t="e">
        <f t="shared" si="32"/>
        <v>#REF!</v>
      </c>
    </row>
    <row r="54" spans="3:15" ht="15" thickBot="1" x14ac:dyDescent="0.35">
      <c r="C54" s="456"/>
      <c r="D54" s="170" t="e">
        <f t="shared" si="16"/>
        <v>#REF!</v>
      </c>
      <c r="E54" s="160">
        <v>1</v>
      </c>
      <c r="F54" s="171" t="e">
        <f>F22/$J$22*$E$54</f>
        <v>#REF!</v>
      </c>
      <c r="G54" s="171" t="e">
        <f t="shared" ref="G54:I54" si="33">G22/$J$22*$E$54</f>
        <v>#REF!</v>
      </c>
      <c r="H54" s="171" t="e">
        <f t="shared" si="33"/>
        <v>#REF!</v>
      </c>
      <c r="I54" s="172" t="e">
        <f t="shared" si="33"/>
        <v>#REF!</v>
      </c>
      <c r="L54" s="171" t="e">
        <f>L22/$P$22*$E$54</f>
        <v>#REF!</v>
      </c>
      <c r="M54" s="171" t="e">
        <f t="shared" ref="M54:O54" si="34">M22/$P$22*$E$54</f>
        <v>#REF!</v>
      </c>
      <c r="N54" s="171" t="e">
        <f t="shared" si="34"/>
        <v>#REF!</v>
      </c>
      <c r="O54" s="171" t="e">
        <f t="shared" si="34"/>
        <v>#REF!</v>
      </c>
    </row>
    <row r="55" spans="3:15" ht="15" thickBot="1" x14ac:dyDescent="0.35">
      <c r="C55" s="454" t="s">
        <v>185</v>
      </c>
      <c r="D55" s="166" t="str">
        <f>D24</f>
        <v>Cena budowy demonstratora technologii (CAPEX)</v>
      </c>
      <c r="E55" s="162">
        <v>3</v>
      </c>
      <c r="F55" s="163" t="e">
        <f>$J$24/F24*$E$55</f>
        <v>#REF!</v>
      </c>
      <c r="G55" s="163" t="e">
        <f t="shared" ref="G55:H55" si="35">$J$24/G24*$E$55</f>
        <v>#REF!</v>
      </c>
      <c r="H55" s="163" t="e">
        <f t="shared" si="35"/>
        <v>#REF!</v>
      </c>
      <c r="I55" s="173"/>
      <c r="L55" s="163" t="e">
        <f>$P$24/L24*$E$55</f>
        <v>#REF!</v>
      </c>
      <c r="M55" s="163" t="e">
        <f t="shared" ref="M55:N55" si="36">$P$24/M24*$E$55</f>
        <v>#REF!</v>
      </c>
      <c r="N55" s="163" t="e">
        <f t="shared" si="36"/>
        <v>#REF!</v>
      </c>
      <c r="O55" s="163"/>
    </row>
    <row r="56" spans="3:15" ht="40.5" customHeight="1" thickBot="1" x14ac:dyDescent="0.35">
      <c r="C56" s="454"/>
      <c r="D56" s="153" t="str">
        <f>D25</f>
        <v>Koszt eksploatacji demonstratora technologii (OPEX)</v>
      </c>
      <c r="E56" s="148">
        <v>1</v>
      </c>
      <c r="F56" s="71"/>
      <c r="G56" s="71"/>
      <c r="H56" s="71"/>
      <c r="I56" s="158"/>
      <c r="L56" s="71"/>
      <c r="M56" s="71"/>
      <c r="N56" s="71"/>
      <c r="O56" s="158"/>
    </row>
    <row r="57" spans="3:15" ht="49.5" customHeight="1" thickBot="1" x14ac:dyDescent="0.35">
      <c r="C57" s="454"/>
      <c r="D57" s="170" t="str">
        <f>D26</f>
        <v>Szacowana suma kosztów budowy i eksploatacji demontratora technologii w perspektywie 20 lat</v>
      </c>
      <c r="E57" s="160">
        <v>1</v>
      </c>
      <c r="F57" s="174"/>
      <c r="G57" s="174"/>
      <c r="H57" s="174"/>
      <c r="I57" s="161"/>
      <c r="L57" s="174"/>
      <c r="M57" s="174"/>
      <c r="N57" s="174"/>
      <c r="O57" s="161"/>
    </row>
    <row r="58" spans="3:15" ht="123" thickBot="1" x14ac:dyDescent="0.35">
      <c r="C58" s="130" t="s">
        <v>189</v>
      </c>
      <c r="D58" s="175" t="str">
        <f>D27</f>
        <v>Jakość masy pofermentacyjnej (gotowego produktu końcowego?) – zadeklarowanie na etapie koncepcji jakości masy pofermentacyjnej w Etapie I i Etapie III. Próbki pozostałości pofermentacyjnej zostaną przekazane przez Wnioskodawców na poszczególnych Etapach do niezależnego instytutu badawczego w celu weryfikacji m.in właściwości nawozowych (NPK mg/dm3)</v>
      </c>
      <c r="E58" s="176">
        <v>3</v>
      </c>
      <c r="F58" s="177">
        <f>F27/$J$27*$E$58</f>
        <v>1.5</v>
      </c>
      <c r="G58" s="177">
        <f t="shared" ref="G58:I58" si="37">G27/$J$27*$E$58</f>
        <v>2.25</v>
      </c>
      <c r="H58" s="177">
        <f t="shared" si="37"/>
        <v>3</v>
      </c>
      <c r="I58" s="178">
        <f t="shared" si="37"/>
        <v>0</v>
      </c>
      <c r="L58" s="179">
        <f>L27/$P$27*$E$58</f>
        <v>2.5</v>
      </c>
      <c r="M58" s="179">
        <f t="shared" ref="M58:O58" si="38">M27/$P$27*$E$58</f>
        <v>3</v>
      </c>
      <c r="N58" s="179">
        <f t="shared" si="38"/>
        <v>1.75</v>
      </c>
      <c r="O58" s="179">
        <f t="shared" si="38"/>
        <v>0</v>
      </c>
    </row>
    <row r="59" spans="3:15" ht="144" thickBot="1" x14ac:dyDescent="0.35">
      <c r="C59" s="131" t="s">
        <v>195</v>
      </c>
      <c r="D59" s="175" t="str">
        <f>D28</f>
        <v>Poziom zautomatyzowania instalcji (osobogodziny / roboczogodziny instalacji)</v>
      </c>
      <c r="E59" s="202">
        <v>3</v>
      </c>
      <c r="F59" s="196">
        <f>$J$28/F28*$E$59</f>
        <v>1.4634146341463414</v>
      </c>
      <c r="G59" s="196">
        <f t="shared" ref="G59:H59" si="39">$J$28/G28*$E$59</f>
        <v>0.73170731707317072</v>
      </c>
      <c r="H59" s="196">
        <f t="shared" si="39"/>
        <v>3</v>
      </c>
      <c r="I59" s="196"/>
      <c r="L59" s="179">
        <f>$P$28/L28*$E$59</f>
        <v>2.6341463414634148</v>
      </c>
      <c r="M59" s="179">
        <f t="shared" ref="M59:N59" si="40">$P$28/M28*$E$59</f>
        <v>1.3170731707317074</v>
      </c>
      <c r="N59" s="179">
        <f t="shared" si="40"/>
        <v>3</v>
      </c>
      <c r="O59" s="179"/>
    </row>
    <row r="60" spans="3:15" ht="22.05" customHeight="1" x14ac:dyDescent="0.3">
      <c r="C60" s="471" t="s">
        <v>205</v>
      </c>
      <c r="D60" s="203" t="s">
        <v>206</v>
      </c>
      <c r="E60" s="210">
        <v>1</v>
      </c>
      <c r="F60" s="193" t="e">
        <f>$J$29/F29*$E$60</f>
        <v>#REF!</v>
      </c>
      <c r="G60" s="193" t="e">
        <f t="shared" ref="G60:H60" si="41">$J$29/G29*$E$60</f>
        <v>#REF!</v>
      </c>
      <c r="H60" s="193" t="e">
        <f t="shared" si="41"/>
        <v>#REF!</v>
      </c>
      <c r="I60" s="213"/>
      <c r="L60" s="190" t="e">
        <f>$P$29/L29*$E$60</f>
        <v>#REF!</v>
      </c>
      <c r="M60" s="163" t="e">
        <f t="shared" ref="M60:N60" si="42">$P$29/M29*$E$60</f>
        <v>#REF!</v>
      </c>
      <c r="N60" s="163" t="e">
        <f t="shared" si="42"/>
        <v>#REF!</v>
      </c>
      <c r="O60" s="173"/>
    </row>
    <row r="61" spans="3:15" ht="25.05" customHeight="1" x14ac:dyDescent="0.3">
      <c r="C61" s="472"/>
      <c r="D61" s="204" t="s">
        <v>207</v>
      </c>
      <c r="E61" s="211">
        <v>1</v>
      </c>
      <c r="F61" s="194" t="e">
        <f>$J$30/F30*$E$61</f>
        <v>#REF!</v>
      </c>
      <c r="G61" s="194" t="e">
        <f t="shared" ref="G61:H61" si="43">$J$30/G30*$E$61</f>
        <v>#REF!</v>
      </c>
      <c r="H61" s="194" t="e">
        <f t="shared" si="43"/>
        <v>#REF!</v>
      </c>
      <c r="I61" s="214"/>
      <c r="L61" s="191" t="e">
        <f>$P$30/L30*$E$61</f>
        <v>#REF!</v>
      </c>
      <c r="M61" s="141" t="e">
        <f t="shared" ref="M61:N61" si="44">$P$30/M30*$E$61</f>
        <v>#REF!</v>
      </c>
      <c r="N61" s="141" t="e">
        <f t="shared" si="44"/>
        <v>#REF!</v>
      </c>
      <c r="O61" s="205"/>
    </row>
    <row r="62" spans="3:15" ht="20.55" customHeight="1" x14ac:dyDescent="0.3">
      <c r="C62" s="472"/>
      <c r="D62" s="204" t="s">
        <v>208</v>
      </c>
      <c r="E62" s="211">
        <v>1</v>
      </c>
      <c r="F62" s="194" t="e">
        <f>$J$31/F31*$E$62</f>
        <v>#REF!</v>
      </c>
      <c r="G62" s="194" t="e">
        <f t="shared" ref="G62:H62" si="45">$J$31/G31*$E$62</f>
        <v>#REF!</v>
      </c>
      <c r="H62" s="194" t="e">
        <f t="shared" si="45"/>
        <v>#REF!</v>
      </c>
      <c r="I62" s="214"/>
      <c r="L62" s="191" t="e">
        <f>$P$31/L31*$E$62</f>
        <v>#REF!</v>
      </c>
      <c r="M62" s="141" t="e">
        <f t="shared" ref="M62:N62" si="46">$P$31/M31*$E$62</f>
        <v>#REF!</v>
      </c>
      <c r="N62" s="141" t="e">
        <f t="shared" si="46"/>
        <v>#REF!</v>
      </c>
      <c r="O62" s="205"/>
    </row>
    <row r="63" spans="3:15" ht="25.05" customHeight="1" thickBot="1" x14ac:dyDescent="0.35">
      <c r="C63" s="473"/>
      <c r="D63" s="206" t="s">
        <v>209</v>
      </c>
      <c r="E63" s="212">
        <v>1</v>
      </c>
      <c r="F63" s="195" t="e">
        <f>$J$32/F32*$E$63</f>
        <v>#REF!</v>
      </c>
      <c r="G63" s="195" t="e">
        <f t="shared" ref="G63:H63" si="47">$J$32/G32*$E$63</f>
        <v>#REF!</v>
      </c>
      <c r="H63" s="195" t="e">
        <f t="shared" si="47"/>
        <v>#REF!</v>
      </c>
      <c r="I63" s="215"/>
      <c r="L63" s="192" t="e">
        <f>$P$32/L32*$E$63</f>
        <v>#REF!</v>
      </c>
      <c r="M63" s="189" t="e">
        <f t="shared" ref="M63:N63" si="48">$P$32/M32*$E$63</f>
        <v>#REF!</v>
      </c>
      <c r="N63" s="189" t="e">
        <f t="shared" si="48"/>
        <v>#REF!</v>
      </c>
      <c r="O63" s="207"/>
    </row>
    <row r="64" spans="3:15" ht="28.8" x14ac:dyDescent="0.3">
      <c r="C64" s="471" t="s">
        <v>210</v>
      </c>
      <c r="D64" s="203" t="s">
        <v>211</v>
      </c>
      <c r="E64" s="210">
        <v>1</v>
      </c>
      <c r="F64" s="193" t="e">
        <f>$J$33/F33*$E$64</f>
        <v>#REF!</v>
      </c>
      <c r="G64" s="193" t="e">
        <f t="shared" ref="G64:H64" si="49">$J$33/G33*$E$64</f>
        <v>#REF!</v>
      </c>
      <c r="H64" s="193" t="e">
        <f t="shared" si="49"/>
        <v>#REF!</v>
      </c>
      <c r="I64" s="213"/>
      <c r="L64" s="190" t="e">
        <f>$P$33/L33*$E$64</f>
        <v>#REF!</v>
      </c>
      <c r="M64" s="163" t="e">
        <f t="shared" ref="M64:N64" si="50">$P$33/M33*$E$64</f>
        <v>#REF!</v>
      </c>
      <c r="N64" s="163" t="e">
        <f t="shared" si="50"/>
        <v>#REF!</v>
      </c>
      <c r="O64" s="173"/>
    </row>
    <row r="65" spans="3:15" ht="28.8" x14ac:dyDescent="0.3">
      <c r="C65" s="472"/>
      <c r="D65" s="204" t="s">
        <v>212</v>
      </c>
      <c r="E65" s="211">
        <v>1</v>
      </c>
      <c r="F65" s="194" t="e">
        <f>$J$34/F34*$E465</f>
        <v>#REF!</v>
      </c>
      <c r="G65" s="194" t="e">
        <f t="shared" ref="G65:H65" si="51">$J$34/G34*$E465</f>
        <v>#REF!</v>
      </c>
      <c r="H65" s="194" t="e">
        <f t="shared" si="51"/>
        <v>#REF!</v>
      </c>
      <c r="I65" s="214"/>
      <c r="L65" s="191" t="e">
        <f>$P$34/L34*$E$65</f>
        <v>#REF!</v>
      </c>
      <c r="M65" s="141" t="e">
        <f t="shared" ref="M65:N65" si="52">$P$34/M34*$E$65</f>
        <v>#REF!</v>
      </c>
      <c r="N65" s="141" t="e">
        <f t="shared" si="52"/>
        <v>#REF!</v>
      </c>
      <c r="O65" s="205"/>
    </row>
    <row r="66" spans="3:15" ht="28.8" x14ac:dyDescent="0.3">
      <c r="C66" s="472"/>
      <c r="D66" s="204" t="s">
        <v>213</v>
      </c>
      <c r="E66" s="211">
        <v>1</v>
      </c>
      <c r="F66" s="194" t="e">
        <f>$J$35/F35*$E$66</f>
        <v>#REF!</v>
      </c>
      <c r="G66" s="194" t="e">
        <f t="shared" ref="G66:H66" si="53">$J$35/G35*$E$66</f>
        <v>#REF!</v>
      </c>
      <c r="H66" s="194" t="e">
        <f t="shared" si="53"/>
        <v>#REF!</v>
      </c>
      <c r="I66" s="214"/>
      <c r="L66" s="191" t="e">
        <f>$P$35/L35*$E$66</f>
        <v>#REF!</v>
      </c>
      <c r="M66" s="141" t="e">
        <f t="shared" ref="M66:N66" si="54">$P$35/M35*$E$66</f>
        <v>#REF!</v>
      </c>
      <c r="N66" s="141" t="e">
        <f t="shared" si="54"/>
        <v>#REF!</v>
      </c>
      <c r="O66" s="205"/>
    </row>
    <row r="67" spans="3:15" ht="28.8" x14ac:dyDescent="0.3">
      <c r="C67" s="472"/>
      <c r="D67" s="204" t="s">
        <v>214</v>
      </c>
      <c r="E67" s="211">
        <v>1</v>
      </c>
      <c r="F67" s="194" t="e">
        <f>$J$36/F36*$E$67</f>
        <v>#REF!</v>
      </c>
      <c r="G67" s="194" t="e">
        <f t="shared" ref="G67:H67" si="55">$J$36/G36*$E$67</f>
        <v>#REF!</v>
      </c>
      <c r="H67" s="194" t="e">
        <f t="shared" si="55"/>
        <v>#REF!</v>
      </c>
      <c r="I67" s="214"/>
      <c r="L67" s="191" t="e">
        <f>$P$36/L36*$E$67</f>
        <v>#REF!</v>
      </c>
      <c r="M67" s="141" t="e">
        <f t="shared" ref="M67:N67" si="56">$P$36/M36*$E$67</f>
        <v>#REF!</v>
      </c>
      <c r="N67" s="141" t="e">
        <f t="shared" si="56"/>
        <v>#REF!</v>
      </c>
      <c r="O67" s="205"/>
    </row>
    <row r="68" spans="3:15" ht="28.8" x14ac:dyDescent="0.3">
      <c r="C68" s="472"/>
      <c r="D68" s="204" t="s">
        <v>215</v>
      </c>
      <c r="E68" s="211">
        <v>1</v>
      </c>
      <c r="F68" s="194" t="e">
        <f>$J$37/F37*$E$68</f>
        <v>#REF!</v>
      </c>
      <c r="G68" s="194" t="e">
        <f t="shared" ref="G68:H68" si="57">$J$37/G37*$E$68</f>
        <v>#REF!</v>
      </c>
      <c r="H68" s="194" t="e">
        <f t="shared" si="57"/>
        <v>#REF!</v>
      </c>
      <c r="I68" s="214"/>
      <c r="L68" s="191" t="e">
        <f>$P$37/L37*$E$68</f>
        <v>#REF!</v>
      </c>
      <c r="M68" s="141" t="e">
        <f t="shared" ref="M68:N68" si="58">$P$37/M37*$E$68</f>
        <v>#REF!</v>
      </c>
      <c r="N68" s="141" t="e">
        <f t="shared" si="58"/>
        <v>#REF!</v>
      </c>
      <c r="O68" s="205"/>
    </row>
    <row r="69" spans="3:15" ht="43.2" x14ac:dyDescent="0.3">
      <c r="C69" s="472"/>
      <c r="D69" s="204" t="s">
        <v>216</v>
      </c>
      <c r="E69" s="211">
        <v>1</v>
      </c>
      <c r="F69" s="194" t="e">
        <f>$J$38/F38*$E$69</f>
        <v>#REF!</v>
      </c>
      <c r="G69" s="194" t="e">
        <f t="shared" ref="G69:H69" si="59">$J$38/G38*$E$69</f>
        <v>#REF!</v>
      </c>
      <c r="H69" s="194" t="e">
        <f t="shared" si="59"/>
        <v>#REF!</v>
      </c>
      <c r="I69" s="214"/>
      <c r="L69" s="191" t="e">
        <f>$P$38/L38*$E$69</f>
        <v>#REF!</v>
      </c>
      <c r="M69" s="141" t="e">
        <f t="shared" ref="M69:N69" si="60">$P$38/M38*$E$69</f>
        <v>#REF!</v>
      </c>
      <c r="N69" s="141" t="e">
        <f t="shared" si="60"/>
        <v>#REF!</v>
      </c>
      <c r="O69" s="205"/>
    </row>
    <row r="70" spans="3:15" ht="29.4" thickBot="1" x14ac:dyDescent="0.35">
      <c r="C70" s="473"/>
      <c r="D70" s="206" t="s">
        <v>232</v>
      </c>
      <c r="E70" s="212">
        <v>1</v>
      </c>
      <c r="F70" s="195" t="e">
        <f>F39/$J$39*$E$70</f>
        <v>#REF!</v>
      </c>
      <c r="G70" s="195" t="e">
        <f t="shared" ref="G70:H70" si="61">G39/$J$39*$E$70</f>
        <v>#REF!</v>
      </c>
      <c r="H70" s="195" t="e">
        <f t="shared" si="61"/>
        <v>#REF!</v>
      </c>
      <c r="I70" s="215"/>
      <c r="L70" s="192" t="e">
        <f>L39/$P$39*$E$70</f>
        <v>#REF!</v>
      </c>
      <c r="M70" s="189" t="e">
        <f>M39/$P$39*$E$70</f>
        <v>#REF!</v>
      </c>
      <c r="N70" s="189" t="e">
        <f t="shared" ref="N70" si="62">N39/$P$39*$E$70</f>
        <v>#REF!</v>
      </c>
      <c r="O70" s="207"/>
    </row>
    <row r="71" spans="3:15" ht="21.6" thickBot="1" x14ac:dyDescent="0.45">
      <c r="D71" s="468" t="s">
        <v>201</v>
      </c>
      <c r="E71" s="469"/>
      <c r="F71" s="208" t="e">
        <f>SUM(F42:F70)</f>
        <v>#REF!</v>
      </c>
      <c r="G71" s="208" t="e">
        <f>SUM(G42:G70)</f>
        <v>#REF!</v>
      </c>
      <c r="H71" s="209" t="e">
        <f>SUM(H42:H70)</f>
        <v>#REF!</v>
      </c>
      <c r="J71" s="187"/>
      <c r="K71" s="188" t="s">
        <v>202</v>
      </c>
      <c r="L71" s="180" t="e">
        <f>SUM(L42:L70)</f>
        <v>#REF!</v>
      </c>
      <c r="M71" s="180" t="e">
        <f>SUM(M42:M70)</f>
        <v>#REF!</v>
      </c>
      <c r="N71" s="181" t="e">
        <f>SUM(N42:N70)</f>
        <v>#REF!</v>
      </c>
    </row>
    <row r="72" spans="3:15" ht="21" x14ac:dyDescent="0.4">
      <c r="D72" s="150"/>
      <c r="E72" s="150"/>
    </row>
    <row r="73" spans="3:15" ht="21" x14ac:dyDescent="0.4">
      <c r="D73" s="150"/>
      <c r="E73" s="150"/>
    </row>
  </sheetData>
  <mergeCells count="26">
    <mergeCell ref="L41:N41"/>
    <mergeCell ref="P4:P5"/>
    <mergeCell ref="D4:E4"/>
    <mergeCell ref="D71:E71"/>
    <mergeCell ref="C29:C32"/>
    <mergeCell ref="C33:C39"/>
    <mergeCell ref="C60:C63"/>
    <mergeCell ref="C64:C70"/>
    <mergeCell ref="C50:C54"/>
    <mergeCell ref="C55:C57"/>
    <mergeCell ref="F2:O2"/>
    <mergeCell ref="J4:J5"/>
    <mergeCell ref="F3:I3"/>
    <mergeCell ref="F4:I4"/>
    <mergeCell ref="C47:C49"/>
    <mergeCell ref="C42:C46"/>
    <mergeCell ref="L3:O3"/>
    <mergeCell ref="L4:O4"/>
    <mergeCell ref="C15:C17"/>
    <mergeCell ref="C24:C26"/>
    <mergeCell ref="C6:C14"/>
    <mergeCell ref="C18:C22"/>
    <mergeCell ref="F41:H41"/>
    <mergeCell ref="D6:E6"/>
    <mergeCell ref="D7:E7"/>
    <mergeCell ref="D28:E28"/>
  </mergeCells>
  <conditionalFormatting sqref="F6:H6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:H7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:H8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:H11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9:H22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0:H2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9:H19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H22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0:H20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:H18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2:H22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H21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:H15 G16:H17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:H14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:H1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:H16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:H17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:H15 F18:H18 G16:H1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4:H24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:H27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8:H3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:H7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N6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:N7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:N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N11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9:N2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0:N22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9:N19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1:N22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0:N20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:N1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2:N2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1:N21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:N15 M16:N1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N1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:N15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N1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:N1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N15 L18:N18 M16:N17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4:N2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N2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8:N28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1:N7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8:H2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:H39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:H29 G30:H3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:H2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:H3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:H3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:H3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:H3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:H3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:H3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:H3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:H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:H3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H3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9:N39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N3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N3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N3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N3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N3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N3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N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N3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N3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N3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N3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N3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N3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9:N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2:E7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1"/>
  <sheetViews>
    <sheetView view="pageBreakPreview" zoomScale="40" zoomScaleNormal="40" zoomScaleSheetLayoutView="40" workbookViewId="0">
      <pane xSplit="6" ySplit="5" topLeftCell="X6" activePane="bottomRight" state="frozen"/>
      <selection pane="topRight" activeCell="G1" sqref="G1"/>
      <selection pane="bottomLeft" activeCell="A8" sqref="A8"/>
      <selection pane="bottomRight" activeCell="AE6" sqref="AE6:AE9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t="15" hidden="1" thickBot="1" x14ac:dyDescent="0.35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79.45" customHeight="1" thickBot="1" x14ac:dyDescent="0.35">
      <c r="B4" s="478" t="s">
        <v>301</v>
      </c>
      <c r="F4" s="240"/>
      <c r="G4" s="484" t="s">
        <v>303</v>
      </c>
      <c r="H4" s="484"/>
      <c r="I4" s="484" t="s">
        <v>304</v>
      </c>
      <c r="J4" s="485"/>
      <c r="K4" s="489" t="s">
        <v>305</v>
      </c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1"/>
      <c r="Y4" s="379" t="s">
        <v>248</v>
      </c>
      <c r="AF4" s="379" t="s">
        <v>248</v>
      </c>
    </row>
    <row r="5" spans="2:32" ht="172.95" customHeight="1" thickBot="1" x14ac:dyDescent="0.35">
      <c r="B5" s="478"/>
      <c r="E5" s="329" t="s">
        <v>8</v>
      </c>
      <c r="F5" s="330" t="s">
        <v>254</v>
      </c>
      <c r="G5" s="331" t="s">
        <v>260</v>
      </c>
      <c r="H5" s="331" t="s">
        <v>240</v>
      </c>
      <c r="I5" s="342" t="s">
        <v>258</v>
      </c>
      <c r="J5" s="342" t="s">
        <v>259</v>
      </c>
      <c r="K5" s="342" t="s">
        <v>261</v>
      </c>
      <c r="L5" s="342" t="s">
        <v>246</v>
      </c>
      <c r="M5" s="342" t="s">
        <v>250</v>
      </c>
      <c r="N5" s="342" t="s">
        <v>251</v>
      </c>
      <c r="O5" s="342" t="s">
        <v>241</v>
      </c>
      <c r="P5" s="342" t="s">
        <v>233</v>
      </c>
      <c r="Q5" s="342" t="s">
        <v>242</v>
      </c>
      <c r="R5" s="342" t="s">
        <v>243</v>
      </c>
      <c r="S5" s="342" t="s">
        <v>244</v>
      </c>
      <c r="T5" s="342" t="s">
        <v>245</v>
      </c>
      <c r="U5" s="342" t="s">
        <v>271</v>
      </c>
      <c r="V5" s="342" t="s">
        <v>272</v>
      </c>
      <c r="W5" s="342" t="s">
        <v>273</v>
      </c>
      <c r="X5" s="342" t="s">
        <v>274</v>
      </c>
      <c r="Y5" s="369" t="s">
        <v>256</v>
      </c>
      <c r="Z5" s="342" t="s">
        <v>247</v>
      </c>
      <c r="AA5" s="342" t="s">
        <v>275</v>
      </c>
      <c r="AB5" s="342" t="s">
        <v>276</v>
      </c>
      <c r="AC5" s="342" t="s">
        <v>249</v>
      </c>
      <c r="AD5" s="342" t="s">
        <v>277</v>
      </c>
      <c r="AE5" s="342" t="s">
        <v>306</v>
      </c>
      <c r="AF5" s="369" t="s">
        <v>257</v>
      </c>
    </row>
    <row r="6" spans="2:32" ht="108" customHeight="1" thickBot="1" x14ac:dyDescent="0.35">
      <c r="B6" s="478"/>
      <c r="C6" s="474" t="s">
        <v>252</v>
      </c>
      <c r="D6" s="475" t="s">
        <v>161</v>
      </c>
      <c r="E6" s="332" t="s">
        <v>9</v>
      </c>
      <c r="F6" s="333" t="s">
        <v>17</v>
      </c>
      <c r="G6" s="334">
        <v>0.24</v>
      </c>
      <c r="H6" s="335">
        <v>0.72</v>
      </c>
      <c r="I6" s="380">
        <v>0.59199999999999997</v>
      </c>
      <c r="J6" s="343">
        <v>150.9</v>
      </c>
      <c r="K6" s="344">
        <v>38</v>
      </c>
      <c r="L6" s="345">
        <f>O6/365</f>
        <v>2.7397260273972603E-3</v>
      </c>
      <c r="M6" s="486">
        <f>SUMPRODUCT(G6:G9,P6:P9)</f>
        <v>0.27024999999999999</v>
      </c>
      <c r="N6" s="486">
        <f>(S10*100%)/Q10</f>
        <v>0.77400370027752097</v>
      </c>
      <c r="O6" s="274">
        <v>1</v>
      </c>
      <c r="P6" s="356">
        <f>O6/$O$10</f>
        <v>0.25</v>
      </c>
      <c r="Q6" s="357">
        <f>L6*G6</f>
        <v>6.5753424657534248E-4</v>
      </c>
      <c r="R6" s="357">
        <f>O6*G6</f>
        <v>0.24</v>
      </c>
      <c r="S6" s="357">
        <f>Q6*H6</f>
        <v>4.7342465753424657E-4</v>
      </c>
      <c r="T6" s="358">
        <f>R6*H6</f>
        <v>0.17279999999999998</v>
      </c>
      <c r="U6" s="370">
        <f>S6*J6</f>
        <v>7.1439780821917806E-2</v>
      </c>
      <c r="V6" s="370">
        <f>T6*J6</f>
        <v>26.075519999999997</v>
      </c>
      <c r="W6" s="371">
        <f>U6*I6</f>
        <v>4.2292350246575336E-2</v>
      </c>
      <c r="X6" s="372">
        <f>V6*I6</f>
        <v>15.436707839999997</v>
      </c>
      <c r="Y6" s="498">
        <f>X10/T10</f>
        <v>218.0989694989112</v>
      </c>
      <c r="Z6" s="492">
        <v>0.97</v>
      </c>
      <c r="AA6" s="495">
        <f>W10*Z6</f>
        <v>0.48495474639546843</v>
      </c>
      <c r="AB6" s="495">
        <f>X10*Z6</f>
        <v>177.00848243434601</v>
      </c>
      <c r="AC6" s="501">
        <v>0.3</v>
      </c>
      <c r="AD6" s="504">
        <f>V10-(V10*AC6)</f>
        <v>223.92274786000002</v>
      </c>
      <c r="AE6" s="495">
        <f>AD6*I10%*Z6</f>
        <v>123.90593770404219</v>
      </c>
      <c r="AF6" s="481">
        <f>AE6/T10</f>
        <v>148.0892002897607</v>
      </c>
    </row>
    <row r="7" spans="2:32" ht="108" customHeight="1" thickBot="1" x14ac:dyDescent="0.35">
      <c r="B7" s="478"/>
      <c r="C7" s="474"/>
      <c r="D7" s="476"/>
      <c r="E7" s="332" t="s">
        <v>10</v>
      </c>
      <c r="F7" s="336" t="s">
        <v>235</v>
      </c>
      <c r="G7" s="337">
        <v>0.33600000000000002</v>
      </c>
      <c r="H7" s="338">
        <v>0.81299999999999994</v>
      </c>
      <c r="I7" s="309">
        <v>0.54100000000000004</v>
      </c>
      <c r="J7" s="346">
        <v>331.1</v>
      </c>
      <c r="K7" s="347">
        <v>28</v>
      </c>
      <c r="L7" s="348">
        <f t="shared" ref="L7:L9" si="0">O7/365</f>
        <v>2.7397260273972603E-3</v>
      </c>
      <c r="M7" s="487"/>
      <c r="N7" s="487"/>
      <c r="O7" s="274">
        <v>1</v>
      </c>
      <c r="P7" s="359">
        <f>O7/$O$10</f>
        <v>0.25</v>
      </c>
      <c r="Q7" s="360">
        <f t="shared" ref="Q7:Q9" si="1">L7*G7</f>
        <v>9.205479452054795E-4</v>
      </c>
      <c r="R7" s="360">
        <f t="shared" ref="R7:R9" si="2">O7*G7</f>
        <v>0.33600000000000002</v>
      </c>
      <c r="S7" s="360">
        <f t="shared" ref="S7:S9" si="3">Q7*H7</f>
        <v>7.4840547945205483E-4</v>
      </c>
      <c r="T7" s="361">
        <f t="shared" ref="T7:T9" si="4">R7*H7</f>
        <v>0.27316800000000002</v>
      </c>
      <c r="U7" s="373">
        <f>S7*J7</f>
        <v>0.24779705424657536</v>
      </c>
      <c r="V7" s="373">
        <f t="shared" ref="V7:V9" si="5">T7*J7</f>
        <v>90.445924800000014</v>
      </c>
      <c r="W7" s="374">
        <f t="shared" ref="W7:W9" si="6">U7*I7</f>
        <v>0.13405820634739729</v>
      </c>
      <c r="X7" s="375">
        <f t="shared" ref="X7:X9" si="7">V7*I7</f>
        <v>48.931245316800009</v>
      </c>
      <c r="Y7" s="499"/>
      <c r="Z7" s="493"/>
      <c r="AA7" s="496"/>
      <c r="AB7" s="496"/>
      <c r="AC7" s="502"/>
      <c r="AD7" s="505"/>
      <c r="AE7" s="496"/>
      <c r="AF7" s="482"/>
    </row>
    <row r="8" spans="2:32" ht="108" customHeight="1" thickBot="1" x14ac:dyDescent="0.35">
      <c r="B8" s="478"/>
      <c r="C8" s="474"/>
      <c r="D8" s="476"/>
      <c r="E8" s="332" t="s">
        <v>11</v>
      </c>
      <c r="F8" s="339" t="s">
        <v>237</v>
      </c>
      <c r="G8" s="337">
        <v>0.26</v>
      </c>
      <c r="H8" s="338">
        <v>0.73199999999999998</v>
      </c>
      <c r="I8" s="309">
        <v>0.57299999999999995</v>
      </c>
      <c r="J8" s="346">
        <v>690</v>
      </c>
      <c r="K8" s="347">
        <v>6</v>
      </c>
      <c r="L8" s="348">
        <f t="shared" si="0"/>
        <v>2.7397260273972603E-3</v>
      </c>
      <c r="M8" s="487"/>
      <c r="N8" s="487"/>
      <c r="O8" s="274">
        <v>1</v>
      </c>
      <c r="P8" s="359">
        <f>O8/$O$10</f>
        <v>0.25</v>
      </c>
      <c r="Q8" s="360">
        <f t="shared" si="1"/>
        <v>7.1232876712328766E-4</v>
      </c>
      <c r="R8" s="360">
        <f t="shared" si="2"/>
        <v>0.26</v>
      </c>
      <c r="S8" s="360">
        <f t="shared" si="3"/>
        <v>5.214246575342466E-4</v>
      </c>
      <c r="T8" s="361">
        <f t="shared" si="4"/>
        <v>0.19031999999999999</v>
      </c>
      <c r="U8" s="373">
        <f t="shared" ref="U8:U9" si="8">S8*J8</f>
        <v>0.35978301369863014</v>
      </c>
      <c r="V8" s="373">
        <f t="shared" si="5"/>
        <v>131.32079999999999</v>
      </c>
      <c r="W8" s="374">
        <f t="shared" si="6"/>
        <v>0.20615566684931505</v>
      </c>
      <c r="X8" s="375">
        <f t="shared" si="7"/>
        <v>75.246818399999995</v>
      </c>
      <c r="Y8" s="499"/>
      <c r="Z8" s="493"/>
      <c r="AA8" s="496"/>
      <c r="AB8" s="496"/>
      <c r="AC8" s="502"/>
      <c r="AD8" s="505"/>
      <c r="AE8" s="496"/>
      <c r="AF8" s="482"/>
    </row>
    <row r="9" spans="2:32" ht="108" customHeight="1" thickBot="1" x14ac:dyDescent="0.35">
      <c r="B9" s="478"/>
      <c r="C9" s="474"/>
      <c r="D9" s="477"/>
      <c r="E9" s="332" t="s">
        <v>12</v>
      </c>
      <c r="F9" s="339" t="s">
        <v>239</v>
      </c>
      <c r="G9" s="340">
        <v>0.245</v>
      </c>
      <c r="H9" s="341">
        <v>0.81799999999999995</v>
      </c>
      <c r="I9" s="310">
        <v>0.59499999999999997</v>
      </c>
      <c r="J9" s="349">
        <v>359.5</v>
      </c>
      <c r="K9" s="350">
        <v>28</v>
      </c>
      <c r="L9" s="351">
        <f t="shared" si="0"/>
        <v>2.7397260273972603E-3</v>
      </c>
      <c r="M9" s="488"/>
      <c r="N9" s="488"/>
      <c r="O9" s="274">
        <v>1</v>
      </c>
      <c r="P9" s="362">
        <f>O9/$O$10</f>
        <v>0.25</v>
      </c>
      <c r="Q9" s="363">
        <f t="shared" si="1"/>
        <v>6.7123287671232872E-4</v>
      </c>
      <c r="R9" s="363">
        <f t="shared" si="2"/>
        <v>0.245</v>
      </c>
      <c r="S9" s="363">
        <f t="shared" si="3"/>
        <v>5.4906849315068489E-4</v>
      </c>
      <c r="T9" s="364">
        <f t="shared" si="4"/>
        <v>0.20040999999999998</v>
      </c>
      <c r="U9" s="376">
        <f t="shared" si="8"/>
        <v>0.19739012328767122</v>
      </c>
      <c r="V9" s="376">
        <f t="shared" si="5"/>
        <v>72.047394999999995</v>
      </c>
      <c r="W9" s="377">
        <f t="shared" si="6"/>
        <v>0.11744712335616438</v>
      </c>
      <c r="X9" s="378">
        <f t="shared" si="7"/>
        <v>42.868200024999993</v>
      </c>
      <c r="Y9" s="500"/>
      <c r="Z9" s="494"/>
      <c r="AA9" s="497"/>
      <c r="AB9" s="497"/>
      <c r="AC9" s="503"/>
      <c r="AD9" s="506"/>
      <c r="AE9" s="497"/>
      <c r="AF9" s="483"/>
    </row>
    <row r="10" spans="2:32" ht="108" customHeight="1" thickBot="1" x14ac:dyDescent="0.45">
      <c r="B10" s="478"/>
      <c r="C10" s="216"/>
      <c r="E10" s="250"/>
      <c r="F10" s="250"/>
      <c r="G10" s="250"/>
      <c r="H10" s="250"/>
      <c r="I10" s="352">
        <f>(W10*100)/U10</f>
        <v>57.045602257044393</v>
      </c>
      <c r="J10" s="353">
        <f>($U$10*1)/($L$10*$M$6*$N$6)</f>
        <v>382.32389679430327</v>
      </c>
      <c r="K10" s="354">
        <f>SUM(K6:K9)</f>
        <v>100</v>
      </c>
      <c r="L10" s="355">
        <f>SUM(L6:L9)</f>
        <v>1.0958904109589041E-2</v>
      </c>
      <c r="M10" s="266"/>
      <c r="N10" s="266"/>
      <c r="O10" s="365">
        <f t="shared" ref="O10:T10" si="9">SUM(O6:O9)</f>
        <v>4</v>
      </c>
      <c r="P10" s="366">
        <f t="shared" si="9"/>
        <v>1</v>
      </c>
      <c r="Q10" s="367">
        <f t="shared" si="9"/>
        <v>2.9616438356164379E-3</v>
      </c>
      <c r="R10" s="368">
        <f t="shared" si="9"/>
        <v>1.081</v>
      </c>
      <c r="S10" s="368">
        <f t="shared" si="9"/>
        <v>2.2923232876712329E-3</v>
      </c>
      <c r="T10" s="368">
        <f t="shared" si="9"/>
        <v>0.83669799999999994</v>
      </c>
      <c r="U10" s="365">
        <f t="shared" ref="U10:X10" si="10">SUM(U6:U9)</f>
        <v>0.87640997205479454</v>
      </c>
      <c r="V10" s="365">
        <f t="shared" si="10"/>
        <v>319.8896398</v>
      </c>
      <c r="W10" s="365">
        <f t="shared" si="10"/>
        <v>0.49995334679945203</v>
      </c>
      <c r="X10" s="368">
        <f t="shared" si="10"/>
        <v>182.4829715818</v>
      </c>
      <c r="Y10" s="238"/>
      <c r="Z10" s="250"/>
      <c r="AA10" s="250"/>
      <c r="AB10" s="250"/>
      <c r="AC10" s="250"/>
      <c r="AD10" s="250"/>
      <c r="AE10" s="250"/>
      <c r="AF10" s="304"/>
    </row>
    <row r="11" spans="2:32" ht="26.4" thickBot="1" x14ac:dyDescent="0.55000000000000004">
      <c r="B11" s="478"/>
      <c r="I11" s="303"/>
      <c r="S11" s="235"/>
    </row>
    <row r="12" spans="2:32" ht="21.6" thickBot="1" x14ac:dyDescent="0.45">
      <c r="B12" s="478"/>
      <c r="E12" s="313"/>
      <c r="F12" s="314" t="s">
        <v>267</v>
      </c>
      <c r="G12" s="313"/>
      <c r="H12" s="313"/>
    </row>
    <row r="13" spans="2:32" ht="21.6" thickBot="1" x14ac:dyDescent="0.45">
      <c r="B13" s="478"/>
      <c r="E13" s="315" t="s">
        <v>8</v>
      </c>
      <c r="F13" s="314" t="str">
        <f>D6</f>
        <v>Firma X</v>
      </c>
      <c r="G13" s="313"/>
      <c r="H13" s="313"/>
      <c r="T13" s="236"/>
    </row>
    <row r="14" spans="2:32" ht="147.6" thickBot="1" x14ac:dyDescent="0.35">
      <c r="B14" s="478"/>
      <c r="E14" s="315" t="s">
        <v>9</v>
      </c>
      <c r="F14" s="316" t="s">
        <v>268</v>
      </c>
      <c r="G14" s="317">
        <f>J10</f>
        <v>382.32389679430327</v>
      </c>
      <c r="H14" s="318" t="s">
        <v>280</v>
      </c>
    </row>
    <row r="15" spans="2:32" ht="42.6" thickBot="1" x14ac:dyDescent="0.35">
      <c r="B15" s="478"/>
      <c r="E15" s="315" t="s">
        <v>10</v>
      </c>
      <c r="F15" s="319" t="s">
        <v>288</v>
      </c>
      <c r="G15" s="320">
        <f>I10</f>
        <v>57.045602257044393</v>
      </c>
      <c r="H15" s="318" t="s">
        <v>269</v>
      </c>
    </row>
    <row r="16" spans="2:32" ht="24" thickBot="1" x14ac:dyDescent="0.35">
      <c r="B16" s="478"/>
      <c r="E16" s="480" t="s">
        <v>11</v>
      </c>
      <c r="F16" s="479" t="s">
        <v>270</v>
      </c>
      <c r="G16" s="320">
        <f>U10</f>
        <v>0.87640997205479454</v>
      </c>
      <c r="H16" s="318" t="s">
        <v>281</v>
      </c>
    </row>
    <row r="17" spans="2:8" ht="24" thickBot="1" x14ac:dyDescent="0.35">
      <c r="B17" s="478"/>
      <c r="E17" s="480"/>
      <c r="F17" s="479"/>
      <c r="G17" s="320">
        <f>G16*365</f>
        <v>319.8896398</v>
      </c>
      <c r="H17" s="318" t="s">
        <v>282</v>
      </c>
    </row>
    <row r="18" spans="2:8" ht="24" thickBot="1" x14ac:dyDescent="0.35">
      <c r="B18" s="478"/>
      <c r="E18" s="480"/>
      <c r="F18" s="479"/>
      <c r="G18" s="320">
        <f>G16/24</f>
        <v>3.651708216894977E-2</v>
      </c>
      <c r="H18" s="318" t="s">
        <v>283</v>
      </c>
    </row>
    <row r="19" spans="2:8" ht="62.55" customHeight="1" thickBot="1" x14ac:dyDescent="0.35">
      <c r="B19" s="478"/>
      <c r="E19" s="315" t="s">
        <v>12</v>
      </c>
      <c r="F19" s="321" t="s">
        <v>287</v>
      </c>
      <c r="G19" s="322">
        <f>Y6</f>
        <v>218.0989694989112</v>
      </c>
      <c r="H19" s="318" t="s">
        <v>284</v>
      </c>
    </row>
    <row r="20" spans="2:8" ht="68.55" customHeight="1" thickBot="1" x14ac:dyDescent="0.35">
      <c r="B20" s="478"/>
      <c r="E20" s="315" t="s">
        <v>13</v>
      </c>
      <c r="F20" s="321" t="s">
        <v>286</v>
      </c>
      <c r="G20" s="322">
        <f>AF6</f>
        <v>148.0892002897607</v>
      </c>
      <c r="H20" s="318" t="s">
        <v>285</v>
      </c>
    </row>
    <row r="21" spans="2:8" ht="68.55" customHeight="1" thickBot="1" x14ac:dyDescent="0.35">
      <c r="B21" s="478"/>
      <c r="E21" s="315" t="s">
        <v>14</v>
      </c>
      <c r="F21" s="323" t="s">
        <v>278</v>
      </c>
      <c r="G21" s="324">
        <f>(G16*G15%*37)/(24*3.6)*40%</f>
        <v>8.56401566276839E-2</v>
      </c>
      <c r="H21" s="318" t="s">
        <v>279</v>
      </c>
    </row>
    <row r="22" spans="2:8" ht="21" x14ac:dyDescent="0.4">
      <c r="B22" s="478"/>
      <c r="F22" s="250"/>
      <c r="G22" s="250"/>
      <c r="H22" s="250"/>
    </row>
    <row r="23" spans="2:8" ht="21.6" thickBot="1" x14ac:dyDescent="0.45">
      <c r="B23" s="478"/>
      <c r="F23" s="250"/>
      <c r="G23" s="250"/>
      <c r="H23" s="250"/>
    </row>
    <row r="24" spans="2:8" ht="58.2" thickBot="1" x14ac:dyDescent="0.6">
      <c r="B24" s="478"/>
      <c r="E24" s="325"/>
      <c r="F24" s="326" t="s">
        <v>255</v>
      </c>
      <c r="G24" s="250"/>
      <c r="H24" s="250"/>
    </row>
    <row r="25" spans="2:8" ht="21.6" thickBot="1" x14ac:dyDescent="0.45">
      <c r="B25" s="478"/>
      <c r="E25" s="327" t="s">
        <v>9</v>
      </c>
      <c r="F25" s="328" t="s">
        <v>262</v>
      </c>
      <c r="H25" s="250"/>
    </row>
    <row r="26" spans="2:8" ht="21.6" thickBot="1" x14ac:dyDescent="0.45">
      <c r="B26" s="478"/>
      <c r="E26" s="327" t="s">
        <v>10</v>
      </c>
      <c r="F26" s="328" t="s">
        <v>263</v>
      </c>
      <c r="H26" s="250"/>
    </row>
    <row r="27" spans="2:8" ht="21.6" thickBot="1" x14ac:dyDescent="0.45">
      <c r="B27" s="478"/>
      <c r="E27" s="327" t="s">
        <v>11</v>
      </c>
      <c r="F27" s="328" t="s">
        <v>264</v>
      </c>
      <c r="H27" s="250"/>
    </row>
    <row r="28" spans="2:8" ht="21.6" thickBot="1" x14ac:dyDescent="0.45">
      <c r="B28" s="478"/>
      <c r="E28" s="327" t="s">
        <v>12</v>
      </c>
      <c r="F28" s="328" t="s">
        <v>265</v>
      </c>
    </row>
    <row r="29" spans="2:8" ht="21.6" thickBot="1" x14ac:dyDescent="0.45">
      <c r="B29" s="478"/>
      <c r="E29" s="327" t="s">
        <v>13</v>
      </c>
      <c r="F29" s="328" t="s">
        <v>266</v>
      </c>
    </row>
    <row r="30" spans="2:8" ht="21.6" thickBot="1" x14ac:dyDescent="0.45">
      <c r="B30" s="478"/>
      <c r="E30" s="327" t="s">
        <v>14</v>
      </c>
      <c r="F30" s="328" t="s">
        <v>300</v>
      </c>
    </row>
    <row r="31" spans="2:8" ht="21" x14ac:dyDescent="0.4">
      <c r="B31" s="478"/>
      <c r="F31" s="272"/>
      <c r="G31" s="250"/>
    </row>
  </sheetData>
  <mergeCells count="18">
    <mergeCell ref="AF6:AF9"/>
    <mergeCell ref="G4:H4"/>
    <mergeCell ref="I4:J4"/>
    <mergeCell ref="N6:N9"/>
    <mergeCell ref="M6:M9"/>
    <mergeCell ref="K4:X4"/>
    <mergeCell ref="Z6:Z9"/>
    <mergeCell ref="AA6:AA9"/>
    <mergeCell ref="AB6:AB9"/>
    <mergeCell ref="Y6:Y9"/>
    <mergeCell ref="AE6:AE9"/>
    <mergeCell ref="AC6:AC9"/>
    <mergeCell ref="AD6:AD9"/>
    <mergeCell ref="C6:C9"/>
    <mergeCell ref="D6:D9"/>
    <mergeCell ref="B4:B31"/>
    <mergeCell ref="F16:F18"/>
    <mergeCell ref="E16:E18"/>
  </mergeCells>
  <pageMargins left="0.7" right="0.7" top="0.75" bottom="0.75" header="0.3" footer="0.3"/>
  <pageSetup paperSize="8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29"/>
  <sheetViews>
    <sheetView view="pageBreakPreview" zoomScale="40" zoomScaleNormal="40" zoomScaleSheetLayoutView="40" workbookViewId="0">
      <pane xSplit="6" ySplit="5" topLeftCell="X6" activePane="bottomRight" state="frozen"/>
      <selection pane="topRight" activeCell="G1" sqref="G1"/>
      <selection pane="bottomLeft" activeCell="A8" sqref="A8"/>
      <selection pane="bottomRight" activeCell="AE6" sqref="AE6:AE7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87.55" customHeight="1" thickBot="1" x14ac:dyDescent="0.35">
      <c r="B4" s="478" t="s">
        <v>301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253</v>
      </c>
      <c r="D6" s="475" t="s">
        <v>161</v>
      </c>
      <c r="E6" s="242" t="s">
        <v>9</v>
      </c>
      <c r="F6" s="243" t="s">
        <v>234</v>
      </c>
      <c r="G6" s="253">
        <v>0.41099999999999998</v>
      </c>
      <c r="H6" s="254">
        <v>0.71899999999999997</v>
      </c>
      <c r="I6" s="308">
        <v>0.59</v>
      </c>
      <c r="J6" s="244">
        <v>218.7</v>
      </c>
      <c r="K6" s="255">
        <v>55</v>
      </c>
      <c r="L6" s="267">
        <f>O6/365</f>
        <v>2.7397260273972603E-3</v>
      </c>
      <c r="M6" s="522">
        <f>SUMPRODUCT(G6:G7,P6:P7)</f>
        <v>0.33550000000000002</v>
      </c>
      <c r="N6" s="522">
        <f>(S8*100%)/Q8</f>
        <v>0.72403725782414297</v>
      </c>
      <c r="O6" s="274">
        <v>1</v>
      </c>
      <c r="P6" s="275">
        <f>O6/$O$8</f>
        <v>0.5</v>
      </c>
      <c r="Q6" s="276">
        <f>L6*G6</f>
        <v>1.1260273972602739E-3</v>
      </c>
      <c r="R6" s="276">
        <f>O6*G6</f>
        <v>0.41099999999999998</v>
      </c>
      <c r="S6" s="276">
        <f>Q6*H6</f>
        <v>8.0961369863013686E-4</v>
      </c>
      <c r="T6" s="277">
        <f>R6*H6</f>
        <v>0.29550899999999997</v>
      </c>
      <c r="U6" s="278">
        <f>S6*J6</f>
        <v>0.17706251589041092</v>
      </c>
      <c r="V6" s="278">
        <f>T6*J6</f>
        <v>64.627818299999987</v>
      </c>
      <c r="W6" s="279">
        <f>U6*I6</f>
        <v>0.10446688437534243</v>
      </c>
      <c r="X6" s="280">
        <f>V6*I6</f>
        <v>38.130412796999991</v>
      </c>
      <c r="Y6" s="513">
        <f>X8/T8</f>
        <v>233.36859511680035</v>
      </c>
      <c r="Z6" s="492">
        <v>0.97</v>
      </c>
      <c r="AA6" s="507">
        <f>W8*Z6</f>
        <v>0.30130387468791775</v>
      </c>
      <c r="AB6" s="507">
        <f>X8*Z6</f>
        <v>109.97591426108998</v>
      </c>
      <c r="AC6" s="501">
        <v>0.3</v>
      </c>
      <c r="AD6" s="515">
        <f>V8-(V8*AC6)</f>
        <v>137.16403280999998</v>
      </c>
      <c r="AE6" s="507">
        <f>AD6*I8%*Z6</f>
        <v>76.983139982762978</v>
      </c>
      <c r="AF6" s="509">
        <f>AE6/T8</f>
        <v>158.45727608430741</v>
      </c>
    </row>
    <row r="7" spans="2:32" ht="108" customHeight="1" thickBot="1" x14ac:dyDescent="0.35">
      <c r="B7" s="478"/>
      <c r="C7" s="474"/>
      <c r="D7" s="476"/>
      <c r="E7" s="242" t="s">
        <v>10</v>
      </c>
      <c r="F7" s="243" t="s">
        <v>237</v>
      </c>
      <c r="G7" s="256">
        <v>0.26</v>
      </c>
      <c r="H7" s="246">
        <v>0.73199999999999998</v>
      </c>
      <c r="I7" s="309">
        <v>0.57299999999999995</v>
      </c>
      <c r="J7" s="247">
        <v>690</v>
      </c>
      <c r="K7" s="251">
        <v>45</v>
      </c>
      <c r="L7" s="268">
        <f t="shared" ref="L7" si="0">O7/365</f>
        <v>2.7397260273972603E-3</v>
      </c>
      <c r="M7" s="523"/>
      <c r="N7" s="523"/>
      <c r="O7" s="281">
        <v>1</v>
      </c>
      <c r="P7" s="282">
        <f>O7/$O$8</f>
        <v>0.5</v>
      </c>
      <c r="Q7" s="283">
        <f t="shared" ref="Q7" si="1">L7*G7</f>
        <v>7.1232876712328766E-4</v>
      </c>
      <c r="R7" s="283">
        <f t="shared" ref="R7" si="2">O7*G7</f>
        <v>0.26</v>
      </c>
      <c r="S7" s="283">
        <f t="shared" ref="S7" si="3">Q7*H7</f>
        <v>5.214246575342466E-4</v>
      </c>
      <c r="T7" s="257">
        <f t="shared" ref="T7" si="4">R7*H7</f>
        <v>0.19031999999999999</v>
      </c>
      <c r="U7" s="249">
        <f>S7*J7</f>
        <v>0.35978301369863014</v>
      </c>
      <c r="V7" s="249">
        <f t="shared" ref="V7" si="5">T7*J7</f>
        <v>131.32079999999999</v>
      </c>
      <c r="W7" s="284">
        <f t="shared" ref="W7" si="6">U7*I7</f>
        <v>0.20615566684931505</v>
      </c>
      <c r="X7" s="285">
        <f t="shared" ref="X7" si="7">V7*I7</f>
        <v>75.246818399999995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45">
      <c r="B8" s="478"/>
      <c r="C8" s="216"/>
      <c r="E8" s="250"/>
      <c r="F8" s="250"/>
      <c r="G8" s="250"/>
      <c r="H8" s="250"/>
      <c r="I8" s="273">
        <f>(W8*100)/U8</f>
        <v>57.860694390515121</v>
      </c>
      <c r="J8" s="224">
        <f>($U$8*1)/($L$8*$M$6*$N$6)</f>
        <v>403.32836924102929</v>
      </c>
      <c r="K8" s="270">
        <f>SUM(K6:K7)</f>
        <v>100</v>
      </c>
      <c r="L8" s="271">
        <f>SUM(L6:L7)</f>
        <v>5.4794520547945206E-3</v>
      </c>
      <c r="M8" s="266"/>
      <c r="N8" s="266"/>
      <c r="O8" s="221">
        <f t="shared" ref="O8:X8" si="8">SUM(O6:O7)</f>
        <v>2</v>
      </c>
      <c r="P8" s="263">
        <f t="shared" si="8"/>
        <v>1</v>
      </c>
      <c r="Q8" s="264">
        <f t="shared" si="8"/>
        <v>1.8383561643835616E-3</v>
      </c>
      <c r="R8" s="265">
        <f t="shared" si="8"/>
        <v>0.67100000000000004</v>
      </c>
      <c r="S8" s="265">
        <f t="shared" si="8"/>
        <v>1.3310383561643835E-3</v>
      </c>
      <c r="T8" s="265">
        <f t="shared" si="8"/>
        <v>0.48582899999999996</v>
      </c>
      <c r="U8" s="221">
        <f t="shared" si="8"/>
        <v>0.53684552958904108</v>
      </c>
      <c r="V8" s="221">
        <f t="shared" si="8"/>
        <v>195.94861829999996</v>
      </c>
      <c r="W8" s="221">
        <f t="shared" si="8"/>
        <v>0.31062255122465748</v>
      </c>
      <c r="X8" s="265">
        <f t="shared" si="8"/>
        <v>113.37723119699999</v>
      </c>
      <c r="Y8" s="238"/>
      <c r="Z8" s="250"/>
      <c r="AA8" s="250"/>
      <c r="AB8" s="250"/>
      <c r="AC8" s="250"/>
      <c r="AD8" s="250"/>
      <c r="AE8" s="250"/>
      <c r="AF8" s="304"/>
    </row>
    <row r="9" spans="2:32" ht="26.4" thickBot="1" x14ac:dyDescent="0.55000000000000004">
      <c r="B9" s="478"/>
      <c r="I9" s="303"/>
      <c r="S9" s="235"/>
    </row>
    <row r="10" spans="2:32" ht="21.6" thickBot="1" x14ac:dyDescent="0.45">
      <c r="B10" s="478"/>
      <c r="E10" s="237"/>
      <c r="F10" s="292" t="s">
        <v>267</v>
      </c>
      <c r="G10" s="237"/>
      <c r="H10" s="237"/>
    </row>
    <row r="11" spans="2:32" ht="21.6" thickBot="1" x14ac:dyDescent="0.45">
      <c r="B11" s="478"/>
      <c r="E11" s="297" t="s">
        <v>8</v>
      </c>
      <c r="F11" s="292" t="str">
        <f>D6</f>
        <v>Firma X</v>
      </c>
      <c r="G11" s="237"/>
      <c r="H11" s="237"/>
      <c r="T11" s="236"/>
    </row>
    <row r="12" spans="2:32" ht="147.6" thickBot="1" x14ac:dyDescent="0.35">
      <c r="B12" s="478"/>
      <c r="E12" s="297" t="s">
        <v>9</v>
      </c>
      <c r="F12" s="293" t="s">
        <v>268</v>
      </c>
      <c r="G12" s="294">
        <f>J8</f>
        <v>403.32836924102929</v>
      </c>
      <c r="H12" s="295" t="s">
        <v>280</v>
      </c>
    </row>
    <row r="13" spans="2:32" ht="42.6" thickBot="1" x14ac:dyDescent="0.35">
      <c r="B13" s="478"/>
      <c r="E13" s="297" t="s">
        <v>10</v>
      </c>
      <c r="F13" s="298" t="s">
        <v>288</v>
      </c>
      <c r="G13" s="296">
        <f>I8</f>
        <v>57.860694390515121</v>
      </c>
      <c r="H13" s="295" t="s">
        <v>269</v>
      </c>
    </row>
    <row r="14" spans="2:32" ht="24" thickBot="1" x14ac:dyDescent="0.35">
      <c r="B14" s="478"/>
      <c r="E14" s="511" t="s">
        <v>11</v>
      </c>
      <c r="F14" s="512" t="s">
        <v>270</v>
      </c>
      <c r="G14" s="296">
        <f>U8</f>
        <v>0.53684552958904108</v>
      </c>
      <c r="H14" s="295" t="s">
        <v>281</v>
      </c>
    </row>
    <row r="15" spans="2:32" ht="24" thickBot="1" x14ac:dyDescent="0.35">
      <c r="B15" s="478"/>
      <c r="E15" s="511"/>
      <c r="F15" s="512"/>
      <c r="G15" s="296">
        <f>G14*365</f>
        <v>195.94861829999999</v>
      </c>
      <c r="H15" s="295" t="s">
        <v>282</v>
      </c>
    </row>
    <row r="16" spans="2:32" ht="24" thickBot="1" x14ac:dyDescent="0.35">
      <c r="B16" s="478"/>
      <c r="E16" s="511"/>
      <c r="F16" s="512"/>
      <c r="G16" s="296">
        <f>G14/24</f>
        <v>2.2368563732876712E-2</v>
      </c>
      <c r="H16" s="295" t="s">
        <v>283</v>
      </c>
    </row>
    <row r="17" spans="2:8" ht="62.55" customHeight="1" thickBot="1" x14ac:dyDescent="0.35">
      <c r="B17" s="478"/>
      <c r="E17" s="297" t="s">
        <v>12</v>
      </c>
      <c r="F17" s="299" t="s">
        <v>287</v>
      </c>
      <c r="G17" s="300">
        <f>Y6</f>
        <v>233.36859511680035</v>
      </c>
      <c r="H17" s="295" t="s">
        <v>284</v>
      </c>
    </row>
    <row r="18" spans="2:8" ht="68.55" customHeight="1" thickBot="1" x14ac:dyDescent="0.35">
      <c r="B18" s="478"/>
      <c r="E18" s="297" t="s">
        <v>13</v>
      </c>
      <c r="F18" s="299" t="s">
        <v>286</v>
      </c>
      <c r="G18" s="300">
        <f>AF6</f>
        <v>158.45727608430741</v>
      </c>
      <c r="H18" s="295" t="s">
        <v>285</v>
      </c>
    </row>
    <row r="19" spans="2:8" ht="68.55" customHeight="1" thickBot="1" x14ac:dyDescent="0.35">
      <c r="B19" s="478"/>
      <c r="E19" s="297" t="s">
        <v>14</v>
      </c>
      <c r="F19" s="301" t="s">
        <v>278</v>
      </c>
      <c r="G19" s="302">
        <f>(G14*G13%*37)/(24*3.6)*40%</f>
        <v>5.3208492570890401E-2</v>
      </c>
      <c r="H19" s="295" t="s">
        <v>279</v>
      </c>
    </row>
    <row r="20" spans="2:8" ht="21" x14ac:dyDescent="0.4">
      <c r="B20" s="478"/>
      <c r="F20" s="250"/>
      <c r="G20" s="250"/>
      <c r="H20" s="250"/>
    </row>
    <row r="21" spans="2:8" ht="21.6" thickBot="1" x14ac:dyDescent="0.45">
      <c r="B21" s="478"/>
      <c r="F21" s="250"/>
      <c r="G21" s="250"/>
      <c r="H21" s="250"/>
    </row>
    <row r="22" spans="2:8" ht="58.2" thickBot="1" x14ac:dyDescent="0.6">
      <c r="B22" s="478"/>
      <c r="F22" s="311" t="s">
        <v>255</v>
      </c>
      <c r="G22" s="250"/>
      <c r="H22" s="250"/>
    </row>
    <row r="23" spans="2:8" ht="21.6" thickBot="1" x14ac:dyDescent="0.45">
      <c r="B23" s="478"/>
      <c r="E23" s="312" t="s">
        <v>9</v>
      </c>
      <c r="F23" s="250" t="s">
        <v>262</v>
      </c>
      <c r="G23" s="250"/>
      <c r="H23" s="250"/>
    </row>
    <row r="24" spans="2:8" ht="21.6" thickBot="1" x14ac:dyDescent="0.45">
      <c r="B24" s="478"/>
      <c r="E24" s="312" t="s">
        <v>10</v>
      </c>
      <c r="F24" s="250" t="s">
        <v>263</v>
      </c>
      <c r="G24" s="250"/>
      <c r="H24" s="250"/>
    </row>
    <row r="25" spans="2:8" ht="21.6" thickBot="1" x14ac:dyDescent="0.45">
      <c r="B25" s="478"/>
      <c r="E25" s="312" t="s">
        <v>11</v>
      </c>
      <c r="F25" s="250" t="s">
        <v>264</v>
      </c>
      <c r="G25" s="250"/>
      <c r="H25" s="250"/>
    </row>
    <row r="26" spans="2:8" ht="21.6" thickBot="1" x14ac:dyDescent="0.45">
      <c r="B26" s="478"/>
      <c r="E26" s="312" t="s">
        <v>12</v>
      </c>
      <c r="F26" s="250" t="s">
        <v>265</v>
      </c>
      <c r="G26" s="250"/>
    </row>
    <row r="27" spans="2:8" ht="21.6" thickBot="1" x14ac:dyDescent="0.45">
      <c r="B27" s="478"/>
      <c r="E27" s="312" t="s">
        <v>13</v>
      </c>
      <c r="F27" s="250" t="s">
        <v>266</v>
      </c>
      <c r="G27" s="250"/>
    </row>
    <row r="28" spans="2:8" ht="21.6" thickBot="1" x14ac:dyDescent="0.45">
      <c r="B28" s="478"/>
      <c r="E28" s="312" t="s">
        <v>14</v>
      </c>
      <c r="F28" s="250" t="s">
        <v>300</v>
      </c>
      <c r="G28" s="250"/>
    </row>
    <row r="29" spans="2:8" ht="21" x14ac:dyDescent="0.4">
      <c r="B29" s="478"/>
      <c r="F29" s="272"/>
      <c r="G29" s="250"/>
    </row>
  </sheetData>
  <mergeCells count="18">
    <mergeCell ref="B4:B29"/>
    <mergeCell ref="G4:H4"/>
    <mergeCell ref="I4:J4"/>
    <mergeCell ref="K4:X4"/>
    <mergeCell ref="C6:C7"/>
    <mergeCell ref="D6:D7"/>
    <mergeCell ref="M6:M7"/>
    <mergeCell ref="N6:N7"/>
    <mergeCell ref="AE6:AE7"/>
    <mergeCell ref="AF6:AF7"/>
    <mergeCell ref="E14:E16"/>
    <mergeCell ref="F14:F16"/>
    <mergeCell ref="Y6:Y7"/>
    <mergeCell ref="Z6:Z7"/>
    <mergeCell ref="AA6:AA7"/>
    <mergeCell ref="AB6:AB7"/>
    <mergeCell ref="AC6:AC7"/>
    <mergeCell ref="AD6:AD7"/>
  </mergeCells>
  <pageMargins left="0.7" right="0.7" top="0.75" bottom="0.75" header="0.3" footer="0.3"/>
  <pageSetup paperSize="8" scale="1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29"/>
  <sheetViews>
    <sheetView view="pageBreakPreview" zoomScale="40" zoomScaleNormal="40" zoomScaleSheetLayoutView="40" workbookViewId="0">
      <pane xSplit="6" ySplit="5" topLeftCell="X6" activePane="bottomRight" state="frozen"/>
      <selection pane="topRight" activeCell="G1" sqref="G1"/>
      <selection pane="bottomLeft" activeCell="A8" sqref="A8"/>
      <selection pane="bottomRight" activeCell="AE6" sqref="AE6:AE7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76" customHeight="1" thickBot="1" x14ac:dyDescent="0.35">
      <c r="B4" s="478" t="s">
        <v>301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289</v>
      </c>
      <c r="D6" s="475" t="s">
        <v>161</v>
      </c>
      <c r="E6" s="242" t="s">
        <v>9</v>
      </c>
      <c r="F6" s="243" t="s">
        <v>237</v>
      </c>
      <c r="G6" s="253">
        <v>0.26</v>
      </c>
      <c r="H6" s="254">
        <v>0.73199999999999998</v>
      </c>
      <c r="I6" s="308">
        <v>0.57299999999999995</v>
      </c>
      <c r="J6" s="244">
        <v>690</v>
      </c>
      <c r="K6" s="255">
        <v>15</v>
      </c>
      <c r="L6" s="267">
        <f>O6/365</f>
        <v>2.7397260273972603E-3</v>
      </c>
      <c r="M6" s="522">
        <f>SUMPRODUCT(G6:G7,P6:P7)</f>
        <v>0.2525</v>
      </c>
      <c r="N6" s="522">
        <f>(S8*100%)/Q8</f>
        <v>0.77372277227722774</v>
      </c>
      <c r="O6" s="274">
        <v>1</v>
      </c>
      <c r="P6" s="275">
        <f>O6/$O$8</f>
        <v>0.5</v>
      </c>
      <c r="Q6" s="276">
        <f>L6*G6</f>
        <v>7.1232876712328766E-4</v>
      </c>
      <c r="R6" s="276">
        <f>O6*G6</f>
        <v>0.26</v>
      </c>
      <c r="S6" s="276">
        <f>Q6*H6</f>
        <v>5.214246575342466E-4</v>
      </c>
      <c r="T6" s="277">
        <f>R6*H6</f>
        <v>0.19031999999999999</v>
      </c>
      <c r="U6" s="278">
        <f>S6*J6</f>
        <v>0.35978301369863014</v>
      </c>
      <c r="V6" s="278">
        <f>T6*J6</f>
        <v>131.32079999999999</v>
      </c>
      <c r="W6" s="279">
        <f>U6*I6</f>
        <v>0.20615566684931505</v>
      </c>
      <c r="X6" s="280">
        <f>V6*I6</f>
        <v>75.246818399999995</v>
      </c>
      <c r="Y6" s="513">
        <f>X8/T8</f>
        <v>302.29319075832416</v>
      </c>
      <c r="Z6" s="492">
        <v>0.97</v>
      </c>
      <c r="AA6" s="507">
        <f>W8*Z6</f>
        <v>0.31389470649931506</v>
      </c>
      <c r="AB6" s="507">
        <f>X8*Z6</f>
        <v>114.57156787224999</v>
      </c>
      <c r="AC6" s="501">
        <v>0.3</v>
      </c>
      <c r="AD6" s="515">
        <f>V8-(V8*AC6)</f>
        <v>142.35773649999999</v>
      </c>
      <c r="AE6" s="507">
        <f>AD6*I8%*Z6</f>
        <v>80.200097510574992</v>
      </c>
      <c r="AF6" s="509">
        <f>AE6/T8</f>
        <v>205.25707652490209</v>
      </c>
    </row>
    <row r="7" spans="2:32" ht="108" customHeight="1" thickBot="1" x14ac:dyDescent="0.35">
      <c r="B7" s="478"/>
      <c r="C7" s="474"/>
      <c r="D7" s="476"/>
      <c r="E7" s="242" t="s">
        <v>10</v>
      </c>
      <c r="F7" s="243" t="s">
        <v>239</v>
      </c>
      <c r="G7" s="256">
        <v>0.245</v>
      </c>
      <c r="H7" s="246">
        <v>0.81799999999999995</v>
      </c>
      <c r="I7" s="309">
        <v>0.59499999999999997</v>
      </c>
      <c r="J7" s="247">
        <v>359.5</v>
      </c>
      <c r="K7" s="251">
        <v>15</v>
      </c>
      <c r="L7" s="268">
        <f t="shared" ref="L7" si="0">O7/365</f>
        <v>2.7397260273972603E-3</v>
      </c>
      <c r="M7" s="523"/>
      <c r="N7" s="523"/>
      <c r="O7" s="281">
        <v>1</v>
      </c>
      <c r="P7" s="282">
        <f>O7/$O$8</f>
        <v>0.5</v>
      </c>
      <c r="Q7" s="283">
        <f t="shared" ref="Q7" si="1">L7*G7</f>
        <v>6.7123287671232872E-4</v>
      </c>
      <c r="R7" s="283">
        <f t="shared" ref="R7" si="2">O7*G7</f>
        <v>0.245</v>
      </c>
      <c r="S7" s="283">
        <f t="shared" ref="S7" si="3">Q7*H7</f>
        <v>5.4906849315068489E-4</v>
      </c>
      <c r="T7" s="257">
        <f t="shared" ref="T7" si="4">R7*H7</f>
        <v>0.20040999999999998</v>
      </c>
      <c r="U7" s="249">
        <f>S7*J7</f>
        <v>0.19739012328767122</v>
      </c>
      <c r="V7" s="249">
        <f t="shared" ref="V7" si="5">T7*J7</f>
        <v>72.047394999999995</v>
      </c>
      <c r="W7" s="284">
        <f t="shared" ref="W7" si="6">U7*I7</f>
        <v>0.11744712335616438</v>
      </c>
      <c r="X7" s="285">
        <f t="shared" ref="X7" si="7">V7*I7</f>
        <v>42.868200024999993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45">
      <c r="B8" s="478"/>
      <c r="C8" s="216"/>
      <c r="E8" s="250"/>
      <c r="F8" s="250"/>
      <c r="G8" s="250"/>
      <c r="H8" s="250"/>
      <c r="I8" s="273">
        <f>(W8*100)/U8</f>
        <v>58.079395563795018</v>
      </c>
      <c r="J8" s="224">
        <f>($U$8*1)/($L$8*$M$6*$N$6)</f>
        <v>520.48267345737463</v>
      </c>
      <c r="K8" s="270">
        <f>SUM(K6:K7)</f>
        <v>30</v>
      </c>
      <c r="L8" s="271">
        <f>SUM(L6:L7)</f>
        <v>5.4794520547945206E-3</v>
      </c>
      <c r="M8" s="266"/>
      <c r="N8" s="266"/>
      <c r="O8" s="221">
        <f t="shared" ref="O8:X8" si="8">SUM(O6:O7)</f>
        <v>2</v>
      </c>
      <c r="P8" s="263">
        <f t="shared" si="8"/>
        <v>1</v>
      </c>
      <c r="Q8" s="264">
        <f t="shared" si="8"/>
        <v>1.3835616438356165E-3</v>
      </c>
      <c r="R8" s="265">
        <f t="shared" si="8"/>
        <v>0.505</v>
      </c>
      <c r="S8" s="265">
        <f t="shared" si="8"/>
        <v>1.0704931506849316E-3</v>
      </c>
      <c r="T8" s="265">
        <f t="shared" si="8"/>
        <v>0.39072999999999997</v>
      </c>
      <c r="U8" s="221">
        <f t="shared" si="8"/>
        <v>0.55717313698630133</v>
      </c>
      <c r="V8" s="221">
        <f t="shared" si="8"/>
        <v>203.36819499999999</v>
      </c>
      <c r="W8" s="221">
        <f t="shared" si="8"/>
        <v>0.32360279020547944</v>
      </c>
      <c r="X8" s="265">
        <f t="shared" si="8"/>
        <v>118.11501842499999</v>
      </c>
      <c r="Y8" s="238"/>
      <c r="Z8" s="250"/>
      <c r="AA8" s="250"/>
      <c r="AB8" s="250"/>
      <c r="AC8" s="250"/>
      <c r="AD8" s="250"/>
      <c r="AE8" s="250"/>
      <c r="AF8" s="304"/>
    </row>
    <row r="9" spans="2:32" ht="26.4" thickBot="1" x14ac:dyDescent="0.55000000000000004">
      <c r="B9" s="478"/>
      <c r="I9" s="303"/>
      <c r="S9" s="235"/>
    </row>
    <row r="10" spans="2:32" ht="21.6" thickBot="1" x14ac:dyDescent="0.45">
      <c r="B10" s="478"/>
      <c r="E10" s="237"/>
      <c r="F10" s="292" t="s">
        <v>267</v>
      </c>
      <c r="G10" s="237"/>
      <c r="H10" s="237"/>
    </row>
    <row r="11" spans="2:32" ht="21.6" thickBot="1" x14ac:dyDescent="0.45">
      <c r="B11" s="478"/>
      <c r="E11" s="297" t="s">
        <v>8</v>
      </c>
      <c r="F11" s="292" t="str">
        <f>D6</f>
        <v>Firma X</v>
      </c>
      <c r="G11" s="237"/>
      <c r="H11" s="237"/>
      <c r="T11" s="236"/>
    </row>
    <row r="12" spans="2:32" ht="147.6" thickBot="1" x14ac:dyDescent="0.35">
      <c r="B12" s="478"/>
      <c r="E12" s="297" t="s">
        <v>9</v>
      </c>
      <c r="F12" s="293" t="s">
        <v>268</v>
      </c>
      <c r="G12" s="294">
        <f>J8</f>
        <v>520.48267345737463</v>
      </c>
      <c r="H12" s="295" t="s">
        <v>280</v>
      </c>
    </row>
    <row r="13" spans="2:32" ht="42.6" thickBot="1" x14ac:dyDescent="0.35">
      <c r="B13" s="478"/>
      <c r="E13" s="297" t="s">
        <v>10</v>
      </c>
      <c r="F13" s="298" t="s">
        <v>288</v>
      </c>
      <c r="G13" s="296">
        <f>I8</f>
        <v>58.079395563795018</v>
      </c>
      <c r="H13" s="295" t="s">
        <v>269</v>
      </c>
    </row>
    <row r="14" spans="2:32" ht="24" thickBot="1" x14ac:dyDescent="0.35">
      <c r="B14" s="478"/>
      <c r="E14" s="511" t="s">
        <v>11</v>
      </c>
      <c r="F14" s="512" t="s">
        <v>270</v>
      </c>
      <c r="G14" s="296">
        <f>U8</f>
        <v>0.55717313698630133</v>
      </c>
      <c r="H14" s="295" t="s">
        <v>281</v>
      </c>
    </row>
    <row r="15" spans="2:32" ht="24" thickBot="1" x14ac:dyDescent="0.35">
      <c r="B15" s="478"/>
      <c r="E15" s="511"/>
      <c r="F15" s="512"/>
      <c r="G15" s="296">
        <f>G14*365</f>
        <v>203.36819499999999</v>
      </c>
      <c r="H15" s="295" t="s">
        <v>282</v>
      </c>
    </row>
    <row r="16" spans="2:32" ht="24" thickBot="1" x14ac:dyDescent="0.35">
      <c r="B16" s="478"/>
      <c r="E16" s="511"/>
      <c r="F16" s="512"/>
      <c r="G16" s="296">
        <f>G14/24</f>
        <v>2.3215547374429223E-2</v>
      </c>
      <c r="H16" s="295" t="s">
        <v>283</v>
      </c>
    </row>
    <row r="17" spans="2:8" ht="62.55" customHeight="1" thickBot="1" x14ac:dyDescent="0.35">
      <c r="B17" s="478"/>
      <c r="E17" s="297" t="s">
        <v>12</v>
      </c>
      <c r="F17" s="299" t="s">
        <v>287</v>
      </c>
      <c r="G17" s="300">
        <f>Y6</f>
        <v>302.29319075832416</v>
      </c>
      <c r="H17" s="295" t="s">
        <v>284</v>
      </c>
    </row>
    <row r="18" spans="2:8" ht="68.55" customHeight="1" thickBot="1" x14ac:dyDescent="0.35">
      <c r="B18" s="478"/>
      <c r="E18" s="297" t="s">
        <v>13</v>
      </c>
      <c r="F18" s="299" t="s">
        <v>286</v>
      </c>
      <c r="G18" s="300">
        <f>AF6</f>
        <v>205.25707652490209</v>
      </c>
      <c r="H18" s="295" t="s">
        <v>285</v>
      </c>
    </row>
    <row r="19" spans="2:8" ht="68.55" customHeight="1" thickBot="1" x14ac:dyDescent="0.35">
      <c r="B19" s="478"/>
      <c r="E19" s="297" t="s">
        <v>14</v>
      </c>
      <c r="F19" s="301" t="s">
        <v>278</v>
      </c>
      <c r="G19" s="302">
        <f>(G14*G13%*37)/(24*3.6)*40%</f>
        <v>5.5431959433346015E-2</v>
      </c>
      <c r="H19" s="295" t="s">
        <v>279</v>
      </c>
    </row>
    <row r="20" spans="2:8" ht="21" x14ac:dyDescent="0.4">
      <c r="B20" s="478"/>
      <c r="F20" s="250"/>
      <c r="G20" s="250"/>
      <c r="H20" s="250"/>
    </row>
    <row r="21" spans="2:8" ht="21.6" thickBot="1" x14ac:dyDescent="0.45">
      <c r="B21" s="478"/>
      <c r="F21" s="250"/>
      <c r="G21" s="250"/>
      <c r="H21" s="250"/>
    </row>
    <row r="22" spans="2:8" ht="58.2" thickBot="1" x14ac:dyDescent="0.6">
      <c r="B22" s="478"/>
      <c r="F22" s="311" t="s">
        <v>255</v>
      </c>
      <c r="G22" s="250"/>
      <c r="H22" s="250"/>
    </row>
    <row r="23" spans="2:8" ht="21.6" thickBot="1" x14ac:dyDescent="0.45">
      <c r="B23" s="478"/>
      <c r="E23" s="312" t="s">
        <v>9</v>
      </c>
      <c r="F23" s="250" t="s">
        <v>262</v>
      </c>
      <c r="G23" s="250"/>
      <c r="H23" s="250"/>
    </row>
    <row r="24" spans="2:8" ht="21.6" thickBot="1" x14ac:dyDescent="0.45">
      <c r="B24" s="478"/>
      <c r="E24" s="312" t="s">
        <v>10</v>
      </c>
      <c r="F24" s="250" t="s">
        <v>263</v>
      </c>
      <c r="G24" s="250"/>
      <c r="H24" s="250"/>
    </row>
    <row r="25" spans="2:8" ht="21.6" thickBot="1" x14ac:dyDescent="0.45">
      <c r="B25" s="478"/>
      <c r="E25" s="312" t="s">
        <v>11</v>
      </c>
      <c r="F25" s="250" t="s">
        <v>264</v>
      </c>
      <c r="G25" s="250"/>
      <c r="H25" s="250"/>
    </row>
    <row r="26" spans="2:8" ht="21.6" thickBot="1" x14ac:dyDescent="0.45">
      <c r="B26" s="478"/>
      <c r="E26" s="312" t="s">
        <v>12</v>
      </c>
      <c r="F26" s="250" t="s">
        <v>265</v>
      </c>
      <c r="G26" s="250"/>
    </row>
    <row r="27" spans="2:8" ht="21.6" thickBot="1" x14ac:dyDescent="0.45">
      <c r="B27" s="478"/>
      <c r="E27" s="312" t="s">
        <v>13</v>
      </c>
      <c r="F27" s="250" t="s">
        <v>266</v>
      </c>
      <c r="G27" s="250"/>
    </row>
    <row r="28" spans="2:8" ht="21.6" thickBot="1" x14ac:dyDescent="0.45">
      <c r="B28" s="478"/>
      <c r="E28" s="312" t="s">
        <v>14</v>
      </c>
      <c r="F28" s="250" t="s">
        <v>300</v>
      </c>
      <c r="G28" s="250"/>
    </row>
    <row r="29" spans="2:8" ht="21" x14ac:dyDescent="0.4">
      <c r="B29" s="478"/>
      <c r="F29" s="272"/>
      <c r="G29" s="250"/>
    </row>
  </sheetData>
  <mergeCells count="18">
    <mergeCell ref="B4:B29"/>
    <mergeCell ref="G4:H4"/>
    <mergeCell ref="I4:J4"/>
    <mergeCell ref="K4:X4"/>
    <mergeCell ref="C6:C7"/>
    <mergeCell ref="D6:D7"/>
    <mergeCell ref="M6:M7"/>
    <mergeCell ref="N6:N7"/>
    <mergeCell ref="AE6:AE7"/>
    <mergeCell ref="AF6:AF7"/>
    <mergeCell ref="E14:E16"/>
    <mergeCell ref="F14:F16"/>
    <mergeCell ref="Y6:Y7"/>
    <mergeCell ref="Z6:Z7"/>
    <mergeCell ref="AA6:AA7"/>
    <mergeCell ref="AB6:AB7"/>
    <mergeCell ref="AC6:AC7"/>
    <mergeCell ref="AD6:AD7"/>
  </mergeCells>
  <pageMargins left="0.7" right="0.7" top="0.75" bottom="0.75" header="0.3" footer="0.3"/>
  <pageSetup paperSize="8" scale="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29"/>
  <sheetViews>
    <sheetView view="pageBreakPreview" zoomScale="40" zoomScaleNormal="40" zoomScaleSheetLayoutView="40" workbookViewId="0">
      <pane xSplit="6" ySplit="5" topLeftCell="X6" activePane="bottomRight" state="frozen"/>
      <selection pane="topRight" activeCell="G1" sqref="G1"/>
      <selection pane="bottomLeft" activeCell="A8" sqref="A8"/>
      <selection pane="bottomRight" activeCell="AD6" sqref="AD6:AD7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71.05" customHeight="1" thickBot="1" x14ac:dyDescent="0.35">
      <c r="B4" s="478" t="s">
        <v>301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290</v>
      </c>
      <c r="D6" s="475" t="s">
        <v>161</v>
      </c>
      <c r="E6" s="242" t="s">
        <v>9</v>
      </c>
      <c r="F6" s="243" t="s">
        <v>235</v>
      </c>
      <c r="G6" s="253">
        <v>0.33600000000000002</v>
      </c>
      <c r="H6" s="254">
        <v>0.81299999999999994</v>
      </c>
      <c r="I6" s="308">
        <v>0.54100000000000004</v>
      </c>
      <c r="J6" s="244">
        <v>331.1</v>
      </c>
      <c r="K6" s="255">
        <v>82</v>
      </c>
      <c r="L6" s="267">
        <f>O6/365</f>
        <v>2.7397260273972603E-3</v>
      </c>
      <c r="M6" s="522">
        <f>SUMPRODUCT(G6:G7,P6:P7)</f>
        <v>0.29800000000000004</v>
      </c>
      <c r="N6" s="522">
        <f>(S8*100%)/Q8</f>
        <v>0.77766442953020132</v>
      </c>
      <c r="O6" s="274">
        <v>1</v>
      </c>
      <c r="P6" s="275">
        <f>O6/$O$8</f>
        <v>0.5</v>
      </c>
      <c r="Q6" s="276">
        <f>L6*G6</f>
        <v>9.205479452054795E-4</v>
      </c>
      <c r="R6" s="276">
        <f>O6*G6</f>
        <v>0.33600000000000002</v>
      </c>
      <c r="S6" s="276">
        <f>Q6*H6</f>
        <v>7.4840547945205483E-4</v>
      </c>
      <c r="T6" s="277">
        <f>R6*H6</f>
        <v>0.27316800000000002</v>
      </c>
      <c r="U6" s="278">
        <f>S6*J6</f>
        <v>0.24779705424657536</v>
      </c>
      <c r="V6" s="278">
        <f>T6*J6</f>
        <v>90.445924800000014</v>
      </c>
      <c r="W6" s="279">
        <f>U6*I6</f>
        <v>0.13405820634739729</v>
      </c>
      <c r="X6" s="280">
        <f>V6*I6</f>
        <v>48.931245316800009</v>
      </c>
      <c r="Y6" s="513">
        <f>X8/T8</f>
        <v>267.92077403686829</v>
      </c>
      <c r="Z6" s="492">
        <v>0.97</v>
      </c>
      <c r="AA6" s="507">
        <f>W8*Z6</f>
        <v>0.33000745700081097</v>
      </c>
      <c r="AB6" s="507">
        <f>X8*Z6</f>
        <v>120.45272180529601</v>
      </c>
      <c r="AC6" s="501">
        <v>0.3</v>
      </c>
      <c r="AD6" s="515">
        <f>V8-(V8*AC6)</f>
        <v>155.23670736000003</v>
      </c>
      <c r="AE6" s="507">
        <f>AD6*I8%*Z6</f>
        <v>84.316905263707213</v>
      </c>
      <c r="AF6" s="509">
        <f>AE6/T8</f>
        <v>181.91820557103358</v>
      </c>
    </row>
    <row r="7" spans="2:32" ht="108" customHeight="1" thickBot="1" x14ac:dyDescent="0.35">
      <c r="B7" s="478"/>
      <c r="C7" s="474"/>
      <c r="D7" s="476"/>
      <c r="E7" s="242" t="s">
        <v>10</v>
      </c>
      <c r="F7" s="243" t="s">
        <v>237</v>
      </c>
      <c r="G7" s="256">
        <v>0.26</v>
      </c>
      <c r="H7" s="246">
        <v>0.73199999999999998</v>
      </c>
      <c r="I7" s="309">
        <v>0.57299999999999995</v>
      </c>
      <c r="J7" s="247">
        <v>690</v>
      </c>
      <c r="K7" s="251">
        <v>18</v>
      </c>
      <c r="L7" s="268">
        <f t="shared" ref="L7" si="0">O7/365</f>
        <v>2.7397260273972603E-3</v>
      </c>
      <c r="M7" s="523"/>
      <c r="N7" s="523"/>
      <c r="O7" s="281">
        <v>1</v>
      </c>
      <c r="P7" s="282">
        <f>O7/$O$8</f>
        <v>0.5</v>
      </c>
      <c r="Q7" s="283">
        <f t="shared" ref="Q7" si="1">L7*G7</f>
        <v>7.1232876712328766E-4</v>
      </c>
      <c r="R7" s="283">
        <f t="shared" ref="R7" si="2">O7*G7</f>
        <v>0.26</v>
      </c>
      <c r="S7" s="283">
        <f t="shared" ref="S7" si="3">Q7*H7</f>
        <v>5.214246575342466E-4</v>
      </c>
      <c r="T7" s="257">
        <f t="shared" ref="T7" si="4">R7*H7</f>
        <v>0.19031999999999999</v>
      </c>
      <c r="U7" s="249">
        <f>S7*J7</f>
        <v>0.35978301369863014</v>
      </c>
      <c r="V7" s="249">
        <f t="shared" ref="V7" si="5">T7*J7</f>
        <v>131.32079999999999</v>
      </c>
      <c r="W7" s="284">
        <f t="shared" ref="W7" si="6">U7*I7</f>
        <v>0.20615566684931505</v>
      </c>
      <c r="X7" s="285">
        <f t="shared" ref="X7" si="7">V7*I7</f>
        <v>75.246818399999995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45">
      <c r="B8" s="478"/>
      <c r="C8" s="216"/>
      <c r="E8" s="250"/>
      <c r="F8" s="250"/>
      <c r="G8" s="250"/>
      <c r="H8" s="250"/>
      <c r="I8" s="273">
        <f>(W8*100)/U8</f>
        <v>55.994903576625312</v>
      </c>
      <c r="J8" s="224">
        <f>($U$8*1)/($L$8*$M$6*$N$6)</f>
        <v>478.47349834299916</v>
      </c>
      <c r="K8" s="270">
        <f>SUM(K6:K7)</f>
        <v>100</v>
      </c>
      <c r="L8" s="271">
        <f>SUM(L6:L7)</f>
        <v>5.4794520547945206E-3</v>
      </c>
      <c r="M8" s="266"/>
      <c r="N8" s="266"/>
      <c r="O8" s="221">
        <f t="shared" ref="O8:X8" si="8">SUM(O6:O7)</f>
        <v>2</v>
      </c>
      <c r="P8" s="263">
        <f t="shared" si="8"/>
        <v>1</v>
      </c>
      <c r="Q8" s="264">
        <f t="shared" si="8"/>
        <v>1.6328767123287673E-3</v>
      </c>
      <c r="R8" s="265">
        <f t="shared" si="8"/>
        <v>0.59600000000000009</v>
      </c>
      <c r="S8" s="265">
        <f t="shared" si="8"/>
        <v>1.2698301369863014E-3</v>
      </c>
      <c r="T8" s="265">
        <f t="shared" si="8"/>
        <v>0.46348800000000001</v>
      </c>
      <c r="U8" s="221">
        <f t="shared" si="8"/>
        <v>0.60758006794520547</v>
      </c>
      <c r="V8" s="221">
        <f t="shared" si="8"/>
        <v>221.76672480000002</v>
      </c>
      <c r="W8" s="221">
        <f t="shared" si="8"/>
        <v>0.34021387319671237</v>
      </c>
      <c r="X8" s="265">
        <f t="shared" si="8"/>
        <v>124.17806371680001</v>
      </c>
      <c r="Y8" s="238"/>
      <c r="Z8" s="250"/>
      <c r="AA8" s="250"/>
      <c r="AB8" s="250"/>
      <c r="AC8" s="250"/>
      <c r="AD8" s="250"/>
      <c r="AE8" s="250"/>
      <c r="AF8" s="304"/>
    </row>
    <row r="9" spans="2:32" ht="26.4" thickBot="1" x14ac:dyDescent="0.55000000000000004">
      <c r="B9" s="478"/>
      <c r="I9" s="303"/>
      <c r="S9" s="235"/>
    </row>
    <row r="10" spans="2:32" ht="21.6" thickBot="1" x14ac:dyDescent="0.45">
      <c r="B10" s="478"/>
      <c r="E10" s="237"/>
      <c r="F10" s="292" t="s">
        <v>267</v>
      </c>
      <c r="G10" s="237"/>
      <c r="H10" s="237"/>
    </row>
    <row r="11" spans="2:32" ht="21.6" thickBot="1" x14ac:dyDescent="0.45">
      <c r="B11" s="478"/>
      <c r="E11" s="297" t="s">
        <v>8</v>
      </c>
      <c r="F11" s="292" t="str">
        <f>D6</f>
        <v>Firma X</v>
      </c>
      <c r="G11" s="237"/>
      <c r="H11" s="237"/>
      <c r="T11" s="236"/>
    </row>
    <row r="12" spans="2:32" ht="147.6" thickBot="1" x14ac:dyDescent="0.35">
      <c r="B12" s="478"/>
      <c r="E12" s="297" t="s">
        <v>9</v>
      </c>
      <c r="F12" s="293" t="s">
        <v>268</v>
      </c>
      <c r="G12" s="294">
        <f>J8</f>
        <v>478.47349834299916</v>
      </c>
      <c r="H12" s="295" t="s">
        <v>280</v>
      </c>
    </row>
    <row r="13" spans="2:32" ht="42.6" thickBot="1" x14ac:dyDescent="0.35">
      <c r="B13" s="478"/>
      <c r="E13" s="297" t="s">
        <v>10</v>
      </c>
      <c r="F13" s="298" t="s">
        <v>288</v>
      </c>
      <c r="G13" s="296">
        <f>I8</f>
        <v>55.994903576625312</v>
      </c>
      <c r="H13" s="295" t="s">
        <v>269</v>
      </c>
    </row>
    <row r="14" spans="2:32" ht="24" thickBot="1" x14ac:dyDescent="0.35">
      <c r="B14" s="478"/>
      <c r="E14" s="511" t="s">
        <v>11</v>
      </c>
      <c r="F14" s="512" t="s">
        <v>270</v>
      </c>
      <c r="G14" s="296">
        <f>U8</f>
        <v>0.60758006794520547</v>
      </c>
      <c r="H14" s="295" t="s">
        <v>281</v>
      </c>
    </row>
    <row r="15" spans="2:32" ht="24" thickBot="1" x14ac:dyDescent="0.35">
      <c r="B15" s="478"/>
      <c r="E15" s="511"/>
      <c r="F15" s="512"/>
      <c r="G15" s="296">
        <f>G14*365</f>
        <v>221.76672479999999</v>
      </c>
      <c r="H15" s="295" t="s">
        <v>282</v>
      </c>
    </row>
    <row r="16" spans="2:32" ht="24" thickBot="1" x14ac:dyDescent="0.35">
      <c r="B16" s="478"/>
      <c r="E16" s="511"/>
      <c r="F16" s="512"/>
      <c r="G16" s="296">
        <f>G14/24</f>
        <v>2.531583616438356E-2</v>
      </c>
      <c r="H16" s="295" t="s">
        <v>283</v>
      </c>
    </row>
    <row r="17" spans="2:8" ht="62.55" customHeight="1" thickBot="1" x14ac:dyDescent="0.35">
      <c r="B17" s="478"/>
      <c r="E17" s="297" t="s">
        <v>12</v>
      </c>
      <c r="F17" s="299" t="s">
        <v>287</v>
      </c>
      <c r="G17" s="300">
        <f>Y6</f>
        <v>267.92077403686829</v>
      </c>
      <c r="H17" s="295" t="s">
        <v>284</v>
      </c>
    </row>
    <row r="18" spans="2:8" ht="68.55" customHeight="1" thickBot="1" x14ac:dyDescent="0.35">
      <c r="B18" s="478"/>
      <c r="E18" s="297" t="s">
        <v>13</v>
      </c>
      <c r="F18" s="299" t="s">
        <v>286</v>
      </c>
      <c r="G18" s="300">
        <f>AF6</f>
        <v>181.91820557103358</v>
      </c>
      <c r="H18" s="295" t="s">
        <v>285</v>
      </c>
    </row>
    <row r="19" spans="2:8" ht="68.55" customHeight="1" thickBot="1" x14ac:dyDescent="0.35">
      <c r="B19" s="478"/>
      <c r="E19" s="297" t="s">
        <v>14</v>
      </c>
      <c r="F19" s="301" t="s">
        <v>278</v>
      </c>
      <c r="G19" s="302">
        <f>(G14*G13%*37)/(24*3.6)*40%</f>
        <v>5.8277376427214617E-2</v>
      </c>
      <c r="H19" s="295" t="s">
        <v>279</v>
      </c>
    </row>
    <row r="20" spans="2:8" ht="21" x14ac:dyDescent="0.4">
      <c r="B20" s="478"/>
      <c r="F20" s="250"/>
      <c r="G20" s="250"/>
      <c r="H20" s="250"/>
    </row>
    <row r="21" spans="2:8" ht="21.6" thickBot="1" x14ac:dyDescent="0.45">
      <c r="B21" s="478"/>
      <c r="F21" s="250"/>
      <c r="G21" s="250"/>
      <c r="H21" s="250"/>
    </row>
    <row r="22" spans="2:8" ht="58.2" thickBot="1" x14ac:dyDescent="0.6">
      <c r="B22" s="478"/>
      <c r="F22" s="311" t="s">
        <v>255</v>
      </c>
      <c r="G22" s="250"/>
      <c r="H22" s="250"/>
    </row>
    <row r="23" spans="2:8" ht="21.6" thickBot="1" x14ac:dyDescent="0.45">
      <c r="B23" s="478"/>
      <c r="E23" s="312" t="s">
        <v>9</v>
      </c>
      <c r="F23" s="250" t="s">
        <v>262</v>
      </c>
      <c r="G23" s="250"/>
      <c r="H23" s="250"/>
    </row>
    <row r="24" spans="2:8" ht="21.6" thickBot="1" x14ac:dyDescent="0.45">
      <c r="B24" s="478"/>
      <c r="E24" s="312" t="s">
        <v>10</v>
      </c>
      <c r="F24" s="250" t="s">
        <v>263</v>
      </c>
      <c r="G24" s="250"/>
      <c r="H24" s="250"/>
    </row>
    <row r="25" spans="2:8" ht="21.6" thickBot="1" x14ac:dyDescent="0.45">
      <c r="B25" s="478"/>
      <c r="E25" s="312" t="s">
        <v>11</v>
      </c>
      <c r="F25" s="250" t="s">
        <v>264</v>
      </c>
      <c r="G25" s="250"/>
      <c r="H25" s="250"/>
    </row>
    <row r="26" spans="2:8" ht="21.6" thickBot="1" x14ac:dyDescent="0.45">
      <c r="B26" s="478"/>
      <c r="E26" s="312" t="s">
        <v>12</v>
      </c>
      <c r="F26" s="250" t="s">
        <v>265</v>
      </c>
      <c r="G26" s="250"/>
    </row>
    <row r="27" spans="2:8" ht="21.6" thickBot="1" x14ac:dyDescent="0.45">
      <c r="B27" s="478"/>
      <c r="E27" s="312" t="s">
        <v>13</v>
      </c>
      <c r="F27" s="250" t="s">
        <v>266</v>
      </c>
      <c r="G27" s="250"/>
    </row>
    <row r="28" spans="2:8" ht="21.6" thickBot="1" x14ac:dyDescent="0.45">
      <c r="B28" s="478"/>
      <c r="E28" s="312" t="s">
        <v>14</v>
      </c>
      <c r="F28" s="250" t="s">
        <v>300</v>
      </c>
      <c r="G28" s="250"/>
    </row>
    <row r="29" spans="2:8" ht="21" x14ac:dyDescent="0.4">
      <c r="B29" s="478"/>
      <c r="F29" s="272"/>
      <c r="G29" s="250"/>
    </row>
  </sheetData>
  <mergeCells count="18">
    <mergeCell ref="B4:B29"/>
    <mergeCell ref="G4:H4"/>
    <mergeCell ref="I4:J4"/>
    <mergeCell ref="K4:X4"/>
    <mergeCell ref="C6:C7"/>
    <mergeCell ref="D6:D7"/>
    <mergeCell ref="M6:M7"/>
    <mergeCell ref="N6:N7"/>
    <mergeCell ref="AE6:AE7"/>
    <mergeCell ref="AF6:AF7"/>
    <mergeCell ref="E14:E16"/>
    <mergeCell ref="F14:F16"/>
    <mergeCell ref="Y6:Y7"/>
    <mergeCell ref="Z6:Z7"/>
    <mergeCell ref="AA6:AA7"/>
    <mergeCell ref="AB6:AB7"/>
    <mergeCell ref="AC6:AC7"/>
    <mergeCell ref="AD6:AD7"/>
  </mergeCells>
  <pageMargins left="0.7" right="0.7" top="0.75" bottom="0.75" header="0.3" footer="0.3"/>
  <pageSetup paperSize="8" scale="1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0"/>
  <sheetViews>
    <sheetView view="pageBreakPreview" zoomScale="40" zoomScaleNormal="40" zoomScaleSheetLayoutView="40" workbookViewId="0">
      <pane xSplit="6" ySplit="5" topLeftCell="X6" activePane="bottomRight" state="frozen"/>
      <selection pane="topRight" activeCell="G1" sqref="G1"/>
      <selection pane="bottomLeft" activeCell="A8" sqref="A8"/>
      <selection pane="bottomRight" activeCell="AE6" sqref="AE6:AE8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80.95" customHeight="1" thickBot="1" x14ac:dyDescent="0.35">
      <c r="B4" s="478" t="s">
        <v>302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291</v>
      </c>
      <c r="D6" s="475" t="s">
        <v>161</v>
      </c>
      <c r="E6" s="242" t="s">
        <v>9</v>
      </c>
      <c r="F6" s="243" t="s">
        <v>235</v>
      </c>
      <c r="G6" s="253">
        <v>0.33600000000000002</v>
      </c>
      <c r="H6" s="254">
        <v>0.81299999999999994</v>
      </c>
      <c r="I6" s="308">
        <v>0.54100000000000004</v>
      </c>
      <c r="J6" s="244">
        <v>331.1</v>
      </c>
      <c r="K6" s="255">
        <v>10</v>
      </c>
      <c r="L6" s="267">
        <f>O6/365</f>
        <v>2.7397260273972603E-3</v>
      </c>
      <c r="M6" s="522">
        <f>SUMPRODUCT(G6:G8,P6:P8)</f>
        <v>0.23199999999999998</v>
      </c>
      <c r="N6" s="522">
        <f>(S9*100%)/Q9</f>
        <v>0.86661206896551723</v>
      </c>
      <c r="O6" s="274">
        <v>1</v>
      </c>
      <c r="P6" s="275">
        <f>O6/$O$9</f>
        <v>0.33333333333333331</v>
      </c>
      <c r="Q6" s="276">
        <f>L6*G6</f>
        <v>9.205479452054795E-4</v>
      </c>
      <c r="R6" s="276">
        <f>O6*G6</f>
        <v>0.33600000000000002</v>
      </c>
      <c r="S6" s="276">
        <f>Q6*H6</f>
        <v>7.4840547945205483E-4</v>
      </c>
      <c r="T6" s="277">
        <f>R6*H6</f>
        <v>0.27316800000000002</v>
      </c>
      <c r="U6" s="278">
        <f>S6*J6</f>
        <v>0.24779705424657536</v>
      </c>
      <c r="V6" s="278">
        <f>T6*J6</f>
        <v>90.445924800000014</v>
      </c>
      <c r="W6" s="279">
        <f>U6*I6</f>
        <v>0.13405820634739729</v>
      </c>
      <c r="X6" s="280">
        <f>V6*I6</f>
        <v>48.931245316800009</v>
      </c>
      <c r="Y6" s="513">
        <f>X9/T9</f>
        <v>233.29542078546066</v>
      </c>
      <c r="Z6" s="492">
        <v>0.97</v>
      </c>
      <c r="AA6" s="507">
        <f>W9*Z6</f>
        <v>0.37395475236724934</v>
      </c>
      <c r="AB6" s="507">
        <f>X9*Z6</f>
        <v>136.49348461404603</v>
      </c>
      <c r="AC6" s="501">
        <v>0.3</v>
      </c>
      <c r="AD6" s="515">
        <f>V9-(V9*AC6)</f>
        <v>159.88854545999999</v>
      </c>
      <c r="AE6" s="507">
        <f>AD6*I9%*Z6</f>
        <v>95.545439229832198</v>
      </c>
      <c r="AF6" s="509">
        <f>AE6/T9</f>
        <v>158.40759071332778</v>
      </c>
    </row>
    <row r="7" spans="2:32" ht="108" customHeight="1" thickBot="1" x14ac:dyDescent="0.35">
      <c r="B7" s="478"/>
      <c r="C7" s="474"/>
      <c r="D7" s="476"/>
      <c r="E7" s="242" t="s">
        <v>10</v>
      </c>
      <c r="F7" s="245" t="s">
        <v>236</v>
      </c>
      <c r="G7" s="256">
        <v>0.29399999999999998</v>
      </c>
      <c r="H7" s="246">
        <v>0.92600000000000005</v>
      </c>
      <c r="I7" s="309">
        <v>0.67500000000000004</v>
      </c>
      <c r="J7" s="247">
        <v>432</v>
      </c>
      <c r="K7" s="251">
        <v>45</v>
      </c>
      <c r="L7" s="268">
        <f t="shared" ref="L7:L8" si="0">O7/365</f>
        <v>2.7397260273972603E-3</v>
      </c>
      <c r="M7" s="523"/>
      <c r="N7" s="523"/>
      <c r="O7" s="281">
        <v>1</v>
      </c>
      <c r="P7" s="282">
        <f>O7/$O$9</f>
        <v>0.33333333333333331</v>
      </c>
      <c r="Q7" s="283">
        <f t="shared" ref="Q7:Q8" si="1">L7*G7</f>
        <v>8.0547945205479453E-4</v>
      </c>
      <c r="R7" s="283">
        <f t="shared" ref="R7:R8" si="2">O7*G7</f>
        <v>0.29399999999999998</v>
      </c>
      <c r="S7" s="283">
        <f t="shared" ref="S7:S8" si="3">Q7*H7</f>
        <v>7.4587397260273975E-4</v>
      </c>
      <c r="T7" s="257">
        <f t="shared" ref="T7:T8" si="4">R7*H7</f>
        <v>0.27224399999999999</v>
      </c>
      <c r="U7" s="249">
        <f>S7*J7</f>
        <v>0.32221755616438358</v>
      </c>
      <c r="V7" s="249">
        <f t="shared" ref="V7:V8" si="5">T7*J7</f>
        <v>117.60940799999999</v>
      </c>
      <c r="W7" s="284">
        <f t="shared" ref="W7:W8" si="6">U7*I7</f>
        <v>0.21749685041095893</v>
      </c>
      <c r="X7" s="285">
        <f t="shared" ref="X7:X8" si="7">V7*I7</f>
        <v>79.386350399999998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35">
      <c r="B8" s="478"/>
      <c r="C8" s="474"/>
      <c r="D8" s="476"/>
      <c r="E8" s="242" t="s">
        <v>11</v>
      </c>
      <c r="F8" s="248" t="s">
        <v>238</v>
      </c>
      <c r="G8" s="256">
        <v>6.6000000000000003E-2</v>
      </c>
      <c r="H8" s="246">
        <v>0.875</v>
      </c>
      <c r="I8" s="309">
        <v>0.60899999999999999</v>
      </c>
      <c r="J8" s="247">
        <v>352.5</v>
      </c>
      <c r="K8" s="251">
        <v>45</v>
      </c>
      <c r="L8" s="268">
        <f t="shared" si="0"/>
        <v>2.7397260273972603E-3</v>
      </c>
      <c r="M8" s="523"/>
      <c r="N8" s="523"/>
      <c r="O8" s="281">
        <v>1</v>
      </c>
      <c r="P8" s="282">
        <f>O8/$O$9</f>
        <v>0.33333333333333331</v>
      </c>
      <c r="Q8" s="283">
        <f t="shared" si="1"/>
        <v>1.8082191780821919E-4</v>
      </c>
      <c r="R8" s="283">
        <f t="shared" si="2"/>
        <v>6.6000000000000003E-2</v>
      </c>
      <c r="S8" s="283">
        <f t="shared" si="3"/>
        <v>1.5821917808219179E-4</v>
      </c>
      <c r="T8" s="257">
        <f t="shared" si="4"/>
        <v>5.7750000000000003E-2</v>
      </c>
      <c r="U8" s="249">
        <f t="shared" ref="U8" si="8">S8*J8</f>
        <v>5.5772260273972606E-2</v>
      </c>
      <c r="V8" s="249">
        <f t="shared" si="5"/>
        <v>20.356875000000002</v>
      </c>
      <c r="W8" s="284">
        <f t="shared" si="6"/>
        <v>3.3965306506849313E-2</v>
      </c>
      <c r="X8" s="285">
        <f t="shared" si="7"/>
        <v>12.397336875000001</v>
      </c>
      <c r="Y8" s="514"/>
      <c r="Z8" s="493"/>
      <c r="AA8" s="508"/>
      <c r="AB8" s="508"/>
      <c r="AC8" s="502"/>
      <c r="AD8" s="516"/>
      <c r="AE8" s="508"/>
      <c r="AF8" s="510"/>
    </row>
    <row r="9" spans="2:32" ht="108" customHeight="1" thickBot="1" x14ac:dyDescent="0.45">
      <c r="B9" s="478"/>
      <c r="C9" s="216"/>
      <c r="E9" s="250"/>
      <c r="F9" s="250"/>
      <c r="G9" s="250"/>
      <c r="H9" s="250"/>
      <c r="I9" s="273">
        <f>(W9*100)/U9</f>
        <v>61.605696975273489</v>
      </c>
      <c r="J9" s="224">
        <f>($U$9*1)/($L$9*$M$6*$N$6)</f>
        <v>378.69130979736792</v>
      </c>
      <c r="K9" s="270">
        <f>SUM(K6:K8)</f>
        <v>100</v>
      </c>
      <c r="L9" s="271">
        <f>SUM(L6:L8)</f>
        <v>8.2191780821917818E-3</v>
      </c>
      <c r="M9" s="266"/>
      <c r="N9" s="266"/>
      <c r="O9" s="221">
        <f t="shared" ref="O9:X9" si="9">SUM(O6:O8)</f>
        <v>3</v>
      </c>
      <c r="P9" s="263">
        <f t="shared" si="9"/>
        <v>1</v>
      </c>
      <c r="Q9" s="264">
        <f t="shared" si="9"/>
        <v>1.9068493150684932E-3</v>
      </c>
      <c r="R9" s="265">
        <f t="shared" si="9"/>
        <v>0.69599999999999995</v>
      </c>
      <c r="S9" s="265">
        <f t="shared" si="9"/>
        <v>1.6524986301369863E-3</v>
      </c>
      <c r="T9" s="265">
        <f t="shared" si="9"/>
        <v>0.60316199999999998</v>
      </c>
      <c r="U9" s="221">
        <f t="shared" si="9"/>
        <v>0.62578687068493155</v>
      </c>
      <c r="V9" s="221">
        <f t="shared" si="9"/>
        <v>228.4122078</v>
      </c>
      <c r="W9" s="221">
        <f t="shared" si="9"/>
        <v>0.3855203632652055</v>
      </c>
      <c r="X9" s="265">
        <f t="shared" si="9"/>
        <v>140.71493259180002</v>
      </c>
      <c r="Y9" s="238"/>
      <c r="Z9" s="250"/>
      <c r="AA9" s="250"/>
      <c r="AB9" s="250"/>
      <c r="AC9" s="250"/>
      <c r="AD9" s="250"/>
      <c r="AE9" s="250"/>
      <c r="AF9" s="304"/>
    </row>
    <row r="10" spans="2:32" ht="26.4" thickBot="1" x14ac:dyDescent="0.55000000000000004">
      <c r="B10" s="478"/>
      <c r="I10" s="303"/>
      <c r="S10" s="235"/>
    </row>
    <row r="11" spans="2:32" ht="21.6" thickBot="1" x14ac:dyDescent="0.45">
      <c r="B11" s="478"/>
      <c r="E11" s="237"/>
      <c r="F11" s="292" t="s">
        <v>267</v>
      </c>
      <c r="G11" s="237"/>
      <c r="H11" s="237"/>
    </row>
    <row r="12" spans="2:32" ht="21.6" thickBot="1" x14ac:dyDescent="0.45">
      <c r="B12" s="478"/>
      <c r="E12" s="297" t="s">
        <v>8</v>
      </c>
      <c r="F12" s="292" t="str">
        <f>D6</f>
        <v>Firma X</v>
      </c>
      <c r="G12" s="237"/>
      <c r="H12" s="237"/>
      <c r="T12" s="236"/>
    </row>
    <row r="13" spans="2:32" ht="147.6" thickBot="1" x14ac:dyDescent="0.35">
      <c r="B13" s="478"/>
      <c r="E13" s="297" t="s">
        <v>9</v>
      </c>
      <c r="F13" s="293" t="s">
        <v>268</v>
      </c>
      <c r="G13" s="294">
        <f>J9</f>
        <v>378.69130979736792</v>
      </c>
      <c r="H13" s="295" t="s">
        <v>280</v>
      </c>
    </row>
    <row r="14" spans="2:32" ht="42.6" thickBot="1" x14ac:dyDescent="0.35">
      <c r="B14" s="478"/>
      <c r="E14" s="297" t="s">
        <v>10</v>
      </c>
      <c r="F14" s="298" t="s">
        <v>288</v>
      </c>
      <c r="G14" s="296">
        <f>I9</f>
        <v>61.605696975273489</v>
      </c>
      <c r="H14" s="295" t="s">
        <v>269</v>
      </c>
    </row>
    <row r="15" spans="2:32" ht="24" thickBot="1" x14ac:dyDescent="0.35">
      <c r="B15" s="478"/>
      <c r="E15" s="511" t="s">
        <v>11</v>
      </c>
      <c r="F15" s="512" t="s">
        <v>270</v>
      </c>
      <c r="G15" s="296">
        <f>U9</f>
        <v>0.62578687068493155</v>
      </c>
      <c r="H15" s="295" t="s">
        <v>281</v>
      </c>
    </row>
    <row r="16" spans="2:32" ht="24" thickBot="1" x14ac:dyDescent="0.35">
      <c r="B16" s="478"/>
      <c r="E16" s="511"/>
      <c r="F16" s="512"/>
      <c r="G16" s="296">
        <f>G15*365</f>
        <v>228.4122078</v>
      </c>
      <c r="H16" s="295" t="s">
        <v>282</v>
      </c>
    </row>
    <row r="17" spans="2:8" ht="24" thickBot="1" x14ac:dyDescent="0.35">
      <c r="B17" s="478"/>
      <c r="E17" s="511"/>
      <c r="F17" s="512"/>
      <c r="G17" s="296">
        <f>G15/24</f>
        <v>2.6074452945205481E-2</v>
      </c>
      <c r="H17" s="295" t="s">
        <v>283</v>
      </c>
    </row>
    <row r="18" spans="2:8" ht="62.55" customHeight="1" thickBot="1" x14ac:dyDescent="0.35">
      <c r="B18" s="478"/>
      <c r="E18" s="297" t="s">
        <v>12</v>
      </c>
      <c r="F18" s="299" t="s">
        <v>287</v>
      </c>
      <c r="G18" s="300">
        <f>Y6</f>
        <v>233.29542078546066</v>
      </c>
      <c r="H18" s="295" t="s">
        <v>284</v>
      </c>
    </row>
    <row r="19" spans="2:8" ht="68.55" customHeight="1" thickBot="1" x14ac:dyDescent="0.35">
      <c r="B19" s="478"/>
      <c r="E19" s="297" t="s">
        <v>13</v>
      </c>
      <c r="F19" s="299" t="s">
        <v>286</v>
      </c>
      <c r="G19" s="300">
        <f>AF6</f>
        <v>158.40759071332778</v>
      </c>
      <c r="H19" s="295" t="s">
        <v>285</v>
      </c>
    </row>
    <row r="20" spans="2:8" ht="68.55" customHeight="1" thickBot="1" x14ac:dyDescent="0.35">
      <c r="B20" s="478"/>
      <c r="E20" s="297" t="s">
        <v>14</v>
      </c>
      <c r="F20" s="301" t="s">
        <v>278</v>
      </c>
      <c r="G20" s="302">
        <f>(G15*G14%*37)/(24*3.6)*40%</f>
        <v>6.6038210374132419E-2</v>
      </c>
      <c r="H20" s="295" t="s">
        <v>279</v>
      </c>
    </row>
    <row r="21" spans="2:8" ht="21" x14ac:dyDescent="0.4">
      <c r="B21" s="478"/>
      <c r="F21" s="250"/>
      <c r="G21" s="250"/>
      <c r="H21" s="250"/>
    </row>
    <row r="22" spans="2:8" ht="21.6" thickBot="1" x14ac:dyDescent="0.45">
      <c r="B22" s="478"/>
      <c r="F22" s="250"/>
      <c r="G22" s="250"/>
      <c r="H22" s="250"/>
    </row>
    <row r="23" spans="2:8" ht="58.2" thickBot="1" x14ac:dyDescent="0.6">
      <c r="B23" s="478"/>
      <c r="F23" s="311" t="s">
        <v>255</v>
      </c>
      <c r="G23" s="250"/>
      <c r="H23" s="250"/>
    </row>
    <row r="24" spans="2:8" ht="21.6" thickBot="1" x14ac:dyDescent="0.45">
      <c r="B24" s="478"/>
      <c r="E24" s="312" t="s">
        <v>9</v>
      </c>
      <c r="F24" s="250" t="s">
        <v>262</v>
      </c>
      <c r="G24" s="250"/>
      <c r="H24" s="250"/>
    </row>
    <row r="25" spans="2:8" ht="21.6" thickBot="1" x14ac:dyDescent="0.45">
      <c r="B25" s="478"/>
      <c r="E25" s="312" t="s">
        <v>10</v>
      </c>
      <c r="F25" s="250" t="s">
        <v>263</v>
      </c>
      <c r="G25" s="250"/>
      <c r="H25" s="250"/>
    </row>
    <row r="26" spans="2:8" ht="21.6" thickBot="1" x14ac:dyDescent="0.45">
      <c r="B26" s="478"/>
      <c r="E26" s="312" t="s">
        <v>11</v>
      </c>
      <c r="F26" s="250" t="s">
        <v>264</v>
      </c>
      <c r="G26" s="250"/>
      <c r="H26" s="250"/>
    </row>
    <row r="27" spans="2:8" ht="21.6" thickBot="1" x14ac:dyDescent="0.45">
      <c r="B27" s="478"/>
      <c r="E27" s="312" t="s">
        <v>12</v>
      </c>
      <c r="F27" s="250" t="s">
        <v>265</v>
      </c>
      <c r="G27" s="250"/>
    </row>
    <row r="28" spans="2:8" ht="21.6" thickBot="1" x14ac:dyDescent="0.45">
      <c r="B28" s="478"/>
      <c r="E28" s="312" t="s">
        <v>13</v>
      </c>
      <c r="F28" s="250" t="s">
        <v>266</v>
      </c>
      <c r="G28" s="250"/>
    </row>
    <row r="29" spans="2:8" ht="21.6" thickBot="1" x14ac:dyDescent="0.45">
      <c r="B29" s="478"/>
      <c r="E29" s="312" t="s">
        <v>14</v>
      </c>
      <c r="F29" s="250" t="s">
        <v>300</v>
      </c>
      <c r="G29" s="250"/>
    </row>
    <row r="30" spans="2:8" ht="21" x14ac:dyDescent="0.4">
      <c r="B30" s="478"/>
      <c r="F30" s="272"/>
      <c r="G30" s="250"/>
    </row>
  </sheetData>
  <mergeCells count="18">
    <mergeCell ref="B4:B30"/>
    <mergeCell ref="G4:H4"/>
    <mergeCell ref="I4:J4"/>
    <mergeCell ref="K4:X4"/>
    <mergeCell ref="C6:C8"/>
    <mergeCell ref="D6:D8"/>
    <mergeCell ref="M6:M8"/>
    <mergeCell ref="N6:N8"/>
    <mergeCell ref="AE6:AE8"/>
    <mergeCell ref="AF6:AF8"/>
    <mergeCell ref="E15:E17"/>
    <mergeCell ref="F15:F17"/>
    <mergeCell ref="Y6:Y8"/>
    <mergeCell ref="Z6:Z8"/>
    <mergeCell ref="AA6:AA8"/>
    <mergeCell ref="AB6:AB8"/>
    <mergeCell ref="AC6:AC8"/>
    <mergeCell ref="AD6:AD8"/>
  </mergeCells>
  <pageMargins left="0.7" right="0.7" top="0.75" bottom="0.75" header="0.3" footer="0.3"/>
  <pageSetup paperSize="8" scale="1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31"/>
  <sheetViews>
    <sheetView view="pageBreakPreview" zoomScale="40" zoomScaleNormal="40" zoomScaleSheetLayoutView="40" workbookViewId="0">
      <pane xSplit="6" ySplit="5" topLeftCell="X6" activePane="bottomRight" state="frozen"/>
      <selection pane="topRight" activeCell="G1" sqref="G1"/>
      <selection pane="bottomLeft" activeCell="A8" sqref="A8"/>
      <selection pane="bottomRight" activeCell="AE5" sqref="AE5"/>
    </sheetView>
  </sheetViews>
  <sheetFormatPr defaultRowHeight="14.4" x14ac:dyDescent="0.3"/>
  <cols>
    <col min="2" max="2" width="10.109375" customWidth="1"/>
    <col min="3" max="3" width="17.109375" customWidth="1"/>
    <col min="6" max="6" width="44.21875" customWidth="1"/>
    <col min="7" max="29" width="33.6640625" customWidth="1"/>
    <col min="30" max="31" width="43.6640625" customWidth="1"/>
    <col min="32" max="32" width="33.6640625" customWidth="1"/>
  </cols>
  <sheetData>
    <row r="1" spans="2:32" hidden="1" x14ac:dyDescent="0.3">
      <c r="H1" s="66"/>
      <c r="I1" s="85" t="s">
        <v>161</v>
      </c>
    </row>
    <row r="2" spans="2:32" x14ac:dyDescent="0.3">
      <c r="H2" s="66"/>
      <c r="I2" s="85"/>
    </row>
    <row r="3" spans="2:32" ht="64.95" customHeight="1" thickBot="1" x14ac:dyDescent="0.35">
      <c r="H3" s="66"/>
      <c r="I3" s="85"/>
    </row>
    <row r="4" spans="2:32" ht="282.45" customHeight="1" thickBot="1" x14ac:dyDescent="0.35">
      <c r="B4" s="478" t="s">
        <v>302</v>
      </c>
      <c r="F4" s="240"/>
      <c r="G4" s="517" t="s">
        <v>303</v>
      </c>
      <c r="H4" s="517"/>
      <c r="I4" s="517" t="s">
        <v>304</v>
      </c>
      <c r="J4" s="518"/>
      <c r="K4" s="519" t="s">
        <v>305</v>
      </c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1"/>
      <c r="Y4" s="234" t="s">
        <v>248</v>
      </c>
      <c r="AF4" s="234" t="s">
        <v>248</v>
      </c>
    </row>
    <row r="5" spans="2:32" ht="172.95" customHeight="1" thickBot="1" x14ac:dyDescent="0.35">
      <c r="B5" s="478"/>
      <c r="E5" s="227" t="s">
        <v>8</v>
      </c>
      <c r="F5" s="239" t="s">
        <v>254</v>
      </c>
      <c r="G5" s="241" t="s">
        <v>260</v>
      </c>
      <c r="H5" s="241" t="s">
        <v>240</v>
      </c>
      <c r="I5" s="220" t="s">
        <v>258</v>
      </c>
      <c r="J5" s="220" t="s">
        <v>259</v>
      </c>
      <c r="K5" s="220" t="s">
        <v>261</v>
      </c>
      <c r="L5" s="220" t="s">
        <v>246</v>
      </c>
      <c r="M5" s="220" t="s">
        <v>250</v>
      </c>
      <c r="N5" s="220" t="s">
        <v>251</v>
      </c>
      <c r="O5" s="220" t="s">
        <v>241</v>
      </c>
      <c r="P5" s="220" t="s">
        <v>233</v>
      </c>
      <c r="Q5" s="220" t="s">
        <v>242</v>
      </c>
      <c r="R5" s="220" t="s">
        <v>243</v>
      </c>
      <c r="S5" s="220" t="s">
        <v>244</v>
      </c>
      <c r="T5" s="220" t="s">
        <v>245</v>
      </c>
      <c r="U5" s="220" t="s">
        <v>271</v>
      </c>
      <c r="V5" s="220" t="s">
        <v>272</v>
      </c>
      <c r="W5" s="220" t="s">
        <v>273</v>
      </c>
      <c r="X5" s="220" t="s">
        <v>274</v>
      </c>
      <c r="Y5" s="252" t="s">
        <v>256</v>
      </c>
      <c r="Z5" s="220" t="s">
        <v>247</v>
      </c>
      <c r="AA5" s="220" t="s">
        <v>275</v>
      </c>
      <c r="AB5" s="220" t="s">
        <v>276</v>
      </c>
      <c r="AC5" s="220" t="s">
        <v>249</v>
      </c>
      <c r="AD5" s="220" t="s">
        <v>277</v>
      </c>
      <c r="AE5" s="220" t="s">
        <v>306</v>
      </c>
      <c r="AF5" s="252" t="s">
        <v>257</v>
      </c>
    </row>
    <row r="6" spans="2:32" ht="108" customHeight="1" thickBot="1" x14ac:dyDescent="0.35">
      <c r="B6" s="478"/>
      <c r="C6" s="474" t="s">
        <v>292</v>
      </c>
      <c r="D6" s="475" t="s">
        <v>161</v>
      </c>
      <c r="E6" s="242" t="s">
        <v>9</v>
      </c>
      <c r="F6" s="243" t="s">
        <v>234</v>
      </c>
      <c r="G6" s="253">
        <v>0.41099999999999998</v>
      </c>
      <c r="H6" s="254">
        <v>0.71899999999999997</v>
      </c>
      <c r="I6" s="308">
        <v>0.59</v>
      </c>
      <c r="J6" s="244">
        <v>218.7</v>
      </c>
      <c r="K6" s="255">
        <v>16</v>
      </c>
      <c r="L6" s="267">
        <f>O6/365</f>
        <v>2.7397260273972603E-3</v>
      </c>
      <c r="M6" s="522">
        <f>SUMPRODUCT(G6:G9,P6:P9)</f>
        <v>0.20750000000000002</v>
      </c>
      <c r="N6" s="522">
        <f>(S10*100%)/Q10</f>
        <v>0.74354457831325305</v>
      </c>
      <c r="O6" s="274">
        <v>1</v>
      </c>
      <c r="P6" s="275">
        <f>O6/$O$10</f>
        <v>0.25</v>
      </c>
      <c r="Q6" s="276">
        <f>L6*G6</f>
        <v>1.1260273972602739E-3</v>
      </c>
      <c r="R6" s="276">
        <f>O6*G6</f>
        <v>0.41099999999999998</v>
      </c>
      <c r="S6" s="276">
        <f>Q6*H6</f>
        <v>8.0961369863013686E-4</v>
      </c>
      <c r="T6" s="277">
        <f>R6*H6</f>
        <v>0.29550899999999997</v>
      </c>
      <c r="U6" s="278">
        <f>S6*J6</f>
        <v>0.17706251589041092</v>
      </c>
      <c r="V6" s="278">
        <f>T6*J6</f>
        <v>64.627818299999987</v>
      </c>
      <c r="W6" s="279">
        <f>U6*I6</f>
        <v>0.10446688437534243</v>
      </c>
      <c r="X6" s="280">
        <f>V6*I6</f>
        <v>38.130412796999991</v>
      </c>
      <c r="Y6" s="513">
        <f>X10/T10</f>
        <v>219.58541679516225</v>
      </c>
      <c r="Z6" s="492">
        <v>0.97</v>
      </c>
      <c r="AA6" s="507">
        <f>W10*Z6</f>
        <v>0.36013677203574246</v>
      </c>
      <c r="AB6" s="507">
        <f>X10*Z6</f>
        <v>131.449921793046</v>
      </c>
      <c r="AC6" s="501">
        <v>0.3</v>
      </c>
      <c r="AD6" s="515">
        <f>V10-(V10*AC6)</f>
        <v>162.83523668999999</v>
      </c>
      <c r="AE6" s="507">
        <f>AD6*I10%*Z6</f>
        <v>92.014945255132176</v>
      </c>
      <c r="AF6" s="509">
        <f>AE6/T10</f>
        <v>149.09849800391515</v>
      </c>
    </row>
    <row r="7" spans="2:32" ht="108" customHeight="1" thickBot="1" x14ac:dyDescent="0.35">
      <c r="B7" s="478"/>
      <c r="C7" s="474"/>
      <c r="D7" s="476"/>
      <c r="E7" s="242" t="s">
        <v>10</v>
      </c>
      <c r="F7" s="245" t="s">
        <v>18</v>
      </c>
      <c r="G7" s="256">
        <v>9.2999999999999999E-2</v>
      </c>
      <c r="H7" s="246">
        <v>0.79100000000000004</v>
      </c>
      <c r="I7" s="309">
        <v>0.59699999999999998</v>
      </c>
      <c r="J7" s="247">
        <v>221.8</v>
      </c>
      <c r="K7" s="251">
        <v>26</v>
      </c>
      <c r="L7" s="268">
        <f t="shared" ref="L7:L9" si="0">O7/365</f>
        <v>2.7397260273972603E-3</v>
      </c>
      <c r="M7" s="523"/>
      <c r="N7" s="523"/>
      <c r="O7" s="281">
        <v>1</v>
      </c>
      <c r="P7" s="282">
        <f>O7/$O$10</f>
        <v>0.25</v>
      </c>
      <c r="Q7" s="283">
        <f t="shared" ref="Q7:Q9" si="1">L7*G7</f>
        <v>2.5479452054794522E-4</v>
      </c>
      <c r="R7" s="283">
        <f t="shared" ref="R7:R9" si="2">O7*G7</f>
        <v>9.2999999999999999E-2</v>
      </c>
      <c r="S7" s="283">
        <f t="shared" ref="S7:S9" si="3">Q7*H7</f>
        <v>2.0154246575342468E-4</v>
      </c>
      <c r="T7" s="257">
        <f t="shared" ref="T7:T9" si="4">R7*H7</f>
        <v>7.3563000000000003E-2</v>
      </c>
      <c r="U7" s="249">
        <f>S7*J7</f>
        <v>4.4702118904109599E-2</v>
      </c>
      <c r="V7" s="249">
        <f t="shared" ref="V7:V9" si="5">T7*J7</f>
        <v>16.3162734</v>
      </c>
      <c r="W7" s="284">
        <f t="shared" ref="W7:W9" si="6">U7*I7</f>
        <v>2.668716498575343E-2</v>
      </c>
      <c r="X7" s="285">
        <f t="shared" ref="X7:X9" si="7">V7*I7</f>
        <v>9.7408152198</v>
      </c>
      <c r="Y7" s="514"/>
      <c r="Z7" s="493"/>
      <c r="AA7" s="508"/>
      <c r="AB7" s="508"/>
      <c r="AC7" s="502"/>
      <c r="AD7" s="516"/>
      <c r="AE7" s="508"/>
      <c r="AF7" s="510"/>
    </row>
    <row r="8" spans="2:32" ht="108" customHeight="1" thickBot="1" x14ac:dyDescent="0.35">
      <c r="B8" s="478"/>
      <c r="C8" s="474"/>
      <c r="D8" s="476"/>
      <c r="E8" s="242" t="s">
        <v>11</v>
      </c>
      <c r="F8" s="248" t="s">
        <v>237</v>
      </c>
      <c r="G8" s="256">
        <v>0.26</v>
      </c>
      <c r="H8" s="246">
        <v>0.73199999999999998</v>
      </c>
      <c r="I8" s="309">
        <v>0.57299999999999995</v>
      </c>
      <c r="J8" s="247">
        <v>690</v>
      </c>
      <c r="K8" s="251">
        <v>32</v>
      </c>
      <c r="L8" s="268">
        <f t="shared" si="0"/>
        <v>2.7397260273972603E-3</v>
      </c>
      <c r="M8" s="523"/>
      <c r="N8" s="523"/>
      <c r="O8" s="281">
        <v>1</v>
      </c>
      <c r="P8" s="282">
        <f>O8/$O$10</f>
        <v>0.25</v>
      </c>
      <c r="Q8" s="283">
        <f t="shared" si="1"/>
        <v>7.1232876712328766E-4</v>
      </c>
      <c r="R8" s="283">
        <f t="shared" si="2"/>
        <v>0.26</v>
      </c>
      <c r="S8" s="283">
        <f t="shared" si="3"/>
        <v>5.214246575342466E-4</v>
      </c>
      <c r="T8" s="257">
        <f t="shared" si="4"/>
        <v>0.19031999999999999</v>
      </c>
      <c r="U8" s="249">
        <f t="shared" ref="U8:U9" si="8">S8*J8</f>
        <v>0.35978301369863014</v>
      </c>
      <c r="V8" s="249">
        <f t="shared" si="5"/>
        <v>131.32079999999999</v>
      </c>
      <c r="W8" s="284">
        <f t="shared" si="6"/>
        <v>0.20615566684931505</v>
      </c>
      <c r="X8" s="285">
        <f t="shared" si="7"/>
        <v>75.246818399999995</v>
      </c>
      <c r="Y8" s="514"/>
      <c r="Z8" s="493"/>
      <c r="AA8" s="508"/>
      <c r="AB8" s="508"/>
      <c r="AC8" s="502"/>
      <c r="AD8" s="516"/>
      <c r="AE8" s="508"/>
      <c r="AF8" s="510"/>
    </row>
    <row r="9" spans="2:32" ht="108" customHeight="1" thickBot="1" x14ac:dyDescent="0.35">
      <c r="B9" s="478"/>
      <c r="C9" s="474"/>
      <c r="D9" s="477"/>
      <c r="E9" s="242" t="s">
        <v>12</v>
      </c>
      <c r="F9" s="248" t="s">
        <v>238</v>
      </c>
      <c r="G9" s="258">
        <v>6.6000000000000003E-2</v>
      </c>
      <c r="H9" s="259">
        <v>0.875</v>
      </c>
      <c r="I9" s="310">
        <v>0.60899999999999999</v>
      </c>
      <c r="J9" s="260">
        <v>352.5</v>
      </c>
      <c r="K9" s="261">
        <v>26</v>
      </c>
      <c r="L9" s="269">
        <f t="shared" si="0"/>
        <v>2.7397260273972603E-3</v>
      </c>
      <c r="M9" s="528"/>
      <c r="N9" s="528"/>
      <c r="O9" s="286">
        <v>1</v>
      </c>
      <c r="P9" s="287">
        <f>O9/$O$10</f>
        <v>0.25</v>
      </c>
      <c r="Q9" s="288">
        <f t="shared" si="1"/>
        <v>1.8082191780821919E-4</v>
      </c>
      <c r="R9" s="288">
        <f t="shared" si="2"/>
        <v>6.6000000000000003E-2</v>
      </c>
      <c r="S9" s="288">
        <f t="shared" si="3"/>
        <v>1.5821917808219179E-4</v>
      </c>
      <c r="T9" s="262">
        <f t="shared" si="4"/>
        <v>5.7750000000000003E-2</v>
      </c>
      <c r="U9" s="289">
        <f t="shared" si="8"/>
        <v>5.5772260273972606E-2</v>
      </c>
      <c r="V9" s="289">
        <f t="shared" si="5"/>
        <v>20.356875000000002</v>
      </c>
      <c r="W9" s="290">
        <f t="shared" si="6"/>
        <v>3.3965306506849313E-2</v>
      </c>
      <c r="X9" s="291">
        <f t="shared" si="7"/>
        <v>12.397336875000001</v>
      </c>
      <c r="Y9" s="526"/>
      <c r="Z9" s="494"/>
      <c r="AA9" s="524"/>
      <c r="AB9" s="524"/>
      <c r="AC9" s="503"/>
      <c r="AD9" s="527"/>
      <c r="AE9" s="524"/>
      <c r="AF9" s="525"/>
    </row>
    <row r="10" spans="2:32" ht="108" customHeight="1" thickBot="1" x14ac:dyDescent="0.45">
      <c r="B10" s="478"/>
      <c r="C10" s="216"/>
      <c r="E10" s="250"/>
      <c r="F10" s="250"/>
      <c r="G10" s="250"/>
      <c r="H10" s="250"/>
      <c r="I10" s="273">
        <f>(W10*100)/U10</f>
        <v>58.255676248288069</v>
      </c>
      <c r="J10" s="224">
        <f>($U$10*1)/($L$10*$M$6*$N$6)</f>
        <v>376.93394178325246</v>
      </c>
      <c r="K10" s="270">
        <f>SUM(K6:K9)</f>
        <v>100</v>
      </c>
      <c r="L10" s="271">
        <f>SUM(L6:L9)</f>
        <v>1.0958904109589041E-2</v>
      </c>
      <c r="M10" s="266"/>
      <c r="N10" s="266"/>
      <c r="O10" s="221">
        <f t="shared" ref="O10:X10" si="9">SUM(O6:O9)</f>
        <v>4</v>
      </c>
      <c r="P10" s="263">
        <f t="shared" si="9"/>
        <v>1</v>
      </c>
      <c r="Q10" s="264">
        <f t="shared" si="9"/>
        <v>2.2739726027397257E-3</v>
      </c>
      <c r="R10" s="265">
        <f t="shared" si="9"/>
        <v>0.83000000000000007</v>
      </c>
      <c r="S10" s="265">
        <f t="shared" si="9"/>
        <v>1.6907999999999999E-3</v>
      </c>
      <c r="T10" s="265">
        <f t="shared" si="9"/>
        <v>0.61714199999999986</v>
      </c>
      <c r="U10" s="221">
        <f t="shared" si="9"/>
        <v>0.6373199087671233</v>
      </c>
      <c r="V10" s="221">
        <f t="shared" si="9"/>
        <v>232.62176669999997</v>
      </c>
      <c r="W10" s="221">
        <f t="shared" si="9"/>
        <v>0.37127502271726026</v>
      </c>
      <c r="X10" s="265">
        <f t="shared" si="9"/>
        <v>135.51538329179999</v>
      </c>
      <c r="Y10" s="238"/>
      <c r="Z10" s="250"/>
      <c r="AA10" s="250"/>
      <c r="AB10" s="250"/>
      <c r="AC10" s="250"/>
      <c r="AD10" s="250"/>
      <c r="AE10" s="250"/>
      <c r="AF10" s="304"/>
    </row>
    <row r="11" spans="2:32" ht="26.4" thickBot="1" x14ac:dyDescent="0.55000000000000004">
      <c r="B11" s="478"/>
      <c r="I11" s="303"/>
      <c r="S11" s="235"/>
    </row>
    <row r="12" spans="2:32" ht="21.6" thickBot="1" x14ac:dyDescent="0.45">
      <c r="B12" s="478"/>
      <c r="E12" s="237"/>
      <c r="F12" s="292" t="s">
        <v>267</v>
      </c>
      <c r="G12" s="237"/>
      <c r="H12" s="237"/>
    </row>
    <row r="13" spans="2:32" ht="21.6" thickBot="1" x14ac:dyDescent="0.45">
      <c r="B13" s="478"/>
      <c r="E13" s="297" t="s">
        <v>8</v>
      </c>
      <c r="F13" s="292" t="str">
        <f>D6</f>
        <v>Firma X</v>
      </c>
      <c r="G13" s="237"/>
      <c r="H13" s="237"/>
      <c r="T13" s="236"/>
    </row>
    <row r="14" spans="2:32" ht="147.6" thickBot="1" x14ac:dyDescent="0.35">
      <c r="B14" s="478"/>
      <c r="E14" s="297" t="s">
        <v>9</v>
      </c>
      <c r="F14" s="293" t="s">
        <v>268</v>
      </c>
      <c r="G14" s="294">
        <f>J10</f>
        <v>376.93394178325246</v>
      </c>
      <c r="H14" s="295" t="s">
        <v>280</v>
      </c>
    </row>
    <row r="15" spans="2:32" ht="42.6" thickBot="1" x14ac:dyDescent="0.35">
      <c r="B15" s="478"/>
      <c r="E15" s="297" t="s">
        <v>10</v>
      </c>
      <c r="F15" s="298" t="s">
        <v>288</v>
      </c>
      <c r="G15" s="296">
        <f>I10</f>
        <v>58.255676248288069</v>
      </c>
      <c r="H15" s="295" t="s">
        <v>269</v>
      </c>
    </row>
    <row r="16" spans="2:32" ht="24" thickBot="1" x14ac:dyDescent="0.35">
      <c r="B16" s="478"/>
      <c r="E16" s="511" t="s">
        <v>11</v>
      </c>
      <c r="F16" s="512" t="s">
        <v>270</v>
      </c>
      <c r="G16" s="296">
        <f>U10</f>
        <v>0.6373199087671233</v>
      </c>
      <c r="H16" s="295" t="s">
        <v>281</v>
      </c>
    </row>
    <row r="17" spans="2:8" ht="24" thickBot="1" x14ac:dyDescent="0.35">
      <c r="B17" s="478"/>
      <c r="E17" s="511"/>
      <c r="F17" s="512"/>
      <c r="G17" s="296">
        <f>G16*365</f>
        <v>232.62176669999999</v>
      </c>
      <c r="H17" s="295" t="s">
        <v>282</v>
      </c>
    </row>
    <row r="18" spans="2:8" ht="24" thickBot="1" x14ac:dyDescent="0.35">
      <c r="B18" s="478"/>
      <c r="E18" s="511"/>
      <c r="F18" s="512"/>
      <c r="G18" s="296">
        <f>G16/24</f>
        <v>2.6554996198630137E-2</v>
      </c>
      <c r="H18" s="295" t="s">
        <v>283</v>
      </c>
    </row>
    <row r="19" spans="2:8" ht="62.55" customHeight="1" thickBot="1" x14ac:dyDescent="0.35">
      <c r="B19" s="478"/>
      <c r="E19" s="297" t="s">
        <v>12</v>
      </c>
      <c r="F19" s="299" t="s">
        <v>287</v>
      </c>
      <c r="G19" s="300">
        <f>Y6</f>
        <v>219.58541679516225</v>
      </c>
      <c r="H19" s="295" t="s">
        <v>284</v>
      </c>
    </row>
    <row r="20" spans="2:8" ht="68.55" customHeight="1" thickBot="1" x14ac:dyDescent="0.35">
      <c r="B20" s="478"/>
      <c r="E20" s="297" t="s">
        <v>13</v>
      </c>
      <c r="F20" s="299" t="s">
        <v>286</v>
      </c>
      <c r="G20" s="300">
        <f>AF6</f>
        <v>149.09849800391515</v>
      </c>
      <c r="H20" s="295" t="s">
        <v>285</v>
      </c>
    </row>
    <row r="21" spans="2:8" ht="68.55" customHeight="1" thickBot="1" x14ac:dyDescent="0.35">
      <c r="B21" s="478"/>
      <c r="E21" s="297" t="s">
        <v>14</v>
      </c>
      <c r="F21" s="301" t="s">
        <v>278</v>
      </c>
      <c r="G21" s="302">
        <f>(G16*G15%*37)/(24*3.6)*40%</f>
        <v>6.3598036298789948E-2</v>
      </c>
      <c r="H21" s="295" t="s">
        <v>279</v>
      </c>
    </row>
    <row r="22" spans="2:8" ht="21" x14ac:dyDescent="0.4">
      <c r="B22" s="478"/>
      <c r="F22" s="250"/>
      <c r="G22" s="250"/>
      <c r="H22" s="250"/>
    </row>
    <row r="23" spans="2:8" ht="21.6" thickBot="1" x14ac:dyDescent="0.45">
      <c r="B23" s="478"/>
      <c r="F23" s="250"/>
      <c r="G23" s="250"/>
      <c r="H23" s="250"/>
    </row>
    <row r="24" spans="2:8" ht="58.2" thickBot="1" x14ac:dyDescent="0.6">
      <c r="B24" s="478"/>
      <c r="F24" s="311" t="s">
        <v>255</v>
      </c>
      <c r="G24" s="250"/>
      <c r="H24" s="250"/>
    </row>
    <row r="25" spans="2:8" ht="21.6" thickBot="1" x14ac:dyDescent="0.45">
      <c r="B25" s="478"/>
      <c r="E25" s="312" t="s">
        <v>9</v>
      </c>
      <c r="F25" s="250" t="s">
        <v>262</v>
      </c>
      <c r="G25" s="250"/>
      <c r="H25" s="250"/>
    </row>
    <row r="26" spans="2:8" ht="21.6" thickBot="1" x14ac:dyDescent="0.45">
      <c r="B26" s="478"/>
      <c r="E26" s="312" t="s">
        <v>10</v>
      </c>
      <c r="F26" s="250" t="s">
        <v>263</v>
      </c>
      <c r="G26" s="250"/>
      <c r="H26" s="250"/>
    </row>
    <row r="27" spans="2:8" ht="21.6" thickBot="1" x14ac:dyDescent="0.45">
      <c r="B27" s="478"/>
      <c r="E27" s="312" t="s">
        <v>11</v>
      </c>
      <c r="F27" s="250" t="s">
        <v>264</v>
      </c>
      <c r="G27" s="250"/>
      <c r="H27" s="250"/>
    </row>
    <row r="28" spans="2:8" ht="21.6" thickBot="1" x14ac:dyDescent="0.45">
      <c r="B28" s="478"/>
      <c r="E28" s="312" t="s">
        <v>12</v>
      </c>
      <c r="F28" s="250" t="s">
        <v>265</v>
      </c>
      <c r="G28" s="250"/>
    </row>
    <row r="29" spans="2:8" ht="21.6" thickBot="1" x14ac:dyDescent="0.45">
      <c r="B29" s="478"/>
      <c r="E29" s="312" t="s">
        <v>13</v>
      </c>
      <c r="F29" s="250" t="s">
        <v>266</v>
      </c>
      <c r="G29" s="250"/>
    </row>
    <row r="30" spans="2:8" ht="21.6" thickBot="1" x14ac:dyDescent="0.45">
      <c r="B30" s="478"/>
      <c r="E30" s="312" t="s">
        <v>14</v>
      </c>
      <c r="F30" s="250" t="s">
        <v>300</v>
      </c>
      <c r="G30" s="250"/>
    </row>
    <row r="31" spans="2:8" ht="21" x14ac:dyDescent="0.4">
      <c r="B31" s="478"/>
      <c r="F31" s="272"/>
      <c r="G31" s="250"/>
    </row>
  </sheetData>
  <mergeCells count="18">
    <mergeCell ref="B4:B31"/>
    <mergeCell ref="G4:H4"/>
    <mergeCell ref="I4:J4"/>
    <mergeCell ref="K4:X4"/>
    <mergeCell ref="C6:C9"/>
    <mergeCell ref="D6:D9"/>
    <mergeCell ref="M6:M9"/>
    <mergeCell ref="N6:N9"/>
    <mergeCell ref="AE6:AE9"/>
    <mergeCell ref="AF6:AF9"/>
    <mergeCell ref="E16:E18"/>
    <mergeCell ref="F16:F18"/>
    <mergeCell ref="Y6:Y9"/>
    <mergeCell ref="Z6:Z9"/>
    <mergeCell ref="AA6:AA9"/>
    <mergeCell ref="AB6:AB9"/>
    <mergeCell ref="AC6:AC9"/>
    <mergeCell ref="AD6:AD9"/>
  </mergeCells>
  <pageMargins left="0.7" right="0.7" top="0.75" bottom="0.75" header="0.3" footer="0.3"/>
  <pageSetup paperSize="8" scale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4732A73DAD8D488D1D8EA38F26A010" ma:contentTypeVersion="2" ma:contentTypeDescription="Utwórz nowy dokument." ma:contentTypeScope="" ma:versionID="e69c6d9cfe5368929ce65af4be42279b">
  <xsd:schema xmlns:xsd="http://www.w3.org/2001/XMLSchema" xmlns:xs="http://www.w3.org/2001/XMLSchema" xmlns:p="http://schemas.microsoft.com/office/2006/metadata/properties" xmlns:ns2="70faadbe-2650-4a3b-a4d5-6f37eee08631" targetNamespace="http://schemas.microsoft.com/office/2006/metadata/properties" ma:root="true" ma:fieldsID="bb587da7e235133b65fcac45681dd79b" ns2:_="">
    <xsd:import namespace="70faadbe-2650-4a3b-a4d5-6f37eee08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adbe-2650-4a3b-a4d5-6f37eee086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2E394-79DE-45C3-9A9A-67E01A8CEE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E60F0D-890B-4D8F-8A22-AC8F2E65B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adbe-2650-4a3b-a4d5-6f37eee08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0419E-3888-4942-A16D-44E15F8CBB17}">
  <ds:schemaRefs>
    <ds:schemaRef ds:uri="70faadbe-2650-4a3b-a4d5-6f37eee0863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8</vt:i4>
      </vt:variant>
    </vt:vector>
  </HeadingPairs>
  <TitlesOfParts>
    <vt:vector size="21" baseType="lpstr">
      <vt:lpstr>wariant surowcowy firma X</vt:lpstr>
      <vt:lpstr>wariant surowcowy firma Y</vt:lpstr>
      <vt:lpstr>Podsumowanie firm w wariantach</vt:lpstr>
      <vt:lpstr>wariant "1"</vt:lpstr>
      <vt:lpstr>wariant "2"</vt:lpstr>
      <vt:lpstr>wariant "3"</vt:lpstr>
      <vt:lpstr>wariant "4"</vt:lpstr>
      <vt:lpstr>wariant "5"</vt:lpstr>
      <vt:lpstr>wariant "6"</vt:lpstr>
      <vt:lpstr>wariant "7"</vt:lpstr>
      <vt:lpstr>wariant "8"</vt:lpstr>
      <vt:lpstr>Podsumowanie</vt:lpstr>
      <vt:lpstr>zakresy</vt:lpstr>
      <vt:lpstr>'wariant "1"'!Obszar_wydruku</vt:lpstr>
      <vt:lpstr>'wariant "2"'!Obszar_wydruku</vt:lpstr>
      <vt:lpstr>'wariant "3"'!Obszar_wydruku</vt:lpstr>
      <vt:lpstr>'wariant "4"'!Obszar_wydruku</vt:lpstr>
      <vt:lpstr>'wariant "5"'!Obszar_wydruku</vt:lpstr>
      <vt:lpstr>'wariant "6"'!Obszar_wydruku</vt:lpstr>
      <vt:lpstr>'wariant "7"'!Obszar_wydruku</vt:lpstr>
      <vt:lpstr>'wariant "8"'!Obszar_wydruku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2020-12-23T12:56:02Z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0x010100CC4732A73DAD8D488D1D8EA38F26A010</vt:lpwstr>
  </property>
</Properties>
</file>