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2\I kw 2022\Zbiorówki\Zatwierdzone\WWW\Nowy format\www bez definicji\"/>
    </mc:Choice>
  </mc:AlternateContent>
  <bookViews>
    <workbookView xWindow="240" yWindow="120" windowWidth="14220" windowHeight="88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6" i="7" l="1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/>
  <c r="A30" i="7" s="1"/>
  <c r="A86" i="7" l="1"/>
  <c r="A1" i="7"/>
  <c r="A67" i="7"/>
</calcChain>
</file>

<file path=xl/sharedStrings.xml><?xml version="1.0" encoding="utf-8"?>
<sst xmlns="http://schemas.openxmlformats.org/spreadsheetml/2006/main" count="93" uniqueCount="79">
  <si>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</si>
  <si>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</si>
  <si>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</si>
  <si>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</si>
  <si>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</si>
  <si>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</si>
  <si>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</si>
  <si>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</si>
  <si>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</si>
  <si>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</si>
  <si>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</si>
  <si>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</si>
  <si>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</si>
  <si>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</si>
  <si>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</si>
  <si>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</si>
  <si>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</si>
  <si>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</si>
  <si>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</si>
  <si>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</si>
  <si>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</si>
  <si>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</si>
  <si>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</si>
  <si>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</si>
  <si>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</si>
  <si>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</si>
  <si>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</si>
  <si>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</si>
  <si>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</si>
  <si>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</si>
  <si>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</si>
  <si>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</si>
  <si>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</si>
  <si>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</si>
  <si>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</si>
  <si>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</si>
  <si>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</si>
  <si>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</si>
  <si>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</si>
  <si>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</si>
  <si>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</si>
  <si>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</si>
  <si>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</si>
  <si>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</si>
  <si>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</si>
  <si>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</si>
  <si>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</si>
  <si>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</si>
  <si>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</si>
  <si>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</si>
  <si>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</si>
  <si>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</si>
  <si>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</si>
  <si>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</si>
  <si>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</si>
  <si>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</si>
  <si>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</si>
  <si>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</si>
  <si>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</si>
  <si>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</si>
  <si>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</si>
  <si>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</si>
  <si>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</si>
  <si>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</si>
  <si>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</si>
  <si>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</si>
  <si>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</si>
  <si>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</si>
  <si>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</si>
  <si>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</si>
  <si>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</si>
  <si>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</si>
  <si>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</si>
  <si>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</si>
  <si>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</si>
  <si>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E1 papiery wartościowe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</si>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</sst>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1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2" fillId="0" borderId="10" xfId="37" applyFont="1" applyBorder="1" applyAlignment="1">
      <alignment horizontal="left" vertical="center" wrapText="1"/>
    </xf>
    <xf numFmtId="0" fontId="2" fillId="0" borderId="10" xfId="37" applyFont="1" applyBorder="1" applyAlignment="1">
      <alignment horizontal="left" vertical="top" wrapText="1"/>
    </xf>
    <xf numFmtId="0" fontId="29" fillId="0" borderId="17" xfId="0" applyFont="1" applyFill="1" applyBorder="1" applyAlignment="1">
      <alignment vertical="top" wrapText="1"/>
    </xf>
    <xf numFmtId="0" fontId="8" fillId="20" borderId="10" xfId="37" applyFont="1" applyFill="1" applyBorder="1" applyAlignment="1">
      <alignment horizontal="left" vertical="top" wrapText="1"/>
    </xf>
    <xf numFmtId="0" fontId="2" fillId="20" borderId="10" xfId="37" applyFont="1" applyFill="1" applyBorder="1" applyAlignment="1">
      <alignment horizontal="left" vertical="top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8" fillId="21" borderId="10" xfId="37" applyFont="1" applyFill="1" applyBorder="1" applyAlignment="1">
      <alignment horizontal="left" vertical="center" wrapText="1"/>
    </xf>
    <xf numFmtId="4" fontId="7" fillId="21" borderId="10" xfId="37" applyNumberFormat="1" applyFont="1" applyFill="1" applyBorder="1" applyAlignment="1">
      <alignment horizontal="right" vertical="center" wrapText="1"/>
    </xf>
    <xf numFmtId="0" fontId="28" fillId="21" borderId="17" xfId="0" applyFont="1" applyFill="1" applyBorder="1" applyAlignment="1">
      <alignment vertical="top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30" fillId="0" borderId="0" xfId="37" applyFont="1" applyAlignment="1">
      <alignment horizontal="center" vertical="center" wrapText="1"/>
    </xf>
    <xf numFmtId="0" fontId="2" fillId="19" borderId="19" xfId="37" applyFont="1" applyFill="1" applyBorder="1" applyAlignment="1">
      <alignment horizontal="center" vertical="center" wrapText="1"/>
    </xf>
    <xf numFmtId="0" fontId="2" fillId="19" borderId="20" xfId="37" applyFont="1" applyFill="1" applyBorder="1" applyAlignment="1">
      <alignment horizontal="center" vertical="center" wrapText="1"/>
    </xf>
    <xf numFmtId="0" fontId="2" fillId="19" borderId="12" xfId="37" applyFont="1" applyFill="1" applyBorder="1" applyAlignment="1">
      <alignment horizontal="center" vertical="center" wrapText="1"/>
    </xf>
    <xf numFmtId="0" fontId="2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3" fontId="7" fillId="0" borderId="15" xfId="37" applyNumberFormat="1" applyFont="1" applyFill="1" applyBorder="1" applyAlignment="1">
      <alignment horizontal="right" vertical="center" wrapText="1"/>
    </xf>
    <xf numFmtId="3" fontId="7" fillId="0" borderId="11" xfId="37" applyNumberFormat="1" applyFont="1" applyFill="1" applyBorder="1" applyAlignment="1">
      <alignment horizontal="right" vertical="center" wrapText="1"/>
    </xf>
    <xf numFmtId="4" fontId="7" fillId="0" borderId="15" xfId="37" applyNumberFormat="1" applyFont="1" applyFill="1" applyBorder="1" applyAlignment="1">
      <alignment horizontal="right" vertical="center" wrapText="1"/>
    </xf>
    <xf numFmtId="4" fontId="7" fillId="0" borderId="11" xfId="37" applyNumberFormat="1" applyFont="1" applyFill="1" applyBorder="1" applyAlignment="1">
      <alignment horizontal="right" vertical="center" wrapText="1"/>
    </xf>
    <xf numFmtId="0" fontId="2" fillId="19" borderId="21" xfId="37" applyFont="1" applyFill="1" applyBorder="1" applyAlignment="1">
      <alignment horizontal="center" vertical="center" wrapText="1"/>
    </xf>
    <xf numFmtId="0" fontId="2" fillId="19" borderId="23" xfId="37" applyFont="1" applyFill="1" applyBorder="1" applyAlignment="1">
      <alignment horizontal="center" vertical="center" wrapText="1"/>
    </xf>
    <xf numFmtId="0" fontId="2" fillId="19" borderId="13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8" fillId="19" borderId="19" xfId="37" applyFont="1" applyFill="1" applyBorder="1" applyAlignment="1">
      <alignment horizontal="center" vertical="center" wrapText="1"/>
    </xf>
    <xf numFmtId="0" fontId="8" fillId="19" borderId="20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8" fillId="19" borderId="15" xfId="37" applyFont="1" applyFill="1" applyBorder="1" applyAlignment="1">
      <alignment horizontal="center" vertical="center" wrapText="1"/>
    </xf>
    <xf numFmtId="0" fontId="8" fillId="19" borderId="14" xfId="37" applyFont="1" applyFill="1" applyBorder="1" applyAlignment="1">
      <alignment horizontal="center" vertical="center" wrapText="1"/>
    </xf>
    <xf numFmtId="0" fontId="8" fillId="19" borderId="11" xfId="37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activeCell="A6" sqref="A6:A11"/>
    </sheetView>
  </sheetViews>
  <sheetFormatPr defaultRowHeight="13.5" customHeight="1" x14ac:dyDescent="0.2"/>
  <cols>
    <col min="1" max="1" width="16.42578125" style="2" customWidth="1"/>
    <col min="2" max="2" width="14.7109375" style="2" customWidth="1"/>
    <col min="3" max="3" width="15.140625" style="2" customWidth="1"/>
    <col min="4" max="4" width="12.5703125" style="2" customWidth="1"/>
    <col min="5" max="5" width="11.42578125" style="2" customWidth="1"/>
    <col min="6" max="7" width="12.5703125" style="2" customWidth="1"/>
    <col min="8" max="8" width="12" style="2" customWidth="1"/>
    <col min="9" max="9" width="11.7109375" style="2" customWidth="1"/>
    <col min="10" max="10" width="13" style="2" customWidth="1"/>
    <col min="11" max="11" width="12.140625" style="2" customWidth="1"/>
    <col min="12" max="12" width="13.28515625" style="2" customWidth="1"/>
    <col min="13" max="13" width="12.85546875" style="2" customWidth="1"/>
    <col min="14" max="14" width="12" style="2" customWidth="1"/>
    <col min="15" max="17" width="11.7109375" style="2" customWidth="1"/>
    <col min="18" max="16384" width="9.140625" style="2"/>
  </cols>
  <sheetData>
    <row r="1" spans="1:17" ht="75" customHeight="1" x14ac:dyDescent="0.2">
      <c r="A1" s="33" t="str">
        <f>CONCATENATE("Informacja z wykonania budżetów jednostek samorządu terytorialnego za ",$C$94," ",$B$95," roku")</f>
        <v>Informacja z wykonania budżetów jednostek samorządu terytorialnego za I Kwartał 2022 roku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5" spans="1:17" ht="13.5" customHeight="1" x14ac:dyDescent="0.2">
      <c r="B5" s="11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0"/>
      <c r="O5" s="10"/>
      <c r="P5" s="10"/>
      <c r="Q5" s="10"/>
    </row>
    <row r="6" spans="1:17" ht="13.5" customHeight="1" x14ac:dyDescent="0.2">
      <c r="A6" s="69" t="s">
        <v>0</v>
      </c>
      <c r="B6" s="34" t="s">
        <v>61</v>
      </c>
      <c r="C6" s="29" t="s">
        <v>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29" t="s">
        <v>64</v>
      </c>
      <c r="P6" s="30"/>
      <c r="Q6" s="31"/>
    </row>
    <row r="7" spans="1:17" ht="13.5" customHeight="1" x14ac:dyDescent="0.2">
      <c r="A7" s="70"/>
      <c r="B7" s="35"/>
      <c r="C7" s="36" t="s">
        <v>62</v>
      </c>
      <c r="D7" s="36" t="s">
        <v>73</v>
      </c>
      <c r="E7" s="36" t="s">
        <v>66</v>
      </c>
      <c r="F7" s="36" t="s">
        <v>67</v>
      </c>
      <c r="G7" s="36" t="s">
        <v>27</v>
      </c>
      <c r="H7" s="36" t="s">
        <v>28</v>
      </c>
      <c r="I7" s="66" t="s">
        <v>63</v>
      </c>
      <c r="J7" s="36" t="s">
        <v>16</v>
      </c>
      <c r="K7" s="36" t="s">
        <v>17</v>
      </c>
      <c r="L7" s="36" t="s">
        <v>18</v>
      </c>
      <c r="M7" s="36" t="s">
        <v>19</v>
      </c>
      <c r="N7" s="35" t="s">
        <v>20</v>
      </c>
      <c r="O7" s="32" t="s">
        <v>21</v>
      </c>
      <c r="P7" s="32" t="s">
        <v>22</v>
      </c>
      <c r="Q7" s="32" t="s">
        <v>23</v>
      </c>
    </row>
    <row r="8" spans="1:17" ht="13.5" customHeight="1" x14ac:dyDescent="0.2">
      <c r="A8" s="70"/>
      <c r="B8" s="35"/>
      <c r="C8" s="32"/>
      <c r="D8" s="32"/>
      <c r="E8" s="32"/>
      <c r="F8" s="32"/>
      <c r="G8" s="32"/>
      <c r="H8" s="32"/>
      <c r="I8" s="66"/>
      <c r="J8" s="32"/>
      <c r="K8" s="32"/>
      <c r="L8" s="32"/>
      <c r="M8" s="32"/>
      <c r="N8" s="35"/>
      <c r="O8" s="32"/>
      <c r="P8" s="32"/>
      <c r="Q8" s="32"/>
    </row>
    <row r="9" spans="1:17" ht="13.5" customHeight="1" x14ac:dyDescent="0.2">
      <c r="A9" s="70"/>
      <c r="B9" s="35"/>
      <c r="C9" s="32"/>
      <c r="D9" s="32"/>
      <c r="E9" s="32"/>
      <c r="F9" s="32"/>
      <c r="G9" s="32"/>
      <c r="H9" s="32"/>
      <c r="I9" s="66"/>
      <c r="J9" s="32"/>
      <c r="K9" s="32"/>
      <c r="L9" s="32"/>
      <c r="M9" s="32"/>
      <c r="N9" s="35"/>
      <c r="O9" s="32"/>
      <c r="P9" s="32"/>
      <c r="Q9" s="32"/>
    </row>
    <row r="10" spans="1:17" ht="11.25" customHeight="1" x14ac:dyDescent="0.2">
      <c r="A10" s="70"/>
      <c r="B10" s="35"/>
      <c r="C10" s="32"/>
      <c r="D10" s="32"/>
      <c r="E10" s="32"/>
      <c r="F10" s="32"/>
      <c r="G10" s="32"/>
      <c r="H10" s="32"/>
      <c r="I10" s="66"/>
      <c r="J10" s="32"/>
      <c r="K10" s="32"/>
      <c r="L10" s="32"/>
      <c r="M10" s="32"/>
      <c r="N10" s="35"/>
      <c r="O10" s="32"/>
      <c r="P10" s="32"/>
      <c r="Q10" s="32"/>
    </row>
    <row r="11" spans="1:17" ht="27.75" customHeight="1" x14ac:dyDescent="0.2">
      <c r="A11" s="71"/>
      <c r="B11" s="36"/>
      <c r="C11" s="32"/>
      <c r="D11" s="32"/>
      <c r="E11" s="32"/>
      <c r="F11" s="32"/>
      <c r="G11" s="32"/>
      <c r="H11" s="32"/>
      <c r="I11" s="67"/>
      <c r="J11" s="32"/>
      <c r="K11" s="32"/>
      <c r="L11" s="32"/>
      <c r="M11" s="32"/>
      <c r="N11" s="36"/>
      <c r="O11" s="32"/>
      <c r="P11" s="32"/>
      <c r="Q11" s="32"/>
    </row>
    <row r="12" spans="1:17" ht="13.5" customHeight="1" x14ac:dyDescent="0.2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  <c r="O12" s="12">
        <v>15</v>
      </c>
      <c r="P12" s="12">
        <v>16</v>
      </c>
      <c r="Q12" s="12">
        <v>17</v>
      </c>
    </row>
    <row r="13" spans="1:17" ht="52.5" customHeight="1" x14ac:dyDescent="0.2">
      <c r="A13" s="19" t="s">
        <v>45</v>
      </c>
      <c r="B13" s="21">
        <f>88867260731.52</f>
        <v>88867260731.520004</v>
      </c>
      <c r="C13" s="21">
        <f>64944681140.79</f>
        <v>64944681140.790001</v>
      </c>
      <c r="D13" s="21">
        <f>3463450994.8</f>
        <v>3463450994.8000002</v>
      </c>
      <c r="E13" s="21">
        <f>650511072.42</f>
        <v>650511072.41999996</v>
      </c>
      <c r="F13" s="21">
        <f>666421907.79</f>
        <v>666421907.78999996</v>
      </c>
      <c r="G13" s="21">
        <f>2143396545.32</f>
        <v>2143396545.3199999</v>
      </c>
      <c r="H13" s="21">
        <f>3121469.27</f>
        <v>3121469.27</v>
      </c>
      <c r="I13" s="21">
        <f>0</f>
        <v>0</v>
      </c>
      <c r="J13" s="21">
        <f>56839453123.97</f>
        <v>56839453123.970001</v>
      </c>
      <c r="K13" s="21">
        <f>2606711313.59</f>
        <v>2606711313.5900002</v>
      </c>
      <c r="L13" s="21">
        <f>1985561728.32</f>
        <v>1985561728.3199999</v>
      </c>
      <c r="M13" s="21">
        <f>31179039.4</f>
        <v>31179039.399999999</v>
      </c>
      <c r="N13" s="21">
        <f>18324940.71</f>
        <v>18324940.710000001</v>
      </c>
      <c r="O13" s="21">
        <f>23922579590.73</f>
        <v>23922579590.73</v>
      </c>
      <c r="P13" s="21">
        <f>23845878193.51</f>
        <v>23845878193.509998</v>
      </c>
      <c r="Q13" s="21">
        <f>76701397.22</f>
        <v>76701397.219999999</v>
      </c>
    </row>
    <row r="14" spans="1:17" ht="41.25" customHeight="1" x14ac:dyDescent="0.2">
      <c r="A14" s="19" t="s">
        <v>75</v>
      </c>
      <c r="B14" s="21">
        <f>4582989606.56</f>
        <v>4582989606.5600004</v>
      </c>
      <c r="C14" s="21">
        <f>4582989606.56</f>
        <v>4582989606.5600004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4367678507</f>
        <v>4367678507</v>
      </c>
      <c r="K14" s="21">
        <f>215187000</f>
        <v>215187000</v>
      </c>
      <c r="L14" s="21">
        <f>124099.56</f>
        <v>124099.56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2.5" x14ac:dyDescent="0.2">
      <c r="A15" s="16" t="s">
        <v>46</v>
      </c>
      <c r="B15" s="22">
        <f>4000000</f>
        <v>4000000</v>
      </c>
      <c r="C15" s="22">
        <f>4000000</f>
        <v>4000000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4000000</f>
        <v>4000000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3.25" customHeight="1" x14ac:dyDescent="0.2">
      <c r="A16" s="16" t="s">
        <v>47</v>
      </c>
      <c r="B16" s="22">
        <f>4578989606.56</f>
        <v>4578989606.5600004</v>
      </c>
      <c r="C16" s="22">
        <f>4578989606.56</f>
        <v>4578989606.5600004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4363678507</f>
        <v>4363678507</v>
      </c>
      <c r="K16" s="22">
        <f>215187000</f>
        <v>215187000</v>
      </c>
      <c r="L16" s="22">
        <f>124099.56</f>
        <v>124099.56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3" customHeight="1" x14ac:dyDescent="0.2">
      <c r="A17" s="19" t="s">
        <v>76</v>
      </c>
      <c r="B17" s="21">
        <f>84225854019.17</f>
        <v>84225854019.169998</v>
      </c>
      <c r="C17" s="21">
        <f>60303275825.66</f>
        <v>60303275825.660004</v>
      </c>
      <c r="D17" s="21">
        <f>3447581740.53</f>
        <v>3447581740.5300002</v>
      </c>
      <c r="E17" s="21">
        <f>650063276.8</f>
        <v>650063276.79999995</v>
      </c>
      <c r="F17" s="21">
        <f>666402962.36</f>
        <v>666402962.36000001</v>
      </c>
      <c r="G17" s="21">
        <f>2131115501.37</f>
        <v>2131115501.3699999</v>
      </c>
      <c r="H17" s="21">
        <f>0</f>
        <v>0</v>
      </c>
      <c r="I17" s="21">
        <f>0</f>
        <v>0</v>
      </c>
      <c r="J17" s="21">
        <f>52471362952.02</f>
        <v>52471362952.019997</v>
      </c>
      <c r="K17" s="21">
        <f>2391507655.99</f>
        <v>2391507655.9899998</v>
      </c>
      <c r="L17" s="21">
        <f>1968846863</f>
        <v>1968846863</v>
      </c>
      <c r="M17" s="21">
        <f>11137475.98</f>
        <v>11137475.98</v>
      </c>
      <c r="N17" s="21">
        <f>12839138.14</f>
        <v>12839138.140000001</v>
      </c>
      <c r="O17" s="21">
        <f>23922578193.51</f>
        <v>23922578193.509998</v>
      </c>
      <c r="P17" s="21">
        <f>23845878193.51</f>
        <v>23845878193.509998</v>
      </c>
      <c r="Q17" s="21">
        <f>76700000</f>
        <v>76700000</v>
      </c>
    </row>
    <row r="18" spans="1:17" ht="22.5" x14ac:dyDescent="0.2">
      <c r="A18" s="16" t="s">
        <v>48</v>
      </c>
      <c r="B18" s="22">
        <f>137049332.77</f>
        <v>137049332.77000001</v>
      </c>
      <c r="C18" s="22">
        <f>137049332.77</f>
        <v>137049332.77000001</v>
      </c>
      <c r="D18" s="22">
        <f>33288964.47</f>
        <v>33288964.469999999</v>
      </c>
      <c r="E18" s="22">
        <f>15012736.99</f>
        <v>15012736.99</v>
      </c>
      <c r="F18" s="22">
        <f>1686799.68</f>
        <v>1686799.68</v>
      </c>
      <c r="G18" s="22">
        <f>16589427.8</f>
        <v>16589427.800000001</v>
      </c>
      <c r="H18" s="22">
        <f>0</f>
        <v>0</v>
      </c>
      <c r="I18" s="22">
        <f>0</f>
        <v>0</v>
      </c>
      <c r="J18" s="22">
        <f>95742415.69</f>
        <v>95742415.689999998</v>
      </c>
      <c r="K18" s="22">
        <f>6387777.83</f>
        <v>6387777.8300000001</v>
      </c>
      <c r="L18" s="22">
        <f>831939.48</f>
        <v>831939.48</v>
      </c>
      <c r="M18" s="22">
        <f>450000</f>
        <v>450000</v>
      </c>
      <c r="N18" s="22">
        <f>348235.3</f>
        <v>348235.3</v>
      </c>
      <c r="O18" s="22">
        <f>0</f>
        <v>0</v>
      </c>
      <c r="P18" s="22">
        <f>0</f>
        <v>0</v>
      </c>
      <c r="Q18" s="22">
        <f>0</f>
        <v>0</v>
      </c>
    </row>
    <row r="19" spans="1:17" ht="24" customHeight="1" x14ac:dyDescent="0.2">
      <c r="A19" s="16" t="s">
        <v>49</v>
      </c>
      <c r="B19" s="22">
        <f>84088804686.4</f>
        <v>84088804686.399994</v>
      </c>
      <c r="C19" s="22">
        <f>60166226492.89</f>
        <v>60166226492.889999</v>
      </c>
      <c r="D19" s="22">
        <f>3414292776.06</f>
        <v>3414292776.0599999</v>
      </c>
      <c r="E19" s="22">
        <f>635050539.81</f>
        <v>635050539.80999994</v>
      </c>
      <c r="F19" s="22">
        <f>664716162.68</f>
        <v>664716162.67999995</v>
      </c>
      <c r="G19" s="22">
        <f>2114526073.57</f>
        <v>2114526073.5699999</v>
      </c>
      <c r="H19" s="22">
        <f>0</f>
        <v>0</v>
      </c>
      <c r="I19" s="22">
        <f>0</f>
        <v>0</v>
      </c>
      <c r="J19" s="22">
        <f>52375620536.33</f>
        <v>52375620536.330002</v>
      </c>
      <c r="K19" s="22">
        <f>2385119878.16</f>
        <v>2385119878.1599998</v>
      </c>
      <c r="L19" s="22">
        <f>1968014923.52</f>
        <v>1968014923.52</v>
      </c>
      <c r="M19" s="22">
        <f>10687475.98</f>
        <v>10687475.98</v>
      </c>
      <c r="N19" s="22">
        <f>12490902.84</f>
        <v>12490902.84</v>
      </c>
      <c r="O19" s="22">
        <f>23922578193.51</f>
        <v>23922578193.509998</v>
      </c>
      <c r="P19" s="22">
        <f>23845878193.51</f>
        <v>23845878193.509998</v>
      </c>
      <c r="Q19" s="22">
        <f>76700000</f>
        <v>76700000</v>
      </c>
    </row>
    <row r="20" spans="1:17" ht="24.75" customHeight="1" x14ac:dyDescent="0.2">
      <c r="A20" s="26" t="s">
        <v>50</v>
      </c>
      <c r="B20" s="27">
        <f>0</f>
        <v>0</v>
      </c>
      <c r="C20" s="27">
        <f>0</f>
        <v>0</v>
      </c>
      <c r="D20" s="27">
        <f>0</f>
        <v>0</v>
      </c>
      <c r="E20" s="27">
        <f>0</f>
        <v>0</v>
      </c>
      <c r="F20" s="27">
        <f>0</f>
        <v>0</v>
      </c>
      <c r="G20" s="27">
        <f>0</f>
        <v>0</v>
      </c>
      <c r="H20" s="27">
        <f>0</f>
        <v>0</v>
      </c>
      <c r="I20" s="27">
        <f>0</f>
        <v>0</v>
      </c>
      <c r="J20" s="27">
        <f>0</f>
        <v>0</v>
      </c>
      <c r="K20" s="27">
        <f>0</f>
        <v>0</v>
      </c>
      <c r="L20" s="27">
        <f>0</f>
        <v>0</v>
      </c>
      <c r="M20" s="27">
        <f>0</f>
        <v>0</v>
      </c>
      <c r="N20" s="27">
        <f>0</f>
        <v>0</v>
      </c>
      <c r="O20" s="27">
        <f>0</f>
        <v>0</v>
      </c>
      <c r="P20" s="27">
        <f>0</f>
        <v>0</v>
      </c>
      <c r="Q20" s="27">
        <f>0</f>
        <v>0</v>
      </c>
    </row>
    <row r="21" spans="1:17" ht="38.25" customHeight="1" x14ac:dyDescent="0.2">
      <c r="A21" s="20" t="s">
        <v>77</v>
      </c>
      <c r="B21" s="21">
        <f>58417105.79</f>
        <v>58417105.789999999</v>
      </c>
      <c r="C21" s="21">
        <f>58415708.57</f>
        <v>58415708.57</v>
      </c>
      <c r="D21" s="21">
        <f>15869254.27</f>
        <v>15869254.27</v>
      </c>
      <c r="E21" s="21">
        <f>447795.62</f>
        <v>447795.62</v>
      </c>
      <c r="F21" s="21">
        <f>18945.43</f>
        <v>18945.43</v>
      </c>
      <c r="G21" s="21">
        <f>12281043.95</f>
        <v>12281043.949999999</v>
      </c>
      <c r="H21" s="21">
        <f>3121469.27</f>
        <v>3121469.27</v>
      </c>
      <c r="I21" s="21">
        <f>0</f>
        <v>0</v>
      </c>
      <c r="J21" s="21">
        <f>411664.95</f>
        <v>411664.95</v>
      </c>
      <c r="K21" s="21">
        <f>16657.6</f>
        <v>16657.599999999999</v>
      </c>
      <c r="L21" s="21">
        <f>16590765.76</f>
        <v>16590765.76</v>
      </c>
      <c r="M21" s="21">
        <f>20041563.42</f>
        <v>20041563.420000002</v>
      </c>
      <c r="N21" s="21">
        <f>5485802.57</f>
        <v>5485802.5700000003</v>
      </c>
      <c r="O21" s="21">
        <f>1397.22</f>
        <v>1397.22</v>
      </c>
      <c r="P21" s="21">
        <f>0</f>
        <v>0</v>
      </c>
      <c r="Q21" s="21">
        <f>1397.22</f>
        <v>1397.22</v>
      </c>
    </row>
    <row r="22" spans="1:17" ht="33" customHeight="1" x14ac:dyDescent="0.2">
      <c r="A22" s="17" t="s">
        <v>51</v>
      </c>
      <c r="B22" s="22">
        <f>34998620.4</f>
        <v>34998620.399999999</v>
      </c>
      <c r="C22" s="22">
        <f>34998620.4</f>
        <v>34998620.399999999</v>
      </c>
      <c r="D22" s="22">
        <f>2937208.41</f>
        <v>2937208.41</v>
      </c>
      <c r="E22" s="22">
        <f>8761.04</f>
        <v>8761.0400000000009</v>
      </c>
      <c r="F22" s="22">
        <f>3461</f>
        <v>3461</v>
      </c>
      <c r="G22" s="22">
        <f>2924986.37</f>
        <v>2924986.37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11063827.44</f>
        <v>11063827.439999999</v>
      </c>
      <c r="M22" s="22">
        <f>15619661.79</f>
        <v>15619661.789999999</v>
      </c>
      <c r="N22" s="22">
        <f>5377922.76</f>
        <v>5377922.7599999998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23418485.39</f>
        <v>23418485.390000001</v>
      </c>
      <c r="C23" s="22">
        <f>23417088.17</f>
        <v>23417088.170000002</v>
      </c>
      <c r="D23" s="22">
        <f>12932045.86</f>
        <v>12932045.859999999</v>
      </c>
      <c r="E23" s="22">
        <f>439034.58</f>
        <v>439034.58</v>
      </c>
      <c r="F23" s="22">
        <f>15484.43</f>
        <v>15484.43</v>
      </c>
      <c r="G23" s="22">
        <f>9356057.58</f>
        <v>9356057.5800000001</v>
      </c>
      <c r="H23" s="22">
        <f>3121469.27</f>
        <v>3121469.27</v>
      </c>
      <c r="I23" s="22">
        <f>0</f>
        <v>0</v>
      </c>
      <c r="J23" s="22">
        <f>411664.95</f>
        <v>411664.95</v>
      </c>
      <c r="K23" s="22">
        <f>16657.6</f>
        <v>16657.599999999999</v>
      </c>
      <c r="L23" s="22">
        <f>5526938.32</f>
        <v>5526938.3200000003</v>
      </c>
      <c r="M23" s="22">
        <f>4421901.63</f>
        <v>4421901.63</v>
      </c>
      <c r="N23" s="22">
        <f>107879.81</f>
        <v>107879.81</v>
      </c>
      <c r="O23" s="22">
        <f>1397.22</f>
        <v>1397.22</v>
      </c>
      <c r="P23" s="22">
        <f>0</f>
        <v>0</v>
      </c>
      <c r="Q23" s="22">
        <f>1397.22</f>
        <v>1397.22</v>
      </c>
    </row>
    <row r="24" spans="1:17" ht="19.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9.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9.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9.5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9.5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9.5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.75" customHeight="1" x14ac:dyDescent="0.2">
      <c r="A30" s="33" t="str">
        <f>CONCATENATE("Informacja z wykonania budżetów jednostek samorządu terytorialnego za ",$C$94," ",$B$95," roku")</f>
        <v>Informacja z wykonania budżetów jednostek samorządu terytorialnego za I Kwartał 2022 roku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7" ht="13.5" customHeight="1" x14ac:dyDescent="0.2">
      <c r="A32" s="43" t="s">
        <v>11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4" spans="1:17" ht="13.5" customHeight="1" x14ac:dyDescent="0.2">
      <c r="A34" s="69" t="s">
        <v>0</v>
      </c>
      <c r="B34" s="34" t="s">
        <v>12</v>
      </c>
      <c r="C34" s="72" t="s">
        <v>14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72" t="s">
        <v>24</v>
      </c>
      <c r="P34" s="73"/>
      <c r="Q34" s="74"/>
    </row>
    <row r="35" spans="1:17" ht="13.5" customHeight="1" x14ac:dyDescent="0.2">
      <c r="A35" s="70"/>
      <c r="B35" s="35"/>
      <c r="C35" s="35" t="s">
        <v>13</v>
      </c>
      <c r="D35" s="32" t="s">
        <v>15</v>
      </c>
      <c r="E35" s="32" t="s">
        <v>25</v>
      </c>
      <c r="F35" s="32" t="s">
        <v>26</v>
      </c>
      <c r="G35" s="32" t="s">
        <v>70</v>
      </c>
      <c r="H35" s="32" t="s">
        <v>28</v>
      </c>
      <c r="I35" s="32" t="s">
        <v>1</v>
      </c>
      <c r="J35" s="32" t="s">
        <v>16</v>
      </c>
      <c r="K35" s="32" t="s">
        <v>17</v>
      </c>
      <c r="L35" s="32" t="s">
        <v>18</v>
      </c>
      <c r="M35" s="32" t="s">
        <v>19</v>
      </c>
      <c r="N35" s="37" t="s">
        <v>20</v>
      </c>
      <c r="O35" s="32" t="s">
        <v>21</v>
      </c>
      <c r="P35" s="32" t="s">
        <v>22</v>
      </c>
      <c r="Q35" s="34" t="s">
        <v>23</v>
      </c>
    </row>
    <row r="36" spans="1:17" ht="13.5" customHeight="1" x14ac:dyDescent="0.2">
      <c r="A36" s="70"/>
      <c r="B36" s="35"/>
      <c r="C36" s="35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7"/>
      <c r="O36" s="32"/>
      <c r="P36" s="32"/>
      <c r="Q36" s="35"/>
    </row>
    <row r="37" spans="1:17" ht="11.25" customHeight="1" x14ac:dyDescent="0.2">
      <c r="A37" s="70"/>
      <c r="B37" s="35"/>
      <c r="C37" s="35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7"/>
      <c r="O37" s="32"/>
      <c r="P37" s="32"/>
      <c r="Q37" s="35"/>
    </row>
    <row r="38" spans="1:17" ht="32.25" customHeight="1" x14ac:dyDescent="0.2">
      <c r="A38" s="71"/>
      <c r="B38" s="36"/>
      <c r="C38" s="36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7"/>
      <c r="O38" s="32"/>
      <c r="P38" s="32"/>
      <c r="Q38" s="36"/>
    </row>
    <row r="39" spans="1:17" ht="13.5" customHeight="1" x14ac:dyDescent="0.2">
      <c r="A39" s="12">
        <v>1</v>
      </c>
      <c r="B39" s="12">
        <v>2</v>
      </c>
      <c r="C39" s="12">
        <v>3</v>
      </c>
      <c r="D39" s="12">
        <v>4</v>
      </c>
      <c r="E39" s="12">
        <v>5</v>
      </c>
      <c r="F39" s="12">
        <v>6</v>
      </c>
      <c r="G39" s="12">
        <v>7</v>
      </c>
      <c r="H39" s="12">
        <v>8</v>
      </c>
      <c r="I39" s="12">
        <v>9</v>
      </c>
      <c r="J39" s="12">
        <v>10</v>
      </c>
      <c r="K39" s="12">
        <v>11</v>
      </c>
      <c r="L39" s="12">
        <v>12</v>
      </c>
      <c r="M39" s="12">
        <v>13</v>
      </c>
      <c r="N39" s="12">
        <v>14</v>
      </c>
      <c r="O39" s="12">
        <v>15</v>
      </c>
      <c r="P39" s="12">
        <v>16</v>
      </c>
      <c r="Q39" s="12">
        <v>17</v>
      </c>
    </row>
    <row r="40" spans="1:17" ht="35.25" customHeight="1" x14ac:dyDescent="0.2">
      <c r="A40" s="28" t="s">
        <v>40</v>
      </c>
      <c r="B40" s="23">
        <f>7839602.04</f>
        <v>7839602.04</v>
      </c>
      <c r="C40" s="23">
        <f>7839602.04</f>
        <v>7839602.04</v>
      </c>
      <c r="D40" s="23">
        <f>1050000</f>
        <v>1050000</v>
      </c>
      <c r="E40" s="23">
        <f>50000</f>
        <v>50000</v>
      </c>
      <c r="F40" s="23">
        <f>0</f>
        <v>0</v>
      </c>
      <c r="G40" s="23">
        <f>1000000</f>
        <v>1000000</v>
      </c>
      <c r="H40" s="23">
        <f>0</f>
        <v>0</v>
      </c>
      <c r="I40" s="23">
        <f>0</f>
        <v>0</v>
      </c>
      <c r="J40" s="23">
        <f>183554.8</f>
        <v>183554.8</v>
      </c>
      <c r="K40" s="23">
        <f>25590</f>
        <v>25590</v>
      </c>
      <c r="L40" s="23">
        <f>1980895.37</f>
        <v>1980895.37</v>
      </c>
      <c r="M40" s="23">
        <f>4558523.5</f>
        <v>4558523.5</v>
      </c>
      <c r="N40" s="23">
        <f>41038.37</f>
        <v>41038.370000000003</v>
      </c>
      <c r="O40" s="23">
        <f>0</f>
        <v>0</v>
      </c>
      <c r="P40" s="23">
        <f>0</f>
        <v>0</v>
      </c>
      <c r="Q40" s="23">
        <f>0</f>
        <v>0</v>
      </c>
    </row>
    <row r="41" spans="1:17" ht="28.5" customHeight="1" x14ac:dyDescent="0.2">
      <c r="A41" s="18" t="s">
        <v>29</v>
      </c>
      <c r="B41" s="24">
        <f>1052931.07</f>
        <v>1052931.07</v>
      </c>
      <c r="C41" s="24">
        <f>1052931.07</f>
        <v>1052931.07</v>
      </c>
      <c r="D41" s="24">
        <f>1000000</f>
        <v>1000000</v>
      </c>
      <c r="E41" s="24">
        <f>0</f>
        <v>0</v>
      </c>
      <c r="F41" s="24">
        <f>0</f>
        <v>0</v>
      </c>
      <c r="G41" s="24">
        <f>1000000</f>
        <v>1000000</v>
      </c>
      <c r="H41" s="24">
        <f>0</f>
        <v>0</v>
      </c>
      <c r="I41" s="24">
        <f>0</f>
        <v>0</v>
      </c>
      <c r="J41" s="24">
        <f>6000</f>
        <v>6000</v>
      </c>
      <c r="K41" s="24">
        <f>0</f>
        <v>0</v>
      </c>
      <c r="L41" s="24">
        <f>28629</f>
        <v>28629</v>
      </c>
      <c r="M41" s="24">
        <f>18302.07</f>
        <v>18302.07</v>
      </c>
      <c r="N41" s="24">
        <f>0</f>
        <v>0</v>
      </c>
      <c r="O41" s="24">
        <f>0</f>
        <v>0</v>
      </c>
      <c r="P41" s="24">
        <f>0</f>
        <v>0</v>
      </c>
      <c r="Q41" s="24">
        <f>0</f>
        <v>0</v>
      </c>
    </row>
    <row r="42" spans="1:17" ht="28.5" customHeight="1" x14ac:dyDescent="0.2">
      <c r="A42" s="18" t="s">
        <v>30</v>
      </c>
      <c r="B42" s="24">
        <f>6786670.97</f>
        <v>6786670.9699999997</v>
      </c>
      <c r="C42" s="24">
        <f>6786670.97</f>
        <v>6786670.9699999997</v>
      </c>
      <c r="D42" s="24">
        <f>50000</f>
        <v>50000</v>
      </c>
      <c r="E42" s="24">
        <f>50000</f>
        <v>50000</v>
      </c>
      <c r="F42" s="24">
        <f>0</f>
        <v>0</v>
      </c>
      <c r="G42" s="24">
        <f>0</f>
        <v>0</v>
      </c>
      <c r="H42" s="24">
        <f>0</f>
        <v>0</v>
      </c>
      <c r="I42" s="24">
        <f>0</f>
        <v>0</v>
      </c>
      <c r="J42" s="24">
        <f>177554.8</f>
        <v>177554.8</v>
      </c>
      <c r="K42" s="24">
        <f>25590</f>
        <v>25590</v>
      </c>
      <c r="L42" s="24">
        <f>1952266.37</f>
        <v>1952266.37</v>
      </c>
      <c r="M42" s="24">
        <f>4540221.43</f>
        <v>4540221.43</v>
      </c>
      <c r="N42" s="24">
        <f>41038.37</f>
        <v>41038.370000000003</v>
      </c>
      <c r="O42" s="24">
        <f>0</f>
        <v>0</v>
      </c>
      <c r="P42" s="24">
        <f>0</f>
        <v>0</v>
      </c>
      <c r="Q42" s="24">
        <f>0</f>
        <v>0</v>
      </c>
    </row>
    <row r="43" spans="1:17" ht="28.5" customHeight="1" x14ac:dyDescent="0.2">
      <c r="A43" s="28" t="s">
        <v>41</v>
      </c>
      <c r="B43" s="23">
        <f>1304024319.3</f>
        <v>1304024319.3</v>
      </c>
      <c r="C43" s="23">
        <f>1304020435.64</f>
        <v>1304020435.6400001</v>
      </c>
      <c r="D43" s="23">
        <f>608919639.92</f>
        <v>608919639.91999996</v>
      </c>
      <c r="E43" s="23">
        <f>168778.13</f>
        <v>168778.13</v>
      </c>
      <c r="F43" s="23">
        <f>3132892.42</f>
        <v>3132892.42</v>
      </c>
      <c r="G43" s="23">
        <f>583867969.37</f>
        <v>583867969.37</v>
      </c>
      <c r="H43" s="23">
        <f>21750000</f>
        <v>21750000</v>
      </c>
      <c r="I43" s="23">
        <f>0</f>
        <v>0</v>
      </c>
      <c r="J43" s="23">
        <f>3047345.17</f>
        <v>3047345.17</v>
      </c>
      <c r="K43" s="23">
        <f>194776.91</f>
        <v>194776.91</v>
      </c>
      <c r="L43" s="23">
        <f>377620419.18</f>
        <v>377620419.18000001</v>
      </c>
      <c r="M43" s="23">
        <f>279970916.91</f>
        <v>279970916.91000003</v>
      </c>
      <c r="N43" s="23">
        <f>34267337.55</f>
        <v>34267337.549999997</v>
      </c>
      <c r="O43" s="23">
        <f>3883.66</f>
        <v>3883.66</v>
      </c>
      <c r="P43" s="23">
        <f>3883.66</f>
        <v>3883.66</v>
      </c>
      <c r="Q43" s="23">
        <f>0</f>
        <v>0</v>
      </c>
    </row>
    <row r="44" spans="1:17" ht="32.25" customHeight="1" x14ac:dyDescent="0.2">
      <c r="A44" s="18" t="s">
        <v>31</v>
      </c>
      <c r="B44" s="24">
        <f>141629737.84</f>
        <v>141629737.84</v>
      </c>
      <c r="C44" s="24">
        <f>141629737.84</f>
        <v>141629737.84</v>
      </c>
      <c r="D44" s="24">
        <f>71922668.26</f>
        <v>71922668.260000005</v>
      </c>
      <c r="E44" s="24">
        <f>75139.41</f>
        <v>75139.41</v>
      </c>
      <c r="F44" s="24">
        <f>3000000</f>
        <v>3000000</v>
      </c>
      <c r="G44" s="24">
        <f>51747528.85</f>
        <v>51747528.850000001</v>
      </c>
      <c r="H44" s="24">
        <f>17100000</f>
        <v>17100000</v>
      </c>
      <c r="I44" s="24">
        <f>0</f>
        <v>0</v>
      </c>
      <c r="J44" s="24">
        <f>0</f>
        <v>0</v>
      </c>
      <c r="K44" s="24">
        <f>154560</f>
        <v>154560</v>
      </c>
      <c r="L44" s="24">
        <f>34893909.54</f>
        <v>34893909.539999999</v>
      </c>
      <c r="M44" s="24">
        <f>24032084.08</f>
        <v>24032084.079999998</v>
      </c>
      <c r="N44" s="24">
        <f>10626515.96</f>
        <v>10626515.960000001</v>
      </c>
      <c r="O44" s="24">
        <f>0</f>
        <v>0</v>
      </c>
      <c r="P44" s="24">
        <f>0</f>
        <v>0</v>
      </c>
      <c r="Q44" s="24">
        <f>0</f>
        <v>0</v>
      </c>
    </row>
    <row r="45" spans="1:17" ht="32.25" customHeight="1" x14ac:dyDescent="0.2">
      <c r="A45" s="18" t="s">
        <v>32</v>
      </c>
      <c r="B45" s="24">
        <f>1162394581.46</f>
        <v>1162394581.46</v>
      </c>
      <c r="C45" s="24">
        <f>1162390697.8</f>
        <v>1162390697.8</v>
      </c>
      <c r="D45" s="24">
        <f>536996971.66</f>
        <v>536996971.65999997</v>
      </c>
      <c r="E45" s="24">
        <f>93638.72</f>
        <v>93638.720000000001</v>
      </c>
      <c r="F45" s="24">
        <f>132892.42</f>
        <v>132892.42000000001</v>
      </c>
      <c r="G45" s="24">
        <f>532120440.52</f>
        <v>532120440.51999998</v>
      </c>
      <c r="H45" s="24">
        <f>4650000</f>
        <v>4650000</v>
      </c>
      <c r="I45" s="24">
        <f>0</f>
        <v>0</v>
      </c>
      <c r="J45" s="24">
        <f>3047345.17</f>
        <v>3047345.17</v>
      </c>
      <c r="K45" s="24">
        <f>40216.91</f>
        <v>40216.910000000003</v>
      </c>
      <c r="L45" s="24">
        <f>342726509.64</f>
        <v>342726509.63999999</v>
      </c>
      <c r="M45" s="24">
        <f>255938832.83</f>
        <v>255938832.83000001</v>
      </c>
      <c r="N45" s="24">
        <f>23640821.59</f>
        <v>23640821.59</v>
      </c>
      <c r="O45" s="24">
        <f>3883.66</f>
        <v>3883.66</v>
      </c>
      <c r="P45" s="24">
        <f>3883.66</f>
        <v>3883.66</v>
      </c>
      <c r="Q45" s="24">
        <f>0</f>
        <v>0</v>
      </c>
    </row>
    <row r="46" spans="1:17" ht="35.25" customHeight="1" x14ac:dyDescent="0.2">
      <c r="A46" s="28" t="s">
        <v>42</v>
      </c>
      <c r="B46" s="23">
        <f>69774193318.02</f>
        <v>69774193318.020004</v>
      </c>
      <c r="C46" s="23">
        <f>69774012899.99</f>
        <v>69774012899.990005</v>
      </c>
      <c r="D46" s="23">
        <f>39765833.27</f>
        <v>39765833.270000003</v>
      </c>
      <c r="E46" s="23">
        <f>9473960.59</f>
        <v>9473960.5899999999</v>
      </c>
      <c r="F46" s="23">
        <f>41474.39</f>
        <v>41474.39</v>
      </c>
      <c r="G46" s="23">
        <f>30250398.29</f>
        <v>30250398.289999999</v>
      </c>
      <c r="H46" s="23">
        <f>0</f>
        <v>0</v>
      </c>
      <c r="I46" s="23">
        <f>31695884.61</f>
        <v>31695884.609999999</v>
      </c>
      <c r="J46" s="23">
        <f>69691910302.94</f>
        <v>69691910302.940002</v>
      </c>
      <c r="K46" s="23">
        <f>208355.72</f>
        <v>208355.72</v>
      </c>
      <c r="L46" s="23">
        <f>10028155.21</f>
        <v>10028155.210000001</v>
      </c>
      <c r="M46" s="23">
        <f>153069.86</f>
        <v>153069.85999999999</v>
      </c>
      <c r="N46" s="23">
        <f>251298.38</f>
        <v>251298.38</v>
      </c>
      <c r="O46" s="23">
        <f>180418.03</f>
        <v>180418.03</v>
      </c>
      <c r="P46" s="23">
        <f>180418.03</f>
        <v>180418.03</v>
      </c>
      <c r="Q46" s="23">
        <f>0</f>
        <v>0</v>
      </c>
    </row>
    <row r="47" spans="1:17" ht="28.5" customHeight="1" x14ac:dyDescent="0.2">
      <c r="A47" s="18" t="s">
        <v>33</v>
      </c>
      <c r="B47" s="24">
        <f>19992933.62</f>
        <v>19992933.620000001</v>
      </c>
      <c r="C47" s="24">
        <f>19992933.62</f>
        <v>19992933.620000001</v>
      </c>
      <c r="D47" s="24">
        <f>19967756.18</f>
        <v>19967756.18</v>
      </c>
      <c r="E47" s="24">
        <f>0</f>
        <v>0</v>
      </c>
      <c r="F47" s="24">
        <f>0</f>
        <v>0</v>
      </c>
      <c r="G47" s="24">
        <f>19967756.18</f>
        <v>19967756.18</v>
      </c>
      <c r="H47" s="24">
        <f>0</f>
        <v>0</v>
      </c>
      <c r="I47" s="24">
        <f>0</f>
        <v>0</v>
      </c>
      <c r="J47" s="24">
        <f>25177.44</f>
        <v>25177.439999999999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8.5" customHeight="1" x14ac:dyDescent="0.2">
      <c r="A48" s="18" t="s">
        <v>34</v>
      </c>
      <c r="B48" s="24">
        <f>55899114903.89</f>
        <v>55899114903.889999</v>
      </c>
      <c r="C48" s="24">
        <f>55899114903.89</f>
        <v>55899114903.889999</v>
      </c>
      <c r="D48" s="24">
        <f>19416912.66</f>
        <v>19416912.66</v>
      </c>
      <c r="E48" s="24">
        <f>9295858.65</f>
        <v>9295858.6500000004</v>
      </c>
      <c r="F48" s="24">
        <f>7558.81</f>
        <v>7558.81</v>
      </c>
      <c r="G48" s="24">
        <f>10113495.2</f>
        <v>10113495.199999999</v>
      </c>
      <c r="H48" s="24">
        <f>0</f>
        <v>0</v>
      </c>
      <c r="I48" s="24">
        <f>31643468.61</f>
        <v>31643468.609999999</v>
      </c>
      <c r="J48" s="24">
        <f>55839411647.67</f>
        <v>55839411647.669998</v>
      </c>
      <c r="K48" s="24">
        <f>196033.89</f>
        <v>196033.89</v>
      </c>
      <c r="L48" s="24">
        <f>8339166.11</f>
        <v>8339166.1100000003</v>
      </c>
      <c r="M48" s="24">
        <f>13391.83</f>
        <v>13391.83</v>
      </c>
      <c r="N48" s="24">
        <f>94283.12</f>
        <v>94283.12</v>
      </c>
      <c r="O48" s="24">
        <f>0</f>
        <v>0</v>
      </c>
      <c r="P48" s="24">
        <f>0</f>
        <v>0</v>
      </c>
      <c r="Q48" s="24">
        <f>0</f>
        <v>0</v>
      </c>
    </row>
    <row r="49" spans="1:17" ht="28.5" customHeight="1" x14ac:dyDescent="0.2">
      <c r="A49" s="18" t="s">
        <v>35</v>
      </c>
      <c r="B49" s="24">
        <f>13855085480.51</f>
        <v>13855085480.51</v>
      </c>
      <c r="C49" s="24">
        <f>13854905062.48</f>
        <v>13854905062.48</v>
      </c>
      <c r="D49" s="24">
        <f>381164.43</f>
        <v>381164.43</v>
      </c>
      <c r="E49" s="24">
        <f>178101.94</f>
        <v>178101.94</v>
      </c>
      <c r="F49" s="24">
        <f>33915.58</f>
        <v>33915.58</v>
      </c>
      <c r="G49" s="24">
        <f>169146.91</f>
        <v>169146.91</v>
      </c>
      <c r="H49" s="24">
        <f>0</f>
        <v>0</v>
      </c>
      <c r="I49" s="24">
        <f>52416</f>
        <v>52416</v>
      </c>
      <c r="J49" s="24">
        <f>13852473477.83</f>
        <v>13852473477.83</v>
      </c>
      <c r="K49" s="24">
        <f>12321.83</f>
        <v>12321.83</v>
      </c>
      <c r="L49" s="24">
        <f>1688989.1</f>
        <v>1688989.1</v>
      </c>
      <c r="M49" s="24">
        <f>139678.03</f>
        <v>139678.03</v>
      </c>
      <c r="N49" s="24">
        <f>157015.26</f>
        <v>157015.26</v>
      </c>
      <c r="O49" s="24">
        <f>180418.03</f>
        <v>180418.03</v>
      </c>
      <c r="P49" s="24">
        <f>180418.03</f>
        <v>180418.03</v>
      </c>
      <c r="Q49" s="24">
        <f>0</f>
        <v>0</v>
      </c>
    </row>
    <row r="50" spans="1:17" ht="35.25" customHeight="1" x14ac:dyDescent="0.2">
      <c r="A50" s="28" t="s">
        <v>43</v>
      </c>
      <c r="B50" s="23">
        <f>24412132498.27</f>
        <v>24412132498.27</v>
      </c>
      <c r="C50" s="23">
        <f>24358316064.75</f>
        <v>24358316064.75</v>
      </c>
      <c r="D50" s="23">
        <f>546883644.15</f>
        <v>546883644.14999998</v>
      </c>
      <c r="E50" s="23">
        <f>160570667.73</f>
        <v>160570667.72999999</v>
      </c>
      <c r="F50" s="23">
        <f>14631051.32</f>
        <v>14631051.32</v>
      </c>
      <c r="G50" s="23">
        <f>369880227.89</f>
        <v>369880227.88999999</v>
      </c>
      <c r="H50" s="23">
        <f>1801697.21</f>
        <v>1801697.21</v>
      </c>
      <c r="I50" s="23">
        <f>3</f>
        <v>3</v>
      </c>
      <c r="J50" s="23">
        <f>10680178.02</f>
        <v>10680178.02</v>
      </c>
      <c r="K50" s="23">
        <f>107767179.5</f>
        <v>107767179.5</v>
      </c>
      <c r="L50" s="23">
        <f>6439807699.88</f>
        <v>6439807699.8800001</v>
      </c>
      <c r="M50" s="23">
        <f>17078982161.15</f>
        <v>17078982161.15</v>
      </c>
      <c r="N50" s="23">
        <f>174195199.05</f>
        <v>174195199.05000001</v>
      </c>
      <c r="O50" s="23">
        <f>53816433.52</f>
        <v>53816433.520000003</v>
      </c>
      <c r="P50" s="23">
        <f>33614685.32</f>
        <v>33614685.32</v>
      </c>
      <c r="Q50" s="23">
        <f>20201748.2</f>
        <v>20201748.199999999</v>
      </c>
    </row>
    <row r="51" spans="1:17" ht="28.5" customHeight="1" x14ac:dyDescent="0.2">
      <c r="A51" s="18" t="s">
        <v>36</v>
      </c>
      <c r="B51" s="24">
        <f>6496675376.16</f>
        <v>6496675376.1599998</v>
      </c>
      <c r="C51" s="24">
        <f>6494198122.12</f>
        <v>6494198122.1199999</v>
      </c>
      <c r="D51" s="24">
        <f>80452737.7</f>
        <v>80452737.700000003</v>
      </c>
      <c r="E51" s="24">
        <f>2782557.75</f>
        <v>2782557.75</v>
      </c>
      <c r="F51" s="24">
        <f>2800174.53</f>
        <v>2800174.53</v>
      </c>
      <c r="G51" s="24">
        <f>74245755.44</f>
        <v>74245755.439999998</v>
      </c>
      <c r="H51" s="24">
        <f>624249.98</f>
        <v>624249.98</v>
      </c>
      <c r="I51" s="24">
        <f>0</f>
        <v>0</v>
      </c>
      <c r="J51" s="24">
        <f>443423.73</f>
        <v>443423.73</v>
      </c>
      <c r="K51" s="24">
        <f>2542313.59</f>
        <v>2542313.59</v>
      </c>
      <c r="L51" s="24">
        <f>1000430296.35</f>
        <v>1000430296.35</v>
      </c>
      <c r="M51" s="24">
        <f>5341850571.21</f>
        <v>5341850571.21</v>
      </c>
      <c r="N51" s="24">
        <f>68478779.54</f>
        <v>68478779.540000007</v>
      </c>
      <c r="O51" s="24">
        <f>2477254.04</f>
        <v>2477254.04</v>
      </c>
      <c r="P51" s="24">
        <f>823276.25</f>
        <v>823276.25</v>
      </c>
      <c r="Q51" s="24">
        <f>1653977.79</f>
        <v>1653977.79</v>
      </c>
    </row>
    <row r="52" spans="1:17" ht="28.5" customHeight="1" x14ac:dyDescent="0.2">
      <c r="A52" s="18" t="s">
        <v>37</v>
      </c>
      <c r="B52" s="24">
        <f>17915457122.11</f>
        <v>17915457122.110001</v>
      </c>
      <c r="C52" s="24">
        <f>17864117942.63</f>
        <v>17864117942.630001</v>
      </c>
      <c r="D52" s="24">
        <f>466430906.45</f>
        <v>466430906.44999999</v>
      </c>
      <c r="E52" s="24">
        <f>157788109.98</f>
        <v>157788109.97999999</v>
      </c>
      <c r="F52" s="24">
        <f>11830876.79</f>
        <v>11830876.789999999</v>
      </c>
      <c r="G52" s="24">
        <f>295634472.45</f>
        <v>295634472.44999999</v>
      </c>
      <c r="H52" s="24">
        <f>1177447.23</f>
        <v>1177447.23</v>
      </c>
      <c r="I52" s="24">
        <f>3</f>
        <v>3</v>
      </c>
      <c r="J52" s="24">
        <f>10236754.29</f>
        <v>10236754.289999999</v>
      </c>
      <c r="K52" s="24">
        <f>105224865.91</f>
        <v>105224865.91</v>
      </c>
      <c r="L52" s="24">
        <f>5439377403.53</f>
        <v>5439377403.5299997</v>
      </c>
      <c r="M52" s="24">
        <f>11737131589.94</f>
        <v>11737131589.940001</v>
      </c>
      <c r="N52" s="24">
        <f>105716419.51</f>
        <v>105716419.51000001</v>
      </c>
      <c r="O52" s="24">
        <f>51339179.48</f>
        <v>51339179.479999997</v>
      </c>
      <c r="P52" s="24">
        <f>32791409.07</f>
        <v>32791409.07</v>
      </c>
      <c r="Q52" s="24">
        <f>18547770.41</f>
        <v>18547770.41</v>
      </c>
    </row>
    <row r="53" spans="1:17" ht="35.25" customHeight="1" x14ac:dyDescent="0.2">
      <c r="A53" s="28" t="s">
        <v>44</v>
      </c>
      <c r="B53" s="23">
        <f>33302415253.44</f>
        <v>33302415253.439999</v>
      </c>
      <c r="C53" s="23">
        <f>33255089926.69</f>
        <v>33255089926.689999</v>
      </c>
      <c r="D53" s="23">
        <f>2087351905.21</f>
        <v>2087351905.21</v>
      </c>
      <c r="E53" s="23">
        <f>783197535.43</f>
        <v>783197535.42999995</v>
      </c>
      <c r="F53" s="23">
        <f>134853836.83</f>
        <v>134853836.83000001</v>
      </c>
      <c r="G53" s="23">
        <f>1135691493</f>
        <v>1135691493</v>
      </c>
      <c r="H53" s="23">
        <f>33609039.95</f>
        <v>33609039.950000003</v>
      </c>
      <c r="I53" s="23">
        <f>3719961.22</f>
        <v>3719961.22</v>
      </c>
      <c r="J53" s="23">
        <f>40340622.66</f>
        <v>40340622.659999996</v>
      </c>
      <c r="K53" s="23">
        <f>81716434.2</f>
        <v>81716434.200000003</v>
      </c>
      <c r="L53" s="23">
        <f>19109044636.36</f>
        <v>19109044636.360001</v>
      </c>
      <c r="M53" s="23">
        <f>11459561936.94</f>
        <v>11459561936.940001</v>
      </c>
      <c r="N53" s="23">
        <f>473354430.1</f>
        <v>473354430.10000002</v>
      </c>
      <c r="O53" s="23">
        <f>47325326.75</f>
        <v>47325326.75</v>
      </c>
      <c r="P53" s="23">
        <f>42289077.69</f>
        <v>42289077.689999998</v>
      </c>
      <c r="Q53" s="23">
        <f>5036249.06</f>
        <v>5036249.0599999996</v>
      </c>
    </row>
    <row r="54" spans="1:17" ht="28.5" customHeight="1" x14ac:dyDescent="0.2">
      <c r="A54" s="18" t="s">
        <v>38</v>
      </c>
      <c r="B54" s="24">
        <f>2052484135.56</f>
        <v>2052484135.5599999</v>
      </c>
      <c r="C54" s="24">
        <f>2051595780.32</f>
        <v>2051595780.3199999</v>
      </c>
      <c r="D54" s="24">
        <f>151690922.12</f>
        <v>151690922.12</v>
      </c>
      <c r="E54" s="24">
        <f>16206997.07</f>
        <v>16206997.07</v>
      </c>
      <c r="F54" s="24">
        <f>5213266.29</f>
        <v>5213266.29</v>
      </c>
      <c r="G54" s="24">
        <f>126018432.48</f>
        <v>126018432.48</v>
      </c>
      <c r="H54" s="24">
        <f>4252226.28</f>
        <v>4252226.28</v>
      </c>
      <c r="I54" s="24">
        <f>0</f>
        <v>0</v>
      </c>
      <c r="J54" s="24">
        <f>1709287.08</f>
        <v>1709287.08</v>
      </c>
      <c r="K54" s="24">
        <f>3771445.47</f>
        <v>3771445.47</v>
      </c>
      <c r="L54" s="24">
        <f>715263586.13</f>
        <v>715263586.13</v>
      </c>
      <c r="M54" s="24">
        <f>1155728059.29</f>
        <v>1155728059.29</v>
      </c>
      <c r="N54" s="24">
        <f>23432480.23</f>
        <v>23432480.23</v>
      </c>
      <c r="O54" s="24">
        <f>888355.24</f>
        <v>888355.24</v>
      </c>
      <c r="P54" s="24">
        <f>677190.49</f>
        <v>677190.49</v>
      </c>
      <c r="Q54" s="24">
        <f>211164.75</f>
        <v>211164.75</v>
      </c>
    </row>
    <row r="55" spans="1:17" ht="47.25" customHeight="1" x14ac:dyDescent="0.2">
      <c r="A55" s="18" t="s">
        <v>78</v>
      </c>
      <c r="B55" s="24">
        <f>20095993839.67</f>
        <v>20095993839.669998</v>
      </c>
      <c r="C55" s="24">
        <f>20077237288.43</f>
        <v>20077237288.43</v>
      </c>
      <c r="D55" s="24">
        <f>805490054.07</f>
        <v>805490054.07000005</v>
      </c>
      <c r="E55" s="24">
        <f>263151037.29</f>
        <v>263151037.28999999</v>
      </c>
      <c r="F55" s="24">
        <f>97823900.19</f>
        <v>97823900.189999998</v>
      </c>
      <c r="G55" s="24">
        <f>425170627.63</f>
        <v>425170627.63</v>
      </c>
      <c r="H55" s="24">
        <f>19344488.96</f>
        <v>19344488.960000001</v>
      </c>
      <c r="I55" s="24">
        <f>3622219.7</f>
        <v>3622219.7</v>
      </c>
      <c r="J55" s="24">
        <f>36211460.93</f>
        <v>36211460.93</v>
      </c>
      <c r="K55" s="24">
        <f>64251027.69</f>
        <v>64251027.689999998</v>
      </c>
      <c r="L55" s="24">
        <f>13750349564.62</f>
        <v>13750349564.620001</v>
      </c>
      <c r="M55" s="24">
        <f>5299657424.75</f>
        <v>5299657424.75</v>
      </c>
      <c r="N55" s="24">
        <f>117655536.67</f>
        <v>117655536.67</v>
      </c>
      <c r="O55" s="24">
        <f>18756551.24</f>
        <v>18756551.239999998</v>
      </c>
      <c r="P55" s="24">
        <f>16304931.45</f>
        <v>16304931.449999999</v>
      </c>
      <c r="Q55" s="24">
        <f>2451619.79</f>
        <v>2451619.79</v>
      </c>
    </row>
    <row r="56" spans="1:17" ht="35.25" customHeight="1" x14ac:dyDescent="0.2">
      <c r="A56" s="18" t="s">
        <v>39</v>
      </c>
      <c r="B56" s="24">
        <f>11153937278.21</f>
        <v>11153937278.209999</v>
      </c>
      <c r="C56" s="24">
        <f>11126256857.94</f>
        <v>11126256857.940001</v>
      </c>
      <c r="D56" s="24">
        <f>1130170929.02</f>
        <v>1130170929.02</v>
      </c>
      <c r="E56" s="24">
        <f>503839501.07</f>
        <v>503839501.06999999</v>
      </c>
      <c r="F56" s="24">
        <f>31816670.35</f>
        <v>31816670.350000001</v>
      </c>
      <c r="G56" s="24">
        <f>584502432.89</f>
        <v>584502432.88999999</v>
      </c>
      <c r="H56" s="24">
        <f>10012324.71</f>
        <v>10012324.710000001</v>
      </c>
      <c r="I56" s="24">
        <f>97741.52</f>
        <v>97741.52</v>
      </c>
      <c r="J56" s="24">
        <f>2419874.65</f>
        <v>2419874.65</v>
      </c>
      <c r="K56" s="24">
        <f>13693961.04</f>
        <v>13693961.039999999</v>
      </c>
      <c r="L56" s="24">
        <f>4643431485.61</f>
        <v>4643431485.6099997</v>
      </c>
      <c r="M56" s="24">
        <f>5004176452.9</f>
        <v>5004176452.8999996</v>
      </c>
      <c r="N56" s="24">
        <f>332266413.2</f>
        <v>332266413.19999999</v>
      </c>
      <c r="O56" s="24">
        <f>27680420.27</f>
        <v>27680420.27</v>
      </c>
      <c r="P56" s="24">
        <f>25306955.75</f>
        <v>25306955.75</v>
      </c>
      <c r="Q56" s="24">
        <f>2373464.52</f>
        <v>2373464.52</v>
      </c>
    </row>
    <row r="67" spans="1:13" ht="75" customHeight="1" x14ac:dyDescent="0.2">
      <c r="A67" s="33" t="str">
        <f>CONCATENATE("Informacja z wykonania budżetów jednostek samorządu terytorialnego za ",$C$94," ",$B$95," roku")</f>
        <v>Informacja z wykonania budżetów jednostek samorządu terytorialnego za I Kwartał 2022 roku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3.5" customHeight="1" x14ac:dyDescent="0.2">
      <c r="B69" s="43" t="s">
        <v>2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1" spans="1:13" ht="13.5" customHeight="1" x14ac:dyDescent="0.2">
      <c r="B71" s="46" t="s">
        <v>0</v>
      </c>
      <c r="C71" s="47"/>
      <c r="D71" s="47"/>
      <c r="E71" s="48"/>
      <c r="F71" s="65" t="s">
        <v>68</v>
      </c>
      <c r="G71" s="29" t="s">
        <v>74</v>
      </c>
      <c r="H71" s="30"/>
      <c r="I71" s="30"/>
      <c r="J71" s="30"/>
      <c r="K71" s="30"/>
      <c r="L71" s="31"/>
    </row>
    <row r="72" spans="1:13" ht="13.5" customHeight="1" x14ac:dyDescent="0.2">
      <c r="B72" s="49"/>
      <c r="C72" s="50"/>
      <c r="D72" s="50"/>
      <c r="E72" s="51"/>
      <c r="F72" s="66"/>
      <c r="G72" s="32" t="s">
        <v>69</v>
      </c>
      <c r="H72" s="32" t="s">
        <v>66</v>
      </c>
      <c r="I72" s="32" t="s">
        <v>67</v>
      </c>
      <c r="J72" s="32" t="s">
        <v>70</v>
      </c>
      <c r="K72" s="32" t="s">
        <v>71</v>
      </c>
      <c r="L72" s="37" t="s">
        <v>72</v>
      </c>
    </row>
    <row r="73" spans="1:13" ht="13.5" customHeight="1" x14ac:dyDescent="0.2">
      <c r="B73" s="49"/>
      <c r="C73" s="50"/>
      <c r="D73" s="50"/>
      <c r="E73" s="51"/>
      <c r="F73" s="66"/>
      <c r="G73" s="32"/>
      <c r="H73" s="32"/>
      <c r="I73" s="32"/>
      <c r="J73" s="32"/>
      <c r="K73" s="32"/>
      <c r="L73" s="37"/>
    </row>
    <row r="74" spans="1:13" ht="11.25" customHeight="1" x14ac:dyDescent="0.2">
      <c r="B74" s="49"/>
      <c r="C74" s="50"/>
      <c r="D74" s="50"/>
      <c r="E74" s="51"/>
      <c r="F74" s="66"/>
      <c r="G74" s="32"/>
      <c r="H74" s="32"/>
      <c r="I74" s="32"/>
      <c r="J74" s="32"/>
      <c r="K74" s="32"/>
      <c r="L74" s="37"/>
    </row>
    <row r="75" spans="1:13" ht="20.25" customHeight="1" x14ac:dyDescent="0.2">
      <c r="B75" s="52"/>
      <c r="C75" s="53"/>
      <c r="D75" s="53"/>
      <c r="E75" s="54"/>
      <c r="F75" s="67"/>
      <c r="G75" s="32"/>
      <c r="H75" s="32"/>
      <c r="I75" s="32"/>
      <c r="J75" s="32"/>
      <c r="K75" s="32"/>
      <c r="L75" s="37"/>
    </row>
    <row r="76" spans="1:13" ht="13.5" customHeight="1" x14ac:dyDescent="0.2">
      <c r="B76" s="32">
        <v>1</v>
      </c>
      <c r="C76" s="32"/>
      <c r="D76" s="32"/>
      <c r="E76" s="32"/>
      <c r="F76" s="15">
        <v>2</v>
      </c>
      <c r="G76" s="15">
        <v>3</v>
      </c>
      <c r="H76" s="15">
        <v>4</v>
      </c>
      <c r="I76" s="15">
        <v>5</v>
      </c>
      <c r="J76" s="15">
        <v>6</v>
      </c>
      <c r="K76" s="15">
        <v>7</v>
      </c>
      <c r="L76" s="15">
        <v>8</v>
      </c>
    </row>
    <row r="77" spans="1:13" ht="33.75" customHeight="1" x14ac:dyDescent="0.2">
      <c r="B77" s="55" t="s">
        <v>53</v>
      </c>
      <c r="C77" s="56"/>
      <c r="D77" s="56"/>
      <c r="E77" s="57"/>
      <c r="F77" s="22">
        <f>4600512217.32</f>
        <v>4600512217.3199997</v>
      </c>
      <c r="G77" s="22">
        <f>1176006255.23</f>
        <v>1176006255.23</v>
      </c>
      <c r="H77" s="22">
        <f>60622368.09</f>
        <v>60622368.090000004</v>
      </c>
      <c r="I77" s="22">
        <f>286997773.3</f>
        <v>286997773.30000001</v>
      </c>
      <c r="J77" s="22">
        <f>820350297.95</f>
        <v>820350297.95000005</v>
      </c>
      <c r="K77" s="22">
        <f>8035815.89</f>
        <v>8035815.8899999997</v>
      </c>
      <c r="L77" s="22">
        <f>3424505962.09</f>
        <v>3424505962.0900002</v>
      </c>
    </row>
    <row r="78" spans="1:13" ht="33.75" customHeight="1" x14ac:dyDescent="0.2">
      <c r="B78" s="38" t="s">
        <v>54</v>
      </c>
      <c r="C78" s="39"/>
      <c r="D78" s="39"/>
      <c r="E78" s="40"/>
      <c r="F78" s="25">
        <f>15235946.79</f>
        <v>15235946.789999999</v>
      </c>
      <c r="G78" s="25">
        <f>15235946.79</f>
        <v>15235946.789999999</v>
      </c>
      <c r="H78" s="25">
        <f>0</f>
        <v>0</v>
      </c>
      <c r="I78" s="25">
        <f>0</f>
        <v>0</v>
      </c>
      <c r="J78" s="25">
        <f>15235946.79</f>
        <v>15235946.789999999</v>
      </c>
      <c r="K78" s="25">
        <f>0</f>
        <v>0</v>
      </c>
      <c r="L78" s="25">
        <f>0</f>
        <v>0</v>
      </c>
    </row>
    <row r="79" spans="1:13" ht="33.75" customHeight="1" x14ac:dyDescent="0.2">
      <c r="B79" s="38" t="s">
        <v>55</v>
      </c>
      <c r="C79" s="39"/>
      <c r="D79" s="39"/>
      <c r="E79" s="40"/>
      <c r="F79" s="25">
        <f>24536702.4</f>
        <v>24536702.399999999</v>
      </c>
      <c r="G79" s="25">
        <f>4343477.04</f>
        <v>4343477.04</v>
      </c>
      <c r="H79" s="25">
        <f>200000</f>
        <v>200000</v>
      </c>
      <c r="I79" s="25">
        <f>0</f>
        <v>0</v>
      </c>
      <c r="J79" s="25">
        <f>4033891</f>
        <v>4033891</v>
      </c>
      <c r="K79" s="25">
        <f>109586.04</f>
        <v>109586.04</v>
      </c>
      <c r="L79" s="25">
        <f>20193225.36</f>
        <v>20193225.359999999</v>
      </c>
    </row>
    <row r="80" spans="1:13" ht="22.5" customHeight="1" x14ac:dyDescent="0.2">
      <c r="B80" s="38" t="s">
        <v>56</v>
      </c>
      <c r="C80" s="39"/>
      <c r="D80" s="39"/>
      <c r="E80" s="40"/>
      <c r="F80" s="25">
        <f>90045162.73</f>
        <v>90045162.730000004</v>
      </c>
      <c r="G80" s="25">
        <f>40954788.81</f>
        <v>40954788.810000002</v>
      </c>
      <c r="H80" s="25">
        <f>0</f>
        <v>0</v>
      </c>
      <c r="I80" s="25">
        <f>0</f>
        <v>0</v>
      </c>
      <c r="J80" s="25">
        <f>40954788.81</f>
        <v>40954788.810000002</v>
      </c>
      <c r="K80" s="25">
        <f>0</f>
        <v>0</v>
      </c>
      <c r="L80" s="25">
        <f>49090373.92</f>
        <v>49090373.920000002</v>
      </c>
    </row>
    <row r="81" spans="1:13" ht="33.75" customHeight="1" x14ac:dyDescent="0.2">
      <c r="B81" s="38" t="s">
        <v>57</v>
      </c>
      <c r="C81" s="39"/>
      <c r="D81" s="39"/>
      <c r="E81" s="40"/>
      <c r="F81" s="25">
        <f>16702975.05</f>
        <v>16702975.050000001</v>
      </c>
      <c r="G81" s="25">
        <f>13321252.1</f>
        <v>13321252.1</v>
      </c>
      <c r="H81" s="25">
        <f>0</f>
        <v>0</v>
      </c>
      <c r="I81" s="25">
        <f>1</f>
        <v>1</v>
      </c>
      <c r="J81" s="25">
        <f>13321251.1</f>
        <v>13321251.1</v>
      </c>
      <c r="K81" s="25">
        <f>0</f>
        <v>0</v>
      </c>
      <c r="L81" s="25">
        <f>3381722.95</f>
        <v>3381722.95</v>
      </c>
    </row>
    <row r="82" spans="1:13" ht="33.75" customHeight="1" x14ac:dyDescent="0.2">
      <c r="B82" s="38" t="s">
        <v>58</v>
      </c>
      <c r="C82" s="39"/>
      <c r="D82" s="39"/>
      <c r="E82" s="40"/>
      <c r="F82" s="25">
        <f>7092706.3</f>
        <v>7092706.2999999998</v>
      </c>
      <c r="G82" s="25">
        <f>3888835.41</f>
        <v>3888835.41</v>
      </c>
      <c r="H82" s="25">
        <f>0</f>
        <v>0</v>
      </c>
      <c r="I82" s="25">
        <f>0</f>
        <v>0</v>
      </c>
      <c r="J82" s="25">
        <f>3888835.41</f>
        <v>3888835.41</v>
      </c>
      <c r="K82" s="25">
        <f>0</f>
        <v>0</v>
      </c>
      <c r="L82" s="25">
        <f>3203870.89</f>
        <v>3203870.89</v>
      </c>
    </row>
    <row r="83" spans="1:13" ht="33" customHeight="1" x14ac:dyDescent="0.2">
      <c r="B83" s="55" t="s">
        <v>59</v>
      </c>
      <c r="C83" s="56"/>
      <c r="D83" s="56"/>
      <c r="E83" s="57"/>
      <c r="F83" s="22">
        <f>45000</f>
        <v>45000</v>
      </c>
      <c r="G83" s="22">
        <f>0</f>
        <v>0</v>
      </c>
      <c r="H83" s="22">
        <f>0</f>
        <v>0</v>
      </c>
      <c r="I83" s="22">
        <f>0</f>
        <v>0</v>
      </c>
      <c r="J83" s="22">
        <f>0</f>
        <v>0</v>
      </c>
      <c r="K83" s="22">
        <f>0</f>
        <v>0</v>
      </c>
      <c r="L83" s="22">
        <f>45000</f>
        <v>45000</v>
      </c>
    </row>
    <row r="86" spans="1:13" ht="75" customHeight="1" x14ac:dyDescent="0.2">
      <c r="A86" s="33" t="str">
        <f>CONCATENATE("Informacja z wykonania budżetów jednostek samorządu terytorialnego za ",$C$94," ",$B$95," roku")</f>
        <v>Informacja z wykonania budżetów jednostek samorządu terytorialnego za I Kwartał 2022 roku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ht="13.5" customHeight="1" x14ac:dyDescent="0.2">
      <c r="B87" s="3"/>
    </row>
    <row r="88" spans="1:13" ht="13.5" customHeight="1" x14ac:dyDescent="0.2">
      <c r="B88" s="4"/>
      <c r="C88" s="44"/>
      <c r="D88" s="60"/>
      <c r="E88" s="60"/>
      <c r="F88" s="45"/>
      <c r="G88" s="44" t="s">
        <v>3</v>
      </c>
      <c r="H88" s="45"/>
      <c r="I88" s="44" t="s">
        <v>4</v>
      </c>
      <c r="J88" s="45"/>
      <c r="K88" s="4"/>
    </row>
    <row r="89" spans="1:13" ht="13.5" customHeight="1" x14ac:dyDescent="0.2">
      <c r="B89" s="5"/>
      <c r="C89" s="55" t="s">
        <v>5</v>
      </c>
      <c r="D89" s="56"/>
      <c r="E89" s="56"/>
      <c r="F89" s="57"/>
      <c r="G89" s="58">
        <f>2629</f>
        <v>2629</v>
      </c>
      <c r="H89" s="59"/>
      <c r="I89" s="41">
        <f>15999720313.58</f>
        <v>15999720313.58</v>
      </c>
      <c r="J89" s="42"/>
      <c r="K89" s="6"/>
    </row>
    <row r="90" spans="1:13" ht="13.5" customHeight="1" x14ac:dyDescent="0.2">
      <c r="B90" s="5"/>
      <c r="C90" s="38" t="s">
        <v>6</v>
      </c>
      <c r="D90" s="39"/>
      <c r="E90" s="39"/>
      <c r="F90" s="40"/>
      <c r="G90" s="61">
        <f>178</f>
        <v>178</v>
      </c>
      <c r="H90" s="62"/>
      <c r="I90" s="63">
        <f>-239415046.46</f>
        <v>-239415046.46000001</v>
      </c>
      <c r="J90" s="64"/>
      <c r="K90" s="6"/>
    </row>
    <row r="91" spans="1:13" ht="13.5" customHeight="1" x14ac:dyDescent="0.2">
      <c r="B91" s="5"/>
      <c r="C91" s="55" t="s">
        <v>7</v>
      </c>
      <c r="D91" s="56"/>
      <c r="E91" s="56"/>
      <c r="F91" s="57"/>
      <c r="G91" s="58">
        <f>0</f>
        <v>0</v>
      </c>
      <c r="H91" s="59"/>
      <c r="I91" s="41">
        <f>0</f>
        <v>0</v>
      </c>
      <c r="J91" s="42"/>
      <c r="K91" s="6"/>
    </row>
    <row r="94" spans="1:13" ht="13.5" customHeight="1" x14ac:dyDescent="0.2">
      <c r="A94" s="7" t="s">
        <v>8</v>
      </c>
      <c r="B94" s="7">
        <f>1</f>
        <v>1</v>
      </c>
      <c r="C94" s="7" t="str">
        <f>IF(B94=1,"I Kwartał",IF(B94=2,"II Kwartały",IF(B94=3,"III Kwartały",IF(B94=4,"IV Kwartały","-"))))</f>
        <v>I Kwartał</v>
      </c>
    </row>
    <row r="95" spans="1:13" ht="13.5" customHeight="1" x14ac:dyDescent="0.2">
      <c r="A95" s="7" t="s">
        <v>9</v>
      </c>
      <c r="B95" s="7">
        <f>2022</f>
        <v>2022</v>
      </c>
      <c r="C95" s="8"/>
    </row>
    <row r="96" spans="1:13" ht="13.5" customHeight="1" x14ac:dyDescent="0.2">
      <c r="A96" s="7" t="s">
        <v>10</v>
      </c>
      <c r="B96" s="9" t="str">
        <f>"May 19 2022 12:00AM"</f>
        <v>May 19 2022 12:00AM</v>
      </c>
      <c r="C96" s="8"/>
    </row>
  </sheetData>
  <mergeCells count="75">
    <mergeCell ref="K72:K75"/>
    <mergeCell ref="G35:G38"/>
    <mergeCell ref="Q7:Q11"/>
    <mergeCell ref="C34:N34"/>
    <mergeCell ref="L7:L11"/>
    <mergeCell ref="M7:M11"/>
    <mergeCell ref="N7:N11"/>
    <mergeCell ref="P7:P11"/>
    <mergeCell ref="G7:G11"/>
    <mergeCell ref="F7:F11"/>
    <mergeCell ref="I7:I11"/>
    <mergeCell ref="J7:J11"/>
    <mergeCell ref="H35:H38"/>
    <mergeCell ref="K35:K38"/>
    <mergeCell ref="I35:I38"/>
    <mergeCell ref="J35:J38"/>
    <mergeCell ref="E35:E38"/>
    <mergeCell ref="H72:H75"/>
    <mergeCell ref="I72:I75"/>
    <mergeCell ref="J72:J75"/>
    <mergeCell ref="A1:M1"/>
    <mergeCell ref="C5:M5"/>
    <mergeCell ref="A3:M3"/>
    <mergeCell ref="K7:K11"/>
    <mergeCell ref="C7:C11"/>
    <mergeCell ref="B6:B11"/>
    <mergeCell ref="A6:A11"/>
    <mergeCell ref="C6:N6"/>
    <mergeCell ref="D7:D11"/>
    <mergeCell ref="E7:E11"/>
    <mergeCell ref="L72:L75"/>
    <mergeCell ref="F35:F38"/>
    <mergeCell ref="A30:M30"/>
    <mergeCell ref="G91:H91"/>
    <mergeCell ref="I91:J91"/>
    <mergeCell ref="C88:F88"/>
    <mergeCell ref="C89:F89"/>
    <mergeCell ref="C90:F90"/>
    <mergeCell ref="C91:F91"/>
    <mergeCell ref="G89:H89"/>
    <mergeCell ref="G88:H88"/>
    <mergeCell ref="G90:H90"/>
    <mergeCell ref="I90:J90"/>
    <mergeCell ref="B82:E82"/>
    <mergeCell ref="I89:J89"/>
    <mergeCell ref="B69:M69"/>
    <mergeCell ref="I88:J88"/>
    <mergeCell ref="B76:E76"/>
    <mergeCell ref="B71:E75"/>
    <mergeCell ref="B83:E83"/>
    <mergeCell ref="A86:M86"/>
    <mergeCell ref="B79:E79"/>
    <mergeCell ref="B80:E80"/>
    <mergeCell ref="B81:E81"/>
    <mergeCell ref="B78:E78"/>
    <mergeCell ref="B77:E77"/>
    <mergeCell ref="F71:F75"/>
    <mergeCell ref="G72:G75"/>
    <mergeCell ref="G71:L71"/>
    <mergeCell ref="O6:Q6"/>
    <mergeCell ref="O7:O11"/>
    <mergeCell ref="A67:M67"/>
    <mergeCell ref="L35:L38"/>
    <mergeCell ref="P35:P38"/>
    <mergeCell ref="Q35:Q38"/>
    <mergeCell ref="N35:N38"/>
    <mergeCell ref="O35:O38"/>
    <mergeCell ref="D35:D38"/>
    <mergeCell ref="H7:H11"/>
    <mergeCell ref="M35:M38"/>
    <mergeCell ref="O34:Q34"/>
    <mergeCell ref="A32:M32"/>
    <mergeCell ref="B34:B38"/>
    <mergeCell ref="A34:A38"/>
    <mergeCell ref="C35:C38"/>
  </mergeCells>
  <phoneticPr fontId="4" type="noConversion"/>
  <pageMargins left="0" right="0" top="0.19685039370078741" bottom="0.19685039370078741" header="0" footer="0"/>
  <pageSetup paperSize="9" scale="67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2016-08-26T11:29:32Z</cp:lastPrinted>
  <dcterms:created xsi:type="dcterms:W3CDTF">2001-05-17T08:58:03Z</dcterms:created>
  <dcterms:modified xsi:type="dcterms:W3CDTF">2022-06-13T19:52:54Z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2022-06-13T21:52:51.8904901+02:00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GRN-1564ca83-a10b-4264-9938-b518b03de6ed</vt:lpwstr>
  </property>
  <property fmtid="{D5CDD505-2E9C-101B-9397-08002B2CF9AE}" pid="7" name="MFHash">
    <vt:lpwstr>9IoX4HBTPIog/H/CBZlqTajfKUmHCWM2osWHnRxgYYM=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