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0file\Dane\DEF\Edyta\2018\PRZESUNIĘCIA\2018\Grudzień\Świadczenia 31.12.2018\Plan ostateczny_2018\"/>
    </mc:Choice>
  </mc:AlternateContent>
  <bookViews>
    <workbookView xWindow="-15" yWindow="705" windowWidth="19440" windowHeight="11760" tabRatio="915" firstSheet="3" activeTab="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WarmińskoMazurski!$A$6:$C$66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CENTRALA!$A$1:$F$67</definedName>
    <definedName name="_xlnm.Print_Area" localSheetId="3">Dolnośląski!$A$1:$F$67</definedName>
    <definedName name="_xlnm.Print_Area" localSheetId="4">KujawskoPomorski!$A$1:$F$67</definedName>
    <definedName name="_xlnm.Print_Area" localSheetId="5">Lubelski!$A$1:$F$67</definedName>
    <definedName name="_xlnm.Print_Area" localSheetId="6">Lubuski!$A$1:$F$67</definedName>
    <definedName name="_xlnm.Print_Area" localSheetId="7">Łódzki!$A$1:$F$67</definedName>
    <definedName name="_xlnm.Print_Area" localSheetId="8">Małopolski!$A$1:$F$67</definedName>
    <definedName name="_xlnm.Print_Area" localSheetId="9">Mazowiecki!$A$1:$F$67</definedName>
    <definedName name="_xlnm.Print_Area" localSheetId="0">NFZ!$A$1:$D$95</definedName>
    <definedName name="_xlnm.Print_Area" localSheetId="10">Opolski!$A$1:$F$67</definedName>
    <definedName name="_xlnm.Print_Area" localSheetId="11">Podkarpacki!$A$1:$F$67</definedName>
    <definedName name="_xlnm.Print_Area" localSheetId="12">Podlaski!$A$1:$F$67</definedName>
    <definedName name="_xlnm.Print_Area" localSheetId="13">Pomorski!$A$1:$F$67</definedName>
    <definedName name="_xlnm.Print_Area" localSheetId="2">'Razem OW'!$A$1:$F$67</definedName>
    <definedName name="_xlnm.Print_Area" localSheetId="14">Śląski!$A$1:$F$67</definedName>
    <definedName name="_xlnm.Print_Area" localSheetId="15">Świętokrzyski!$A$1:$F$67</definedName>
    <definedName name="_xlnm.Print_Area" localSheetId="16">WarmińskoMazurski!$A$1:$F$67</definedName>
    <definedName name="_xlnm.Print_Area" localSheetId="17">Wielkopolski!$A$1:$F$67</definedName>
    <definedName name="_xlnm.Print_Area" localSheetId="18">Zachodniopomorski!$A$1:$F$67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calcMode="manual" fullPrecision="0"/>
</workbook>
</file>

<file path=xl/calcChain.xml><?xml version="1.0" encoding="utf-8"?>
<calcChain xmlns="http://schemas.openxmlformats.org/spreadsheetml/2006/main">
  <c r="D24" i="23" l="1"/>
  <c r="C24" i="23"/>
  <c r="D35" i="23" l="1"/>
  <c r="D26" i="23" s="1"/>
  <c r="D32" i="23"/>
  <c r="E32" i="23" s="1"/>
  <c r="D95" i="23" l="1"/>
  <c r="E95" i="23" s="1"/>
  <c r="D39" i="19" l="1"/>
  <c r="D39" i="11"/>
  <c r="D39" i="22"/>
  <c r="F39" i="19"/>
  <c r="F39" i="18"/>
  <c r="F39" i="17"/>
  <c r="D39" i="16"/>
  <c r="F39" i="15"/>
  <c r="D39" i="14"/>
  <c r="F39" i="13"/>
  <c r="D39" i="12"/>
  <c r="F39" i="11"/>
  <c r="F39" i="10"/>
  <c r="F39" i="9"/>
  <c r="F39" i="7"/>
  <c r="F39" i="6"/>
  <c r="F39" i="5"/>
  <c r="D39" i="3"/>
  <c r="F39" i="22"/>
  <c r="D39" i="6" l="1"/>
  <c r="E39" i="18"/>
  <c r="D39" i="7"/>
  <c r="E39" i="7" s="1"/>
  <c r="D39" i="15"/>
  <c r="E39" i="6"/>
  <c r="E39" i="10"/>
  <c r="E39" i="14"/>
  <c r="D39" i="10"/>
  <c r="D39" i="18"/>
  <c r="F39" i="14"/>
  <c r="E39" i="3"/>
  <c r="E39" i="12"/>
  <c r="E39" i="16"/>
  <c r="F39" i="3"/>
  <c r="F39" i="8"/>
  <c r="F39" i="12"/>
  <c r="F39" i="16"/>
  <c r="D39" i="8"/>
  <c r="E39" i="8" s="1"/>
  <c r="E39" i="22"/>
  <c r="C39" i="20"/>
  <c r="D39" i="5"/>
  <c r="E39" i="5" s="1"/>
  <c r="D39" i="9"/>
  <c r="E39" i="9" s="1"/>
  <c r="D39" i="13"/>
  <c r="E39" i="13" s="1"/>
  <c r="D39" i="17"/>
  <c r="E39" i="11"/>
  <c r="E39" i="15"/>
  <c r="E39" i="19"/>
  <c r="D66" i="3"/>
  <c r="D35" i="3"/>
  <c r="D34" i="3"/>
  <c r="D32" i="3"/>
  <c r="D27" i="3"/>
  <c r="D26" i="3"/>
  <c r="D25" i="3"/>
  <c r="D24" i="3"/>
  <c r="D23" i="3"/>
  <c r="D22" i="3"/>
  <c r="D21" i="3"/>
  <c r="D19" i="3"/>
  <c r="D18" i="3"/>
  <c r="D16" i="3"/>
  <c r="D15" i="3"/>
  <c r="D14" i="3"/>
  <c r="D13" i="3"/>
  <c r="D12" i="3"/>
  <c r="D11" i="3"/>
  <c r="D10" i="3"/>
  <c r="D9" i="3"/>
  <c r="D8" i="3"/>
  <c r="D7" i="3"/>
  <c r="D66" i="5"/>
  <c r="D35" i="5"/>
  <c r="D32" i="5"/>
  <c r="D27" i="5"/>
  <c r="D26" i="5"/>
  <c r="D25" i="5"/>
  <c r="D23" i="5"/>
  <c r="D22" i="5"/>
  <c r="D21" i="5"/>
  <c r="D19" i="5"/>
  <c r="D17" i="5"/>
  <c r="D16" i="5"/>
  <c r="D14" i="5"/>
  <c r="D13" i="5"/>
  <c r="D12" i="5"/>
  <c r="D11" i="5"/>
  <c r="D10" i="5"/>
  <c r="D9" i="5"/>
  <c r="D8" i="5"/>
  <c r="D7" i="5"/>
  <c r="D66" i="6"/>
  <c r="D35" i="6"/>
  <c r="D32" i="6"/>
  <c r="D27" i="6"/>
  <c r="D26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6" i="7"/>
  <c r="D35" i="7"/>
  <c r="D32" i="7"/>
  <c r="D27" i="7"/>
  <c r="D26" i="7"/>
  <c r="D25" i="7"/>
  <c r="D24" i="7"/>
  <c r="D23" i="7"/>
  <c r="D22" i="7"/>
  <c r="D21" i="7"/>
  <c r="D19" i="7"/>
  <c r="D16" i="7"/>
  <c r="D15" i="7"/>
  <c r="D14" i="7"/>
  <c r="D13" i="7"/>
  <c r="D12" i="7"/>
  <c r="D11" i="7"/>
  <c r="D10" i="7"/>
  <c r="D9" i="7"/>
  <c r="D8" i="7"/>
  <c r="D7" i="7"/>
  <c r="D66" i="8"/>
  <c r="D35" i="8"/>
  <c r="D34" i="8"/>
  <c r="D32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3" i="8"/>
  <c r="D12" i="8"/>
  <c r="D11" i="8"/>
  <c r="D10" i="8"/>
  <c r="D9" i="8"/>
  <c r="D8" i="8"/>
  <c r="D7" i="8"/>
  <c r="D66" i="9"/>
  <c r="D35" i="9"/>
  <c r="D34" i="9"/>
  <c r="D32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1" i="9"/>
  <c r="D10" i="9"/>
  <c r="D9" i="9"/>
  <c r="D8" i="9"/>
  <c r="D7" i="9"/>
  <c r="D66" i="10"/>
  <c r="D35" i="10"/>
  <c r="D32" i="10"/>
  <c r="D22" i="10"/>
  <c r="D21" i="10"/>
  <c r="D19" i="10"/>
  <c r="D8" i="10"/>
  <c r="D66" i="11"/>
  <c r="D35" i="11"/>
  <c r="D34" i="11"/>
  <c r="D32" i="11"/>
  <c r="D27" i="11"/>
  <c r="D26" i="11"/>
  <c r="D25" i="11"/>
  <c r="D24" i="11"/>
  <c r="D23" i="11"/>
  <c r="D22" i="11"/>
  <c r="D21" i="11"/>
  <c r="D20" i="11"/>
  <c r="D19" i="11"/>
  <c r="D18" i="11"/>
  <c r="D13" i="11"/>
  <c r="D12" i="11"/>
  <c r="D11" i="11"/>
  <c r="D10" i="11"/>
  <c r="D9" i="11"/>
  <c r="D8" i="11"/>
  <c r="D7" i="11"/>
  <c r="D66" i="12"/>
  <c r="D35" i="12"/>
  <c r="D34" i="12"/>
  <c r="D32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4" i="12"/>
  <c r="D13" i="12"/>
  <c r="D12" i="12"/>
  <c r="D11" i="12"/>
  <c r="D10" i="12"/>
  <c r="D9" i="12"/>
  <c r="D8" i="12"/>
  <c r="D7" i="12"/>
  <c r="D66" i="13"/>
  <c r="D35" i="13"/>
  <c r="D34" i="13"/>
  <c r="D32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6" i="14"/>
  <c r="D35" i="14"/>
  <c r="D32" i="14"/>
  <c r="D26" i="14"/>
  <c r="D25" i="14"/>
  <c r="D24" i="14"/>
  <c r="D23" i="14"/>
  <c r="D20" i="14"/>
  <c r="D19" i="14"/>
  <c r="D18" i="14"/>
  <c r="D16" i="14"/>
  <c r="D15" i="14"/>
  <c r="D14" i="14"/>
  <c r="D13" i="14"/>
  <c r="D12" i="14"/>
  <c r="D11" i="14"/>
  <c r="D10" i="14"/>
  <c r="D9" i="14"/>
  <c r="D8" i="14"/>
  <c r="D7" i="14"/>
  <c r="D66" i="15"/>
  <c r="D35" i="15"/>
  <c r="D32" i="15"/>
  <c r="D27" i="15"/>
  <c r="D26" i="15"/>
  <c r="D25" i="15"/>
  <c r="D24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6" i="16"/>
  <c r="D35" i="16"/>
  <c r="D32" i="16"/>
  <c r="D25" i="16"/>
  <c r="D24" i="16"/>
  <c r="D22" i="16"/>
  <c r="D19" i="16"/>
  <c r="D18" i="16"/>
  <c r="D16" i="16"/>
  <c r="D15" i="16"/>
  <c r="D13" i="16"/>
  <c r="D12" i="16"/>
  <c r="D11" i="16"/>
  <c r="D10" i="16"/>
  <c r="D9" i="16"/>
  <c r="D8" i="16"/>
  <c r="D7" i="16"/>
  <c r="D66" i="17"/>
  <c r="D35" i="17"/>
  <c r="D34" i="17"/>
  <c r="D33" i="17"/>
  <c r="D32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6" i="18"/>
  <c r="D35" i="18"/>
  <c r="D32" i="18"/>
  <c r="D27" i="18"/>
  <c r="D26" i="18"/>
  <c r="D25" i="18"/>
  <c r="D24" i="18"/>
  <c r="D23" i="18"/>
  <c r="D22" i="18"/>
  <c r="D21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6" i="19"/>
  <c r="D66" i="20" s="1"/>
  <c r="D35" i="19"/>
  <c r="D32" i="19"/>
  <c r="D32" i="20" s="1"/>
  <c r="D25" i="19"/>
  <c r="D24" i="19"/>
  <c r="D23" i="19"/>
  <c r="D22" i="19"/>
  <c r="D21" i="19"/>
  <c r="D19" i="19"/>
  <c r="D18" i="19"/>
  <c r="D17" i="19"/>
  <c r="D16" i="19"/>
  <c r="D15" i="19"/>
  <c r="D14" i="19"/>
  <c r="D12" i="19"/>
  <c r="D10" i="19"/>
  <c r="D9" i="19"/>
  <c r="D8" i="19"/>
  <c r="D7" i="19"/>
  <c r="D66" i="22"/>
  <c r="D35" i="22"/>
  <c r="D32" i="22" l="1"/>
  <c r="D52" i="23" s="1"/>
  <c r="D88" i="20"/>
  <c r="D88" i="3"/>
  <c r="D88" i="15"/>
  <c r="D88" i="22"/>
  <c r="D88" i="10"/>
  <c r="D88" i="16"/>
  <c r="D88" i="17"/>
  <c r="D88" i="11"/>
  <c r="D88" i="5"/>
  <c r="D88" i="6"/>
  <c r="D88" i="12"/>
  <c r="D88" i="9"/>
  <c r="D88" i="7"/>
  <c r="D88" i="18"/>
  <c r="D88" i="13"/>
  <c r="D88" i="8"/>
  <c r="D88" i="19"/>
  <c r="D88" i="23"/>
  <c r="D88" i="14"/>
  <c r="D35" i="20"/>
  <c r="D55" i="23" s="1"/>
  <c r="D39" i="20"/>
  <c r="D59" i="23" s="1"/>
  <c r="F39" i="20"/>
  <c r="E39" i="17"/>
  <c r="C59" i="23"/>
  <c r="F59" i="23" s="1"/>
  <c r="D30" i="19"/>
  <c r="D29" i="19"/>
  <c r="E39" i="20" l="1"/>
  <c r="E59" i="23"/>
  <c r="D30" i="3"/>
  <c r="D29" i="3"/>
  <c r="D30" i="5"/>
  <c r="D29" i="5"/>
  <c r="D30" i="6"/>
  <c r="D29" i="6"/>
  <c r="D30" i="7"/>
  <c r="D29" i="7"/>
  <c r="D30" i="8"/>
  <c r="D29" i="8"/>
  <c r="D30" i="9"/>
  <c r="D29" i="9"/>
  <c r="D30" i="10"/>
  <c r="D29" i="10"/>
  <c r="D30" i="11"/>
  <c r="D29" i="11"/>
  <c r="D30" i="12"/>
  <c r="D29" i="12"/>
  <c r="D30" i="13"/>
  <c r="D40" i="13" s="1"/>
  <c r="D29" i="13"/>
  <c r="D30" i="14"/>
  <c r="D29" i="14"/>
  <c r="D30" i="15"/>
  <c r="D29" i="15"/>
  <c r="D30" i="16"/>
  <c r="D29" i="16"/>
  <c r="D30" i="17"/>
  <c r="D29" i="17"/>
  <c r="D30" i="18"/>
  <c r="D29" i="18"/>
  <c r="D30" i="22"/>
  <c r="D29" i="22"/>
  <c r="D29" i="20" l="1"/>
  <c r="D30" i="20"/>
  <c r="E35" i="19"/>
  <c r="F35" i="10" l="1"/>
  <c r="F35" i="14"/>
  <c r="F35" i="12"/>
  <c r="F35" i="19"/>
  <c r="E35" i="12" l="1"/>
  <c r="E35" i="10"/>
  <c r="E35" i="11"/>
  <c r="F35" i="11"/>
  <c r="E35" i="3"/>
  <c r="F35" i="3"/>
  <c r="E35" i="18"/>
  <c r="F35" i="18"/>
  <c r="E35" i="13"/>
  <c r="F35" i="13"/>
  <c r="E35" i="15"/>
  <c r="F35" i="15"/>
  <c r="E35" i="7"/>
  <c r="F35" i="7"/>
  <c r="E35" i="16"/>
  <c r="F35" i="16"/>
  <c r="E35" i="6"/>
  <c r="F35" i="6"/>
  <c r="E35" i="9"/>
  <c r="F35" i="9"/>
  <c r="E35" i="17"/>
  <c r="F35" i="17"/>
  <c r="E35" i="5"/>
  <c r="F35" i="5"/>
  <c r="E35" i="14"/>
  <c r="E35" i="8"/>
  <c r="F35" i="8"/>
  <c r="C35" i="20"/>
  <c r="E35" i="20" s="1"/>
  <c r="C55" i="23" l="1"/>
  <c r="E55" i="23" s="1"/>
  <c r="F35" i="22"/>
  <c r="F35" i="20" l="1"/>
  <c r="F55" i="23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D27" i="17"/>
  <c r="D28" i="17"/>
  <c r="D31" i="17"/>
  <c r="D14" i="16"/>
  <c r="D17" i="16"/>
  <c r="D20" i="16"/>
  <c r="D21" i="16"/>
  <c r="D23" i="16"/>
  <c r="D26" i="16"/>
  <c r="D27" i="16"/>
  <c r="D28" i="16"/>
  <c r="D31" i="16"/>
  <c r="D33" i="16"/>
  <c r="D34" i="16"/>
  <c r="D23" i="15"/>
  <c r="D28" i="15"/>
  <c r="D31" i="15"/>
  <c r="D33" i="15"/>
  <c r="D34" i="15"/>
  <c r="D17" i="14"/>
  <c r="D21" i="14"/>
  <c r="D22" i="14"/>
  <c r="D27" i="14"/>
  <c r="D28" i="14"/>
  <c r="D31" i="14"/>
  <c r="D33" i="14"/>
  <c r="D34" i="14"/>
  <c r="D28" i="13"/>
  <c r="D31" i="13"/>
  <c r="D33" i="13"/>
  <c r="D15" i="12"/>
  <c r="D28" i="12"/>
  <c r="D31" i="12"/>
  <c r="D33" i="12"/>
  <c r="D14" i="11"/>
  <c r="D15" i="11"/>
  <c r="D16" i="11"/>
  <c r="D17" i="11"/>
  <c r="D28" i="11"/>
  <c r="D31" i="11"/>
  <c r="D33" i="11"/>
  <c r="D9" i="10"/>
  <c r="D10" i="10"/>
  <c r="D11" i="10"/>
  <c r="D12" i="10"/>
  <c r="D13" i="10"/>
  <c r="D14" i="10"/>
  <c r="D15" i="10"/>
  <c r="D16" i="10"/>
  <c r="D17" i="10"/>
  <c r="D18" i="10"/>
  <c r="D20" i="10"/>
  <c r="D23" i="10"/>
  <c r="D24" i="10"/>
  <c r="D25" i="10"/>
  <c r="D26" i="10"/>
  <c r="D27" i="10"/>
  <c r="D28" i="10"/>
  <c r="D31" i="10"/>
  <c r="D33" i="10"/>
  <c r="D34" i="10"/>
  <c r="D12" i="9"/>
  <c r="D28" i="9"/>
  <c r="D31" i="9"/>
  <c r="D33" i="9"/>
  <c r="D14" i="8"/>
  <c r="D28" i="8"/>
  <c r="D31" i="8"/>
  <c r="D33" i="8"/>
  <c r="D17" i="7"/>
  <c r="D18" i="7"/>
  <c r="D20" i="7"/>
  <c r="D28" i="7"/>
  <c r="D31" i="7"/>
  <c r="D33" i="7"/>
  <c r="D34" i="7"/>
  <c r="D25" i="6"/>
  <c r="D28" i="6"/>
  <c r="D31" i="6"/>
  <c r="D33" i="6"/>
  <c r="D34" i="6"/>
  <c r="D15" i="5"/>
  <c r="D18" i="5"/>
  <c r="D20" i="5"/>
  <c r="D24" i="5"/>
  <c r="D28" i="5"/>
  <c r="D31" i="5"/>
  <c r="D33" i="5"/>
  <c r="D34" i="5"/>
  <c r="D17" i="3"/>
  <c r="D20" i="3"/>
  <c r="D28" i="3"/>
  <c r="D31" i="3"/>
  <c r="D33" i="3"/>
  <c r="D20" i="18"/>
  <c r="D28" i="18"/>
  <c r="D31" i="18"/>
  <c r="D33" i="18"/>
  <c r="D34" i="18"/>
  <c r="D11" i="19"/>
  <c r="D13" i="19"/>
  <c r="D20" i="19"/>
  <c r="D26" i="19"/>
  <c r="D27" i="19"/>
  <c r="D28" i="19"/>
  <c r="D31" i="19"/>
  <c r="D33" i="19"/>
  <c r="D34" i="19"/>
  <c r="D6" i="18" l="1"/>
  <c r="D6" i="17"/>
  <c r="D6" i="16"/>
  <c r="D6" i="15"/>
  <c r="D6" i="14"/>
  <c r="D6" i="13"/>
  <c r="D6" i="12"/>
  <c r="D6" i="11"/>
  <c r="D7" i="10"/>
  <c r="D6" i="10" s="1"/>
  <c r="D6" i="9"/>
  <c r="D6" i="8"/>
  <c r="D6" i="7"/>
  <c r="D6" i="6"/>
  <c r="D6" i="5"/>
  <c r="D6" i="3"/>
  <c r="D6" i="19"/>
  <c r="D23" i="23"/>
  <c r="D37" i="8" l="1"/>
  <c r="D37" i="13"/>
  <c r="D37" i="15"/>
  <c r="D37" i="18"/>
  <c r="D23" i="22"/>
  <c r="D23" i="20" l="1"/>
  <c r="D83" i="23"/>
  <c r="D22" i="23"/>
  <c r="D61" i="3"/>
  <c r="D58" i="3"/>
  <c r="D57" i="3"/>
  <c r="D53" i="3"/>
  <c r="D49" i="3"/>
  <c r="D45" i="3"/>
  <c r="D43" i="3"/>
  <c r="D37" i="3"/>
  <c r="D36" i="3"/>
  <c r="D67" i="5"/>
  <c r="D65" i="5"/>
  <c r="D64" i="5"/>
  <c r="D63" i="5"/>
  <c r="D59" i="5"/>
  <c r="D58" i="5"/>
  <c r="D56" i="5"/>
  <c r="D53" i="5"/>
  <c r="D51" i="5"/>
  <c r="D50" i="5"/>
  <c r="D49" i="5"/>
  <c r="D45" i="5"/>
  <c r="D37" i="5"/>
  <c r="D61" i="6"/>
  <c r="D57" i="6"/>
  <c r="D53" i="6"/>
  <c r="D49" i="6"/>
  <c r="D48" i="6"/>
  <c r="D45" i="6"/>
  <c r="D43" i="6"/>
  <c r="D37" i="6"/>
  <c r="C40" i="6"/>
  <c r="D67" i="7"/>
  <c r="D64" i="7"/>
  <c r="D63" i="7"/>
  <c r="D60" i="7"/>
  <c r="D58" i="7"/>
  <c r="D56" i="7"/>
  <c r="D55" i="7"/>
  <c r="D53" i="7"/>
  <c r="D50" i="7"/>
  <c r="D49" i="7"/>
  <c r="D46" i="7"/>
  <c r="D45" i="7"/>
  <c r="D42" i="7"/>
  <c r="D37" i="7"/>
  <c r="D67" i="8"/>
  <c r="D63" i="8"/>
  <c r="D61" i="8"/>
  <c r="D58" i="8"/>
  <c r="D53" i="8"/>
  <c r="D52" i="8"/>
  <c r="D49" i="8"/>
  <c r="D48" i="8"/>
  <c r="D45" i="8"/>
  <c r="D43" i="8"/>
  <c r="D36" i="8"/>
  <c r="D65" i="9"/>
  <c r="D64" i="9"/>
  <c r="D60" i="9"/>
  <c r="D56" i="9"/>
  <c r="D51" i="9"/>
  <c r="D50" i="9"/>
  <c r="D46" i="9"/>
  <c r="D42" i="9"/>
  <c r="D38" i="9"/>
  <c r="D67" i="10"/>
  <c r="D64" i="10"/>
  <c r="D61" i="10"/>
  <c r="D59" i="10"/>
  <c r="D58" i="10"/>
  <c r="D57" i="10"/>
  <c r="D55" i="10"/>
  <c r="D52" i="10"/>
  <c r="D46" i="10"/>
  <c r="D45" i="10"/>
  <c r="D38" i="10"/>
  <c r="D36" i="10"/>
  <c r="D67" i="11"/>
  <c r="D65" i="11"/>
  <c r="D64" i="11"/>
  <c r="D63" i="11"/>
  <c r="D60" i="11"/>
  <c r="D59" i="11"/>
  <c r="D56" i="11"/>
  <c r="D55" i="11"/>
  <c r="D53" i="11"/>
  <c r="D51" i="11"/>
  <c r="D50" i="11"/>
  <c r="D49" i="11"/>
  <c r="D46" i="11"/>
  <c r="D45" i="11"/>
  <c r="D38" i="11"/>
  <c r="D67" i="12"/>
  <c r="D63" i="12"/>
  <c r="D61" i="12"/>
  <c r="D58" i="12"/>
  <c r="D57" i="12"/>
  <c r="D53" i="12"/>
  <c r="D52" i="12"/>
  <c r="D49" i="12"/>
  <c r="D48" i="12"/>
  <c r="D45" i="12"/>
  <c r="D43" i="12"/>
  <c r="D37" i="12"/>
  <c r="D36" i="12"/>
  <c r="D67" i="13"/>
  <c r="D64" i="13"/>
  <c r="D59" i="13"/>
  <c r="D58" i="13"/>
  <c r="D56" i="13"/>
  <c r="D51" i="13"/>
  <c r="D50" i="13"/>
  <c r="D47" i="13"/>
  <c r="D46" i="13"/>
  <c r="D38" i="13"/>
  <c r="D67" i="14"/>
  <c r="D61" i="14"/>
  <c r="D58" i="14"/>
  <c r="D57" i="14"/>
  <c r="D53" i="14"/>
  <c r="D52" i="14"/>
  <c r="D49" i="14"/>
  <c r="D48" i="14"/>
  <c r="D64" i="15"/>
  <c r="D63" i="15"/>
  <c r="D60" i="15"/>
  <c r="D59" i="15"/>
  <c r="D58" i="15"/>
  <c r="D55" i="15"/>
  <c r="D50" i="15"/>
  <c r="D46" i="15"/>
  <c r="D42" i="15"/>
  <c r="D38" i="15"/>
  <c r="D67" i="16"/>
  <c r="D65" i="16"/>
  <c r="D63" i="16"/>
  <c r="D61" i="16"/>
  <c r="D60" i="16"/>
  <c r="D58" i="16"/>
  <c r="D57" i="16"/>
  <c r="D56" i="16"/>
  <c r="D43" i="16"/>
  <c r="D36" i="16"/>
  <c r="E36" i="16" s="1"/>
  <c r="D65" i="17"/>
  <c r="D64" i="17"/>
  <c r="D60" i="17"/>
  <c r="D59" i="17"/>
  <c r="D58" i="17"/>
  <c r="D56" i="17"/>
  <c r="D53" i="17"/>
  <c r="D51" i="17"/>
  <c r="D50" i="17"/>
  <c r="D49" i="17"/>
  <c r="D46" i="17"/>
  <c r="D45" i="17"/>
  <c r="D42" i="17"/>
  <c r="D38" i="17"/>
  <c r="D37" i="17"/>
  <c r="D36" i="17"/>
  <c r="E36" i="17" s="1"/>
  <c r="D61" i="18"/>
  <c r="D60" i="18"/>
  <c r="D51" i="18"/>
  <c r="D49" i="18"/>
  <c r="D48" i="18"/>
  <c r="D47" i="18"/>
  <c r="D43" i="18"/>
  <c r="D42" i="18"/>
  <c r="C40" i="18"/>
  <c r="D65" i="22"/>
  <c r="D60" i="22"/>
  <c r="D56" i="22"/>
  <c r="D55" i="22"/>
  <c r="D42" i="22"/>
  <c r="D38" i="22"/>
  <c r="D34" i="22"/>
  <c r="D33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7" i="22"/>
  <c r="D63" i="22"/>
  <c r="D61" i="22"/>
  <c r="D59" i="22"/>
  <c r="D58" i="22"/>
  <c r="D57" i="22"/>
  <c r="C54" i="22"/>
  <c r="D53" i="22"/>
  <c r="D52" i="22"/>
  <c r="D51" i="22"/>
  <c r="D50" i="22"/>
  <c r="D49" i="22"/>
  <c r="D48" i="22"/>
  <c r="D47" i="22"/>
  <c r="D46" i="22"/>
  <c r="D43" i="22"/>
  <c r="D37" i="22"/>
  <c r="D36" i="22"/>
  <c r="D31" i="22"/>
  <c r="D28" i="22"/>
  <c r="D27" i="22"/>
  <c r="D18" i="22"/>
  <c r="D16" i="22"/>
  <c r="D8" i="22"/>
  <c r="D67" i="17"/>
  <c r="D63" i="17"/>
  <c r="D61" i="17"/>
  <c r="D57" i="17"/>
  <c r="D55" i="17"/>
  <c r="D52" i="17"/>
  <c r="D48" i="17"/>
  <c r="D47" i="17"/>
  <c r="D43" i="17"/>
  <c r="D64" i="16"/>
  <c r="D59" i="16"/>
  <c r="D55" i="16"/>
  <c r="D53" i="16"/>
  <c r="D52" i="16"/>
  <c r="D51" i="16"/>
  <c r="D50" i="16"/>
  <c r="D49" i="16"/>
  <c r="D48" i="16"/>
  <c r="D47" i="16"/>
  <c r="D46" i="16"/>
  <c r="D38" i="16"/>
  <c r="D37" i="16"/>
  <c r="D67" i="15"/>
  <c r="D61" i="15"/>
  <c r="D57" i="15"/>
  <c r="D56" i="15"/>
  <c r="D53" i="15"/>
  <c r="D52" i="15"/>
  <c r="D51" i="15"/>
  <c r="D49" i="15"/>
  <c r="D48" i="15"/>
  <c r="D47" i="15"/>
  <c r="D45" i="15"/>
  <c r="D43" i="15"/>
  <c r="D36" i="15"/>
  <c r="D65" i="14"/>
  <c r="D64" i="14"/>
  <c r="D60" i="14"/>
  <c r="D59" i="14"/>
  <c r="D56" i="14"/>
  <c r="D51" i="14"/>
  <c r="D50" i="14"/>
  <c r="D47" i="14"/>
  <c r="D46" i="14"/>
  <c r="D43" i="14"/>
  <c r="D42" i="14"/>
  <c r="D38" i="14"/>
  <c r="D37" i="14"/>
  <c r="D36" i="14"/>
  <c r="D65" i="13"/>
  <c r="D61" i="13"/>
  <c r="D60" i="13"/>
  <c r="D57" i="13"/>
  <c r="D53" i="13"/>
  <c r="D52" i="13"/>
  <c r="D49" i="13"/>
  <c r="D48" i="13"/>
  <c r="D43" i="13"/>
  <c r="D42" i="13"/>
  <c r="D36" i="13"/>
  <c r="D65" i="12"/>
  <c r="D64" i="12"/>
  <c r="D60" i="12"/>
  <c r="D59" i="12"/>
  <c r="D56" i="12"/>
  <c r="D55" i="12"/>
  <c r="D51" i="12"/>
  <c r="D47" i="12"/>
  <c r="D46" i="12"/>
  <c r="D38" i="12"/>
  <c r="C62" i="11"/>
  <c r="D61" i="11"/>
  <c r="D58" i="11"/>
  <c r="D57" i="11"/>
  <c r="C54" i="11"/>
  <c r="D52" i="11"/>
  <c r="D48" i="11"/>
  <c r="D47" i="11"/>
  <c r="D43" i="11"/>
  <c r="D37" i="11"/>
  <c r="D36" i="11"/>
  <c r="D65" i="10"/>
  <c r="D63" i="10"/>
  <c r="D60" i="10"/>
  <c r="D56" i="10"/>
  <c r="C54" i="10"/>
  <c r="D53" i="10"/>
  <c r="D51" i="10"/>
  <c r="D49" i="10"/>
  <c r="D48" i="10"/>
  <c r="D47" i="10"/>
  <c r="D42" i="10"/>
  <c r="D37" i="10"/>
  <c r="D67" i="9"/>
  <c r="D61" i="9"/>
  <c r="D59" i="9"/>
  <c r="D58" i="9"/>
  <c r="D57" i="9"/>
  <c r="D53" i="9"/>
  <c r="D52" i="9"/>
  <c r="D49" i="9"/>
  <c r="D48" i="9"/>
  <c r="D47" i="9"/>
  <c r="D43" i="9"/>
  <c r="D37" i="9"/>
  <c r="D36" i="9"/>
  <c r="D65" i="8"/>
  <c r="D64" i="8"/>
  <c r="D60" i="8"/>
  <c r="D59" i="8"/>
  <c r="D56" i="8"/>
  <c r="D55" i="8"/>
  <c r="D51" i="8"/>
  <c r="D50" i="8"/>
  <c r="D47" i="8"/>
  <c r="D46" i="8"/>
  <c r="D42" i="8"/>
  <c r="D38" i="8"/>
  <c r="D65" i="7"/>
  <c r="D61" i="7"/>
  <c r="D59" i="7"/>
  <c r="D57" i="7"/>
  <c r="D52" i="7"/>
  <c r="D51" i="7"/>
  <c r="D48" i="7"/>
  <c r="D47" i="7"/>
  <c r="D43" i="7"/>
  <c r="D38" i="7"/>
  <c r="D36" i="7"/>
  <c r="D67" i="6"/>
  <c r="D65" i="6"/>
  <c r="D64" i="6"/>
  <c r="C62" i="6"/>
  <c r="D60" i="6"/>
  <c r="D59" i="6"/>
  <c r="D58" i="6"/>
  <c r="D56" i="6"/>
  <c r="D52" i="6"/>
  <c r="D51" i="6"/>
  <c r="D50" i="6"/>
  <c r="D47" i="6"/>
  <c r="D46" i="6"/>
  <c r="D42" i="6"/>
  <c r="D38" i="6"/>
  <c r="D36" i="6"/>
  <c r="E36" i="6" s="1"/>
  <c r="D61" i="5"/>
  <c r="D60" i="5"/>
  <c r="D57" i="5"/>
  <c r="D55" i="5"/>
  <c r="D52" i="5"/>
  <c r="D48" i="5"/>
  <c r="D47" i="5"/>
  <c r="D46" i="5"/>
  <c r="D43" i="5"/>
  <c r="D42" i="5"/>
  <c r="D38" i="5"/>
  <c r="D36" i="5"/>
  <c r="D67" i="3"/>
  <c r="D65" i="3"/>
  <c r="D64" i="3"/>
  <c r="D60" i="3"/>
  <c r="D59" i="3"/>
  <c r="D56" i="3"/>
  <c r="C54" i="3"/>
  <c r="D52" i="3"/>
  <c r="D51" i="3"/>
  <c r="D50" i="3"/>
  <c r="D48" i="3"/>
  <c r="D47" i="3"/>
  <c r="D46" i="3"/>
  <c r="D42" i="3"/>
  <c r="D38" i="3"/>
  <c r="D67" i="18"/>
  <c r="D65" i="18"/>
  <c r="D64" i="18"/>
  <c r="D63" i="18"/>
  <c r="D59" i="18"/>
  <c r="D58" i="18"/>
  <c r="D57" i="18"/>
  <c r="D55" i="18"/>
  <c r="D53" i="18"/>
  <c r="D52" i="18"/>
  <c r="D50" i="18"/>
  <c r="D46" i="18"/>
  <c r="D45" i="18"/>
  <c r="D38" i="18"/>
  <c r="D36" i="18"/>
  <c r="E36" i="18" s="1"/>
  <c r="D38" i="19"/>
  <c r="C34" i="20"/>
  <c r="E36" i="12" l="1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4" i="22"/>
  <c r="D62" i="22" s="1"/>
  <c r="C62" i="22"/>
  <c r="C54" i="8"/>
  <c r="D57" i="8"/>
  <c r="D54" i="8" s="1"/>
  <c r="C62" i="10"/>
  <c r="C40" i="8"/>
  <c r="D44" i="8"/>
  <c r="D44" i="6"/>
  <c r="C44" i="22"/>
  <c r="C41" i="22" s="1"/>
  <c r="C54" i="6"/>
  <c r="C40" i="3"/>
  <c r="C62" i="3"/>
  <c r="C54" i="18"/>
  <c r="C62" i="18"/>
  <c r="C40" i="17"/>
  <c r="C62" i="17"/>
  <c r="C44" i="5"/>
  <c r="C44" i="7"/>
  <c r="D40" i="7"/>
  <c r="C40" i="9"/>
  <c r="C54" i="15"/>
  <c r="D54" i="15"/>
  <c r="D54" i="16"/>
  <c r="C54" i="16"/>
  <c r="D62" i="16"/>
  <c r="D54" i="17"/>
  <c r="C44" i="18"/>
  <c r="D56" i="18"/>
  <c r="D54" i="18" s="1"/>
  <c r="D24" i="22"/>
  <c r="D40" i="22" s="1"/>
  <c r="D54" i="22"/>
  <c r="D7" i="22"/>
  <c r="C40" i="22"/>
  <c r="D45" i="22"/>
  <c r="D44" i="18"/>
  <c r="D44" i="3"/>
  <c r="D62" i="18"/>
  <c r="C44" i="3"/>
  <c r="D44" i="7"/>
  <c r="C44" i="8"/>
  <c r="D55" i="3"/>
  <c r="D54" i="3" s="1"/>
  <c r="D63" i="3"/>
  <c r="D62" i="3" s="1"/>
  <c r="C62" i="5"/>
  <c r="C54" i="7"/>
  <c r="C62" i="7"/>
  <c r="C44" i="9"/>
  <c r="D50" i="10"/>
  <c r="D44" i="10" s="1"/>
  <c r="C44" i="10"/>
  <c r="C40" i="5"/>
  <c r="D44" i="5"/>
  <c r="C44" i="6"/>
  <c r="C40" i="7"/>
  <c r="F40" i="7" s="1"/>
  <c r="C54" i="9"/>
  <c r="D55" i="9"/>
  <c r="D54" i="9" s="1"/>
  <c r="C54" i="5"/>
  <c r="D55" i="6"/>
  <c r="D54" i="6" s="1"/>
  <c r="D63" i="6"/>
  <c r="D62" i="6" s="1"/>
  <c r="C62" i="8"/>
  <c r="D45" i="9"/>
  <c r="D44" i="9" s="1"/>
  <c r="C62" i="9"/>
  <c r="D63" i="9"/>
  <c r="D62" i="9" s="1"/>
  <c r="D42" i="11"/>
  <c r="D50" i="12"/>
  <c r="D44" i="12" s="1"/>
  <c r="C44" i="12"/>
  <c r="C44" i="14"/>
  <c r="D45" i="14"/>
  <c r="D44" i="14" s="1"/>
  <c r="C40" i="15"/>
  <c r="D54" i="5"/>
  <c r="D62" i="5"/>
  <c r="D54" i="7"/>
  <c r="D62" i="7"/>
  <c r="D62" i="8"/>
  <c r="C40" i="10"/>
  <c r="D43" i="10"/>
  <c r="D40" i="11"/>
  <c r="D44" i="11"/>
  <c r="D42" i="12"/>
  <c r="D54" i="10"/>
  <c r="D62" i="10"/>
  <c r="D54" i="11"/>
  <c r="D62" i="11"/>
  <c r="D54" i="12"/>
  <c r="D62" i="12"/>
  <c r="C62" i="13"/>
  <c r="D63" i="13"/>
  <c r="D62" i="13" s="1"/>
  <c r="C40" i="11"/>
  <c r="F40" i="11" s="1"/>
  <c r="C44" i="11"/>
  <c r="C40" i="12"/>
  <c r="C54" i="12"/>
  <c r="C62" i="12"/>
  <c r="D65" i="15"/>
  <c r="D62" i="15" s="1"/>
  <c r="C62" i="15"/>
  <c r="C44" i="13"/>
  <c r="D45" i="13"/>
  <c r="D44" i="13" s="1"/>
  <c r="C62" i="14"/>
  <c r="D63" i="14"/>
  <c r="D62" i="14" s="1"/>
  <c r="D42" i="16"/>
  <c r="C54" i="17"/>
  <c r="C54" i="13"/>
  <c r="D55" i="13"/>
  <c r="D54" i="13" s="1"/>
  <c r="C54" i="14"/>
  <c r="D55" i="14"/>
  <c r="D54" i="14" s="1"/>
  <c r="C40" i="16"/>
  <c r="C44" i="16"/>
  <c r="D45" i="16"/>
  <c r="D44" i="16" s="1"/>
  <c r="C62" i="16"/>
  <c r="D62" i="17"/>
  <c r="C40" i="13"/>
  <c r="C40" i="14"/>
  <c r="C44" i="15"/>
  <c r="C44" i="17"/>
  <c r="D44" i="15"/>
  <c r="D44" i="17"/>
  <c r="F40" i="22" l="1"/>
  <c r="D44" i="22"/>
  <c r="D41" i="22" s="1"/>
  <c r="E40" i="13"/>
  <c r="F40" i="13"/>
  <c r="D6" i="22"/>
  <c r="C41" i="11"/>
  <c r="C41" i="10"/>
  <c r="C41" i="3"/>
  <c r="C41" i="13"/>
  <c r="D41" i="17"/>
  <c r="D40" i="5"/>
  <c r="F40" i="5" s="1"/>
  <c r="C41" i="17"/>
  <c r="D40" i="12"/>
  <c r="F40" i="12" s="1"/>
  <c r="D41" i="6"/>
  <c r="C41" i="6"/>
  <c r="D40" i="9"/>
  <c r="F40" i="9" s="1"/>
  <c r="D40" i="15"/>
  <c r="F40" i="15" s="1"/>
  <c r="D41" i="14"/>
  <c r="D41" i="8"/>
  <c r="D41" i="15"/>
  <c r="D40" i="16"/>
  <c r="F40" i="16" s="1"/>
  <c r="D41" i="7"/>
  <c r="D40" i="14"/>
  <c r="F40" i="14" s="1"/>
  <c r="D41" i="13"/>
  <c r="C41" i="16"/>
  <c r="C41" i="12"/>
  <c r="C41" i="8"/>
  <c r="C41" i="18"/>
  <c r="C41" i="7"/>
  <c r="D40" i="17"/>
  <c r="F40" i="17" s="1"/>
  <c r="D41" i="9"/>
  <c r="D40" i="6"/>
  <c r="F40" i="6" s="1"/>
  <c r="C41" i="5"/>
  <c r="D40" i="3"/>
  <c r="F40" i="3" s="1"/>
  <c r="D41" i="5"/>
  <c r="C41" i="9"/>
  <c r="D40" i="10"/>
  <c r="F40" i="10" s="1"/>
  <c r="D41" i="10"/>
  <c r="C41" i="15"/>
  <c r="D40" i="18"/>
  <c r="F40" i="18" s="1"/>
  <c r="D41" i="18"/>
  <c r="D41" i="11"/>
  <c r="D41" i="3"/>
  <c r="D41" i="16"/>
  <c r="D41" i="12"/>
  <c r="C41" i="14"/>
  <c r="D40" i="8"/>
  <c r="F40" i="8" s="1"/>
  <c r="C38" i="20" l="1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D58" i="23" s="1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E58" i="23" l="1"/>
  <c r="F58" i="23"/>
  <c r="F38" i="20"/>
  <c r="E38" i="20"/>
  <c r="D34" i="20"/>
  <c r="D54" i="23" s="1"/>
  <c r="E54" i="23" s="1"/>
  <c r="F25" i="13"/>
  <c r="F14" i="12"/>
  <c r="E10" i="17"/>
  <c r="E10" i="13"/>
  <c r="E14" i="9"/>
  <c r="E12" i="19"/>
  <c r="E60" i="8"/>
  <c r="F23" i="23"/>
  <c r="F37" i="10"/>
  <c r="F83" i="23"/>
  <c r="E55" i="22"/>
  <c r="E43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7" i="19"/>
  <c r="E37" i="19" s="1"/>
  <c r="E60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4" i="19"/>
  <c r="C44" i="19"/>
  <c r="F43" i="18"/>
  <c r="E46" i="18"/>
  <c r="F51" i="18"/>
  <c r="E53" i="18"/>
  <c r="F56" i="18"/>
  <c r="E61" i="18"/>
  <c r="F43" i="17"/>
  <c r="E45" i="17"/>
  <c r="E46" i="17"/>
  <c r="E50" i="17"/>
  <c r="F55" i="17"/>
  <c r="E59" i="17"/>
  <c r="F60" i="17"/>
  <c r="F61" i="17"/>
  <c r="E43" i="16"/>
  <c r="E46" i="16"/>
  <c r="E48" i="16"/>
  <c r="E51" i="16"/>
  <c r="F53" i="16"/>
  <c r="E55" i="16"/>
  <c r="E58" i="16"/>
  <c r="F43" i="15"/>
  <c r="E47" i="15"/>
  <c r="E49" i="15"/>
  <c r="F51" i="15"/>
  <c r="E53" i="15"/>
  <c r="E55" i="15"/>
  <c r="F56" i="15"/>
  <c r="E59" i="15"/>
  <c r="E61" i="15"/>
  <c r="F45" i="14"/>
  <c r="E48" i="14"/>
  <c r="E52" i="14"/>
  <c r="E55" i="14"/>
  <c r="E56" i="14"/>
  <c r="E59" i="14"/>
  <c r="E60" i="14"/>
  <c r="E45" i="13"/>
  <c r="F46" i="13"/>
  <c r="F50" i="13"/>
  <c r="F51" i="13"/>
  <c r="E52" i="13"/>
  <c r="E53" i="13"/>
  <c r="E55" i="13"/>
  <c r="F56" i="13"/>
  <c r="E58" i="13"/>
  <c r="F61" i="13"/>
  <c r="E45" i="12"/>
  <c r="F46" i="12"/>
  <c r="E47" i="12"/>
  <c r="E48" i="12"/>
  <c r="F50" i="12"/>
  <c r="F55" i="12"/>
  <c r="F58" i="12"/>
  <c r="E59" i="12"/>
  <c r="E60" i="12"/>
  <c r="F45" i="11"/>
  <c r="E47" i="11"/>
  <c r="E49" i="11"/>
  <c r="F50" i="11"/>
  <c r="E53" i="11"/>
  <c r="E55" i="11"/>
  <c r="E57" i="11"/>
  <c r="F60" i="11"/>
  <c r="F43" i="10"/>
  <c r="F46" i="10"/>
  <c r="F47" i="10"/>
  <c r="F48" i="10"/>
  <c r="E50" i="10"/>
  <c r="E53" i="10"/>
  <c r="E55" i="10"/>
  <c r="F56" i="10"/>
  <c r="F58" i="10"/>
  <c r="E61" i="10"/>
  <c r="E43" i="9"/>
  <c r="E45" i="9"/>
  <c r="E49" i="9"/>
  <c r="F50" i="9"/>
  <c r="E56" i="9"/>
  <c r="E57" i="9"/>
  <c r="F58" i="9"/>
  <c r="E60" i="9"/>
  <c r="F45" i="8"/>
  <c r="E46" i="8"/>
  <c r="E48" i="8"/>
  <c r="E50" i="8"/>
  <c r="F51" i="8"/>
  <c r="E52" i="8"/>
  <c r="F53" i="8"/>
  <c r="E55" i="8"/>
  <c r="E56" i="8"/>
  <c r="E61" i="8"/>
  <c r="F43" i="7"/>
  <c r="E47" i="7"/>
  <c r="F50" i="7"/>
  <c r="E55" i="7"/>
  <c r="E56" i="7"/>
  <c r="E58" i="7"/>
  <c r="F60" i="7"/>
  <c r="F61" i="7"/>
  <c r="F43" i="6"/>
  <c r="E45" i="6"/>
  <c r="F46" i="6"/>
  <c r="F47" i="6"/>
  <c r="F52" i="6"/>
  <c r="E56" i="6"/>
  <c r="E58" i="6"/>
  <c r="F60" i="6"/>
  <c r="E43" i="5"/>
  <c r="E45" i="5"/>
  <c r="E46" i="5"/>
  <c r="F47" i="5"/>
  <c r="F50" i="5"/>
  <c r="E51" i="5"/>
  <c r="E53" i="5"/>
  <c r="E57" i="5"/>
  <c r="F58" i="5"/>
  <c r="F60" i="5"/>
  <c r="F61" i="5"/>
  <c r="E43" i="3"/>
  <c r="E46" i="3"/>
  <c r="E48" i="3"/>
  <c r="F50" i="3"/>
  <c r="E51" i="3"/>
  <c r="E57" i="3"/>
  <c r="E59" i="3"/>
  <c r="D43" i="19"/>
  <c r="D45" i="19"/>
  <c r="D46" i="19"/>
  <c r="F46" i="19" s="1"/>
  <c r="D47" i="19"/>
  <c r="E47" i="19" s="1"/>
  <c r="D48" i="19"/>
  <c r="D49" i="19"/>
  <c r="D50" i="19"/>
  <c r="F50" i="19" s="1"/>
  <c r="D51" i="19"/>
  <c r="D52" i="19"/>
  <c r="D53" i="19"/>
  <c r="D55" i="19"/>
  <c r="D56" i="19"/>
  <c r="D57" i="19"/>
  <c r="D58" i="19"/>
  <c r="F58" i="19" s="1"/>
  <c r="D59" i="19"/>
  <c r="E59" i="19" s="1"/>
  <c r="D60" i="19"/>
  <c r="D61" i="19"/>
  <c r="E61" i="19" s="1"/>
  <c r="F42" i="17"/>
  <c r="E42" i="16"/>
  <c r="E42" i="15"/>
  <c r="F42" i="13"/>
  <c r="E42" i="12"/>
  <c r="E42" i="9"/>
  <c r="E42" i="8"/>
  <c r="E42" i="7"/>
  <c r="F42" i="3"/>
  <c r="D42" i="19"/>
  <c r="E42" i="19" s="1"/>
  <c r="F43" i="22"/>
  <c r="E32" i="19"/>
  <c r="D36" i="19"/>
  <c r="F36" i="19" s="1"/>
  <c r="D63" i="19"/>
  <c r="E63" i="19" s="1"/>
  <c r="D64" i="19"/>
  <c r="F64" i="19" s="1"/>
  <c r="D65" i="19"/>
  <c r="E65" i="19" s="1"/>
  <c r="F66" i="19"/>
  <c r="D67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60" i="22"/>
  <c r="F49" i="9"/>
  <c r="F18" i="3"/>
  <c r="F28" i="3"/>
  <c r="F31" i="3"/>
  <c r="F33" i="3"/>
  <c r="F48" i="3"/>
  <c r="F49" i="3"/>
  <c r="F57" i="3"/>
  <c r="F59" i="3"/>
  <c r="E63" i="3"/>
  <c r="F63" i="3"/>
  <c r="F65" i="3"/>
  <c r="F66" i="3"/>
  <c r="F28" i="5"/>
  <c r="F33" i="5"/>
  <c r="F48" i="5"/>
  <c r="F49" i="5"/>
  <c r="F52" i="5"/>
  <c r="F57" i="5"/>
  <c r="F59" i="5"/>
  <c r="F64" i="5"/>
  <c r="E65" i="5"/>
  <c r="F65" i="5"/>
  <c r="F67" i="5"/>
  <c r="F28" i="6"/>
  <c r="F33" i="6"/>
  <c r="F48" i="6"/>
  <c r="F49" i="6"/>
  <c r="F57" i="6"/>
  <c r="F59" i="6"/>
  <c r="F63" i="6"/>
  <c r="F65" i="6"/>
  <c r="F28" i="7"/>
  <c r="F31" i="7"/>
  <c r="F33" i="7"/>
  <c r="F48" i="7"/>
  <c r="F49" i="7"/>
  <c r="F57" i="7"/>
  <c r="F59" i="7"/>
  <c r="F63" i="7"/>
  <c r="F65" i="7"/>
  <c r="F28" i="8"/>
  <c r="F33" i="8"/>
  <c r="F46" i="8"/>
  <c r="F49" i="8"/>
  <c r="F57" i="8"/>
  <c r="F59" i="8"/>
  <c r="F64" i="8"/>
  <c r="F65" i="8"/>
  <c r="E67" i="8"/>
  <c r="F28" i="9"/>
  <c r="F33" i="9"/>
  <c r="F57" i="9"/>
  <c r="F59" i="9"/>
  <c r="E65" i="9"/>
  <c r="F65" i="9"/>
  <c r="F28" i="10"/>
  <c r="F30" i="10"/>
  <c r="F33" i="10"/>
  <c r="F49" i="10"/>
  <c r="F53" i="10"/>
  <c r="F57" i="10"/>
  <c r="F59" i="10"/>
  <c r="F63" i="10"/>
  <c r="E64" i="10"/>
  <c r="F65" i="10"/>
  <c r="F28" i="11"/>
  <c r="F33" i="11"/>
  <c r="F48" i="11"/>
  <c r="F49" i="11"/>
  <c r="F57" i="11"/>
  <c r="F59" i="11"/>
  <c r="F63" i="11"/>
  <c r="F65" i="11"/>
  <c r="F67" i="11"/>
  <c r="F28" i="12"/>
  <c r="F33" i="12"/>
  <c r="F45" i="12"/>
  <c r="F48" i="12"/>
  <c r="F49" i="12"/>
  <c r="F57" i="12"/>
  <c r="F59" i="12"/>
  <c r="E61" i="12"/>
  <c r="F63" i="12"/>
  <c r="F64" i="12"/>
  <c r="F65" i="12"/>
  <c r="E16" i="13"/>
  <c r="F16" i="13"/>
  <c r="F28" i="13"/>
  <c r="F30" i="13"/>
  <c r="F33" i="13"/>
  <c r="F49" i="13"/>
  <c r="F57" i="13"/>
  <c r="F59" i="13"/>
  <c r="F63" i="13"/>
  <c r="E64" i="13"/>
  <c r="F65" i="13"/>
  <c r="F28" i="14"/>
  <c r="F33" i="14"/>
  <c r="F48" i="14"/>
  <c r="F49" i="14"/>
  <c r="E51" i="14"/>
  <c r="F57" i="14"/>
  <c r="F59" i="14"/>
  <c r="F63" i="14"/>
  <c r="E64" i="14"/>
  <c r="F65" i="14"/>
  <c r="F28" i="15"/>
  <c r="F30" i="15"/>
  <c r="F31" i="15"/>
  <c r="F33" i="15"/>
  <c r="F48" i="15"/>
  <c r="F49" i="15"/>
  <c r="F57" i="15"/>
  <c r="F59" i="15"/>
  <c r="F63" i="15"/>
  <c r="F65" i="15"/>
  <c r="F66" i="15"/>
  <c r="F28" i="16"/>
  <c r="F33" i="16"/>
  <c r="F47" i="16"/>
  <c r="F49" i="16"/>
  <c r="F57" i="16"/>
  <c r="F59" i="16"/>
  <c r="F63" i="16"/>
  <c r="F65" i="16"/>
  <c r="F28" i="17"/>
  <c r="F33" i="17"/>
  <c r="F48" i="17"/>
  <c r="F49" i="17"/>
  <c r="F57" i="17"/>
  <c r="F59" i="17"/>
  <c r="F63" i="17"/>
  <c r="E64" i="17"/>
  <c r="E65" i="17"/>
  <c r="F65" i="17"/>
  <c r="F28" i="18"/>
  <c r="E32" i="18"/>
  <c r="F33" i="18"/>
  <c r="F49" i="18"/>
  <c r="F53" i="18"/>
  <c r="F57" i="18"/>
  <c r="F59" i="18"/>
  <c r="F63" i="18"/>
  <c r="F65" i="18"/>
  <c r="F66" i="18"/>
  <c r="F28" i="19"/>
  <c r="F31" i="19"/>
  <c r="F33" i="19"/>
  <c r="F49" i="19"/>
  <c r="F57" i="19"/>
  <c r="F59" i="19"/>
  <c r="C62" i="19"/>
  <c r="F63" i="19"/>
  <c r="F65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2" i="20"/>
  <c r="C43" i="20"/>
  <c r="C45" i="20"/>
  <c r="C46" i="20"/>
  <c r="C47" i="20"/>
  <c r="C48" i="20"/>
  <c r="C49" i="20"/>
  <c r="C50" i="20"/>
  <c r="C51" i="20"/>
  <c r="C52" i="20"/>
  <c r="C53" i="20"/>
  <c r="C55" i="20"/>
  <c r="C56" i="20"/>
  <c r="C57" i="20"/>
  <c r="C58" i="20"/>
  <c r="C59" i="20"/>
  <c r="C60" i="20"/>
  <c r="C61" i="20"/>
  <c r="C63" i="20"/>
  <c r="C64" i="20"/>
  <c r="C65" i="20"/>
  <c r="C66" i="20"/>
  <c r="C67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7" i="22"/>
  <c r="F47" i="22"/>
  <c r="F49" i="22"/>
  <c r="E50" i="22"/>
  <c r="E57" i="22"/>
  <c r="F57" i="22"/>
  <c r="F59" i="22"/>
  <c r="E61" i="22"/>
  <c r="F63" i="22"/>
  <c r="E64" i="22"/>
  <c r="F65" i="22"/>
  <c r="F66" i="22"/>
  <c r="E67" i="22"/>
  <c r="F67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D25" i="23"/>
  <c r="C89" i="23"/>
  <c r="D90" i="23"/>
  <c r="E90" i="23" s="1"/>
  <c r="D91" i="23"/>
  <c r="E91" i="23" s="1"/>
  <c r="C25" i="20"/>
  <c r="F51" i="9"/>
  <c r="F48" i="9"/>
  <c r="F16" i="15"/>
  <c r="F18" i="12"/>
  <c r="F55" i="22"/>
  <c r="F12" i="18"/>
  <c r="E26" i="9"/>
  <c r="F14" i="15"/>
  <c r="E14" i="15"/>
  <c r="F15" i="15"/>
  <c r="E18" i="15"/>
  <c r="F64" i="22"/>
  <c r="F42" i="22"/>
  <c r="F48" i="22"/>
  <c r="E42" i="22"/>
  <c r="E65" i="22"/>
  <c r="E63" i="22"/>
  <c r="E51" i="22"/>
  <c r="E46" i="22"/>
  <c r="E31" i="22"/>
  <c r="E30" i="22"/>
  <c r="E29" i="22"/>
  <c r="E49" i="12"/>
  <c r="E48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50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6" i="22"/>
  <c r="F50" i="22"/>
  <c r="E59" i="22"/>
  <c r="F51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6" i="10"/>
  <c r="F60" i="14"/>
  <c r="F45" i="16"/>
  <c r="F43" i="11"/>
  <c r="E51" i="10"/>
  <c r="F51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3" i="22"/>
  <c r="F12" i="19"/>
  <c r="E32" i="20" l="1"/>
  <c r="C52" i="23"/>
  <c r="E52" i="23" s="1"/>
  <c r="F21" i="23"/>
  <c r="E36" i="19"/>
  <c r="C92" i="23"/>
  <c r="C85" i="23"/>
  <c r="C79" i="23"/>
  <c r="C74" i="23"/>
  <c r="C66" i="23"/>
  <c r="C50" i="23"/>
  <c r="C46" i="23"/>
  <c r="C39" i="23"/>
  <c r="C45" i="23"/>
  <c r="C88" i="23"/>
  <c r="C82" i="23"/>
  <c r="C78" i="23"/>
  <c r="C73" i="23"/>
  <c r="C69" i="23"/>
  <c r="C64" i="23"/>
  <c r="C49" i="23"/>
  <c r="C43" i="23"/>
  <c r="C38" i="23"/>
  <c r="C87" i="23"/>
  <c r="C81" i="23"/>
  <c r="C77" i="23"/>
  <c r="C72" i="23"/>
  <c r="C68" i="23"/>
  <c r="C63" i="23"/>
  <c r="C41" i="23"/>
  <c r="C37" i="23"/>
  <c r="C42" i="23"/>
  <c r="C86" i="23"/>
  <c r="C80" i="23"/>
  <c r="C67" i="23"/>
  <c r="C57" i="23"/>
  <c r="C51" i="23"/>
  <c r="C47" i="23"/>
  <c r="C40" i="23"/>
  <c r="F34" i="20"/>
  <c r="F25" i="19"/>
  <c r="E24" i="19"/>
  <c r="F61" i="10"/>
  <c r="E47" i="3"/>
  <c r="E59" i="8"/>
  <c r="E19" i="14"/>
  <c r="F12" i="8"/>
  <c r="E51" i="18"/>
  <c r="F9" i="23"/>
  <c r="E7" i="14"/>
  <c r="F27" i="7"/>
  <c r="E7" i="17"/>
  <c r="E45" i="7"/>
  <c r="E7" i="15"/>
  <c r="E7" i="10"/>
  <c r="E7" i="16"/>
  <c r="E7" i="6"/>
  <c r="E7" i="19"/>
  <c r="F60" i="18"/>
  <c r="F51" i="19"/>
  <c r="F25" i="8"/>
  <c r="F29" i="18"/>
  <c r="E26" i="18"/>
  <c r="E55" i="17"/>
  <c r="C41" i="19"/>
  <c r="E34" i="20"/>
  <c r="E11" i="11"/>
  <c r="E58" i="12"/>
  <c r="F42" i="8"/>
  <c r="E56" i="18"/>
  <c r="E43" i="15"/>
  <c r="F45" i="6"/>
  <c r="F8" i="14"/>
  <c r="E8" i="14"/>
  <c r="E15" i="17"/>
  <c r="E21" i="16"/>
  <c r="E49" i="8"/>
  <c r="E49" i="16"/>
  <c r="F13" i="8"/>
  <c r="F91" i="23"/>
  <c r="F37" i="15"/>
  <c r="F29" i="11"/>
  <c r="F17" i="16"/>
  <c r="F29" i="7"/>
  <c r="F25" i="11"/>
  <c r="F26" i="14"/>
  <c r="E67" i="11"/>
  <c r="E29" i="14"/>
  <c r="F56" i="7"/>
  <c r="F60" i="8"/>
  <c r="F11" i="8"/>
  <c r="E60" i="16"/>
  <c r="D6" i="23"/>
  <c r="E6" i="23" s="1"/>
  <c r="E19" i="11"/>
  <c r="F29" i="14"/>
  <c r="E11" i="12"/>
  <c r="F13" i="16"/>
  <c r="E50" i="11"/>
  <c r="E14" i="14"/>
  <c r="E37" i="11"/>
  <c r="F7" i="15"/>
  <c r="E59" i="9"/>
  <c r="E46" i="9"/>
  <c r="F60" i="12"/>
  <c r="F56" i="11"/>
  <c r="E33" i="5"/>
  <c r="E8" i="11"/>
  <c r="F27" i="13"/>
  <c r="E33" i="9"/>
  <c r="E43" i="17"/>
  <c r="F37" i="6"/>
  <c r="F66" i="10"/>
  <c r="F58" i="18"/>
  <c r="F22" i="3"/>
  <c r="F43" i="12"/>
  <c r="F55" i="9"/>
  <c r="F22" i="10"/>
  <c r="E63" i="17"/>
  <c r="E37" i="6"/>
  <c r="E50" i="3"/>
  <c r="F67" i="10"/>
  <c r="F25" i="23"/>
  <c r="F20" i="23"/>
  <c r="E55" i="9"/>
  <c r="E43" i="6"/>
  <c r="F45" i="7"/>
  <c r="F58" i="8"/>
  <c r="F58" i="7"/>
  <c r="E47" i="5"/>
  <c r="E23" i="6"/>
  <c r="F46" i="9"/>
  <c r="E52" i="12"/>
  <c r="E46" i="10"/>
  <c r="E56" i="11"/>
  <c r="E46" i="19"/>
  <c r="F25" i="14"/>
  <c r="E27" i="13"/>
  <c r="E15" i="11"/>
  <c r="F7" i="6"/>
  <c r="E25" i="11"/>
  <c r="E53" i="7"/>
  <c r="E53" i="8"/>
  <c r="F53" i="7"/>
  <c r="F12" i="11"/>
  <c r="F19" i="14"/>
  <c r="E45" i="8"/>
  <c r="E42" i="3"/>
  <c r="E57" i="6"/>
  <c r="E21" i="14"/>
  <c r="E29" i="16"/>
  <c r="F9" i="14"/>
  <c r="E42" i="13"/>
  <c r="E56" i="16"/>
  <c r="E52" i="16"/>
  <c r="E50" i="9"/>
  <c r="E55" i="3"/>
  <c r="F26" i="5"/>
  <c r="F29" i="16"/>
  <c r="F23" i="17"/>
  <c r="E33" i="8"/>
  <c r="E58" i="8"/>
  <c r="F52" i="13"/>
  <c r="E57" i="12"/>
  <c r="F11" i="10"/>
  <c r="E49" i="5"/>
  <c r="F66" i="8"/>
  <c r="E9" i="10"/>
  <c r="E47" i="10"/>
  <c r="E53" i="6"/>
  <c r="F42" i="7"/>
  <c r="F52" i="3"/>
  <c r="F50" i="17"/>
  <c r="E60" i="18"/>
  <c r="E50" i="13"/>
  <c r="E48" i="15"/>
  <c r="E33" i="14"/>
  <c r="E13" i="5"/>
  <c r="F20" i="8"/>
  <c r="E31" i="15"/>
  <c r="E59" i="7"/>
  <c r="F19" i="15"/>
  <c r="F51" i="14"/>
  <c r="E66" i="8"/>
  <c r="E54" i="22"/>
  <c r="E11" i="10"/>
  <c r="E45" i="15"/>
  <c r="E12" i="10"/>
  <c r="E25" i="16"/>
  <c r="E56" i="13"/>
  <c r="E67" i="5"/>
  <c r="F9" i="10"/>
  <c r="E30" i="15"/>
  <c r="E32" i="5"/>
  <c r="E43" i="11"/>
  <c r="F55" i="13"/>
  <c r="E45" i="11"/>
  <c r="E46" i="12"/>
  <c r="F61" i="9"/>
  <c r="F15" i="14"/>
  <c r="E17" i="18"/>
  <c r="E31" i="8"/>
  <c r="E57" i="15"/>
  <c r="E66" i="18"/>
  <c r="E67" i="10"/>
  <c r="F37" i="17"/>
  <c r="E65" i="7"/>
  <c r="E52" i="5"/>
  <c r="F9" i="11"/>
  <c r="F56" i="6"/>
  <c r="F7" i="13"/>
  <c r="E23" i="7"/>
  <c r="F26" i="16"/>
  <c r="E48" i="17"/>
  <c r="E13" i="3"/>
  <c r="E32" i="3"/>
  <c r="E37" i="16"/>
  <c r="E22" i="6"/>
  <c r="F30" i="14"/>
  <c r="E10" i="5"/>
  <c r="E32" i="12"/>
  <c r="F60" i="13"/>
  <c r="F53" i="14"/>
  <c r="E45" i="3"/>
  <c r="F47" i="13"/>
  <c r="F43" i="3"/>
  <c r="F45" i="5"/>
  <c r="F47" i="12"/>
  <c r="F52" i="7"/>
  <c r="E14" i="5"/>
  <c r="E27" i="5"/>
  <c r="E29" i="11"/>
  <c r="F8" i="7"/>
  <c r="F23" i="7"/>
  <c r="F12" i="10"/>
  <c r="F18" i="5"/>
  <c r="E15" i="14"/>
  <c r="F17" i="7"/>
  <c r="E18" i="7"/>
  <c r="E26" i="6"/>
  <c r="F19" i="16"/>
  <c r="E47" i="13"/>
  <c r="E57" i="19"/>
  <c r="E21" i="8"/>
  <c r="F17" i="3"/>
  <c r="F42" i="11"/>
  <c r="F50" i="15"/>
  <c r="E8" i="7"/>
  <c r="F53" i="15"/>
  <c r="E37" i="10"/>
  <c r="E49" i="14"/>
  <c r="F8" i="18"/>
  <c r="E18" i="8"/>
  <c r="E30" i="19"/>
  <c r="F10" i="14"/>
  <c r="F53" i="3"/>
  <c r="F47" i="7"/>
  <c r="E49" i="18"/>
  <c r="E55" i="12"/>
  <c r="E17" i="5"/>
  <c r="E8" i="5"/>
  <c r="F21" i="5"/>
  <c r="F17" i="11"/>
  <c r="F8" i="5"/>
  <c r="F13" i="19"/>
  <c r="E17" i="8"/>
  <c r="F23" i="18"/>
  <c r="F26" i="12"/>
  <c r="E19" i="10"/>
  <c r="E51" i="13"/>
  <c r="E63" i="10"/>
  <c r="F22" i="6"/>
  <c r="F20" i="10"/>
  <c r="F21" i="11"/>
  <c r="E42" i="11"/>
  <c r="E66" i="3"/>
  <c r="E26" i="16"/>
  <c r="E24" i="13"/>
  <c r="F32" i="12"/>
  <c r="E64" i="18"/>
  <c r="F67" i="14"/>
  <c r="E37" i="3"/>
  <c r="F37" i="9"/>
  <c r="E37" i="9"/>
  <c r="E46" i="14"/>
  <c r="E57" i="16"/>
  <c r="F43" i="16"/>
  <c r="E55" i="18"/>
  <c r="F55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7" i="15"/>
  <c r="F45" i="17"/>
  <c r="F46" i="18"/>
  <c r="E64" i="19"/>
  <c r="E15" i="8"/>
  <c r="F20" i="16"/>
  <c r="E26" i="19"/>
  <c r="F26" i="19"/>
  <c r="F21" i="7"/>
  <c r="F16" i="7"/>
  <c r="E16" i="7"/>
  <c r="E61" i="13"/>
  <c r="F48" i="13"/>
  <c r="E48" i="13"/>
  <c r="E43" i="13"/>
  <c r="F43" i="13"/>
  <c r="F55" i="15"/>
  <c r="F46" i="15"/>
  <c r="E52" i="17"/>
  <c r="E7" i="18"/>
  <c r="F7" i="18"/>
  <c r="E28" i="18"/>
  <c r="F27" i="8"/>
  <c r="E27" i="8"/>
  <c r="E14" i="8"/>
  <c r="E53" i="3"/>
  <c r="E55" i="5"/>
  <c r="F52" i="8"/>
  <c r="F52" i="16"/>
  <c r="F51" i="12"/>
  <c r="E56" i="15"/>
  <c r="E45" i="18"/>
  <c r="E32" i="17"/>
  <c r="F16" i="18"/>
  <c r="F27" i="6"/>
  <c r="F32" i="15"/>
  <c r="E28" i="6"/>
  <c r="E50" i="5"/>
  <c r="E53" i="14"/>
  <c r="E59" i="5"/>
  <c r="E51" i="12"/>
  <c r="E61" i="17"/>
  <c r="F45" i="18"/>
  <c r="F60" i="15"/>
  <c r="E58" i="9"/>
  <c r="E14" i="10"/>
  <c r="F20" i="19"/>
  <c r="F32" i="7"/>
  <c r="F21" i="17"/>
  <c r="E31" i="7"/>
  <c r="E19" i="16"/>
  <c r="E57" i="17"/>
  <c r="E51" i="15"/>
  <c r="E58" i="18"/>
  <c r="E63" i="12"/>
  <c r="F27" i="3"/>
  <c r="F50" i="18"/>
  <c r="F66" i="12"/>
  <c r="F63" i="9"/>
  <c r="E63" i="9"/>
  <c r="E33" i="19"/>
  <c r="F22" i="12"/>
  <c r="E22" i="16"/>
  <c r="F22" i="16"/>
  <c r="E10" i="8"/>
  <c r="E30" i="17"/>
  <c r="F30" i="17"/>
  <c r="E30" i="8"/>
  <c r="E29" i="5"/>
  <c r="E29" i="15"/>
  <c r="F53" i="13"/>
  <c r="E49" i="13"/>
  <c r="E61" i="16"/>
  <c r="E59" i="18"/>
  <c r="F27" i="15"/>
  <c r="E8" i="15"/>
  <c r="F8" i="15"/>
  <c r="F27" i="16"/>
  <c r="E27" i="16"/>
  <c r="F58" i="13"/>
  <c r="E19" i="5"/>
  <c r="E31" i="5"/>
  <c r="F32" i="13"/>
  <c r="E23" i="8"/>
  <c r="F46" i="14"/>
  <c r="E28" i="5"/>
  <c r="F42" i="5"/>
  <c r="E42" i="5"/>
  <c r="E49" i="19"/>
  <c r="F46" i="11"/>
  <c r="E46" i="11"/>
  <c r="F56" i="12"/>
  <c r="E56" i="12"/>
  <c r="F58" i="14"/>
  <c r="E58" i="14"/>
  <c r="E19" i="18"/>
  <c r="F22" i="8"/>
  <c r="F26" i="15"/>
  <c r="E26" i="15"/>
  <c r="E32" i="16"/>
  <c r="F32" i="16"/>
  <c r="F45" i="10"/>
  <c r="F22" i="11"/>
  <c r="F16" i="19"/>
  <c r="F18" i="8"/>
  <c r="E42" i="18"/>
  <c r="F52" i="17"/>
  <c r="E20" i="16"/>
  <c r="F67" i="17"/>
  <c r="E67" i="17"/>
  <c r="F61" i="16"/>
  <c r="F64" i="3"/>
  <c r="E64" i="3"/>
  <c r="E19" i="7"/>
  <c r="F19" i="7"/>
  <c r="E13" i="10"/>
  <c r="E25" i="17"/>
  <c r="F20" i="17"/>
  <c r="C40" i="19"/>
  <c r="E32" i="11"/>
  <c r="E27" i="14"/>
  <c r="E60" i="7"/>
  <c r="F58" i="11"/>
  <c r="E58" i="11"/>
  <c r="F53" i="11"/>
  <c r="E33" i="6"/>
  <c r="E7" i="5"/>
  <c r="F17" i="14"/>
  <c r="F47" i="8"/>
  <c r="E48" i="9"/>
  <c r="F52" i="10"/>
  <c r="E12" i="7"/>
  <c r="E7" i="12"/>
  <c r="F42" i="10"/>
  <c r="E42" i="10"/>
  <c r="F9" i="3"/>
  <c r="E24" i="22"/>
  <c r="F13" i="3"/>
  <c r="E51" i="8"/>
  <c r="E61" i="9"/>
  <c r="E56" i="19"/>
  <c r="E57" i="10"/>
  <c r="E66" i="19"/>
  <c r="E18" i="10"/>
  <c r="E31" i="3"/>
  <c r="E37" i="8"/>
  <c r="F37" i="13"/>
  <c r="E43" i="14"/>
  <c r="F46" i="16"/>
  <c r="E60" i="17"/>
  <c r="F52" i="18"/>
  <c r="E7" i="8"/>
  <c r="F7" i="8"/>
  <c r="E27" i="18"/>
  <c r="E31" i="16"/>
  <c r="F30" i="5"/>
  <c r="F30" i="6"/>
  <c r="E30" i="10"/>
  <c r="E11" i="5"/>
  <c r="F11" i="5"/>
  <c r="F12" i="5"/>
  <c r="E9" i="12"/>
  <c r="F48" i="19"/>
  <c r="F45" i="15"/>
  <c r="E52" i="10"/>
  <c r="E51" i="19"/>
  <c r="E48" i="19"/>
  <c r="E20" i="14"/>
  <c r="F15" i="11"/>
  <c r="E20" i="15"/>
  <c r="F32" i="6"/>
  <c r="E8" i="16"/>
  <c r="E33" i="16"/>
  <c r="E13" i="16"/>
  <c r="F25" i="16"/>
  <c r="E25" i="15"/>
  <c r="E47" i="8"/>
  <c r="E58" i="15"/>
  <c r="E13" i="14"/>
  <c r="E52" i="3"/>
  <c r="F43" i="9"/>
  <c r="E56" i="17"/>
  <c r="F43" i="14"/>
  <c r="E65" i="11"/>
  <c r="F61" i="8"/>
  <c r="F56" i="8"/>
  <c r="F15" i="19"/>
  <c r="E15" i="7"/>
  <c r="E7" i="7"/>
  <c r="F7" i="7"/>
  <c r="E8" i="10"/>
  <c r="F8" i="10"/>
  <c r="F56" i="19"/>
  <c r="E51" i="6"/>
  <c r="F51" i="6"/>
  <c r="E43" i="7"/>
  <c r="E57" i="8"/>
  <c r="E49" i="10"/>
  <c r="E65" i="13"/>
  <c r="F7" i="11"/>
  <c r="E21" i="10"/>
  <c r="F43" i="19"/>
  <c r="E43" i="19"/>
  <c r="E52" i="9"/>
  <c r="E7" i="9"/>
  <c r="F7" i="9"/>
  <c r="F23" i="11"/>
  <c r="F21" i="10"/>
  <c r="E26" i="10"/>
  <c r="E42" i="17"/>
  <c r="E64" i="12"/>
  <c r="E16" i="3"/>
  <c r="F16" i="3"/>
  <c r="E59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6" i="6"/>
  <c r="E59" i="6"/>
  <c r="F18" i="10"/>
  <c r="E63" i="14"/>
  <c r="F64" i="10"/>
  <c r="E67" i="9"/>
  <c r="F67" i="9"/>
  <c r="F64" i="9"/>
  <c r="E64" i="9"/>
  <c r="F52" i="9"/>
  <c r="F53" i="5"/>
  <c r="F21" i="3"/>
  <c r="F15" i="3"/>
  <c r="E15" i="3"/>
  <c r="F37" i="14"/>
  <c r="E37" i="14"/>
  <c r="F37" i="18"/>
  <c r="E37" i="18"/>
  <c r="F21" i="8"/>
  <c r="E23" i="19"/>
  <c r="E31" i="11"/>
  <c r="E60" i="11"/>
  <c r="E51" i="11"/>
  <c r="F51" i="11"/>
  <c r="F61" i="12"/>
  <c r="F56" i="14"/>
  <c r="E53" i="16"/>
  <c r="F46" i="17"/>
  <c r="F47" i="18"/>
  <c r="E47" i="18"/>
  <c r="F21" i="18"/>
  <c r="F25" i="6"/>
  <c r="E25" i="6"/>
  <c r="F16" i="8"/>
  <c r="E16" i="8"/>
  <c r="F23" i="15"/>
  <c r="E16" i="16"/>
  <c r="F16" i="16"/>
  <c r="F8" i="17"/>
  <c r="E8" i="17"/>
  <c r="F54" i="22"/>
  <c r="E10" i="3"/>
  <c r="F8" i="23"/>
  <c r="F90" i="23"/>
  <c r="F7" i="23"/>
  <c r="D89" i="23"/>
  <c r="E89" i="23" s="1"/>
  <c r="E83" i="23"/>
  <c r="E23" i="23"/>
  <c r="F22" i="23"/>
  <c r="F18" i="23"/>
  <c r="F14" i="23"/>
  <c r="C19" i="23"/>
  <c r="F24" i="22"/>
  <c r="F55" i="3"/>
  <c r="F46" i="3"/>
  <c r="E23" i="3"/>
  <c r="E17" i="3"/>
  <c r="F37" i="3"/>
  <c r="E21" i="3"/>
  <c r="F51" i="3"/>
  <c r="D56" i="20"/>
  <c r="E56" i="20" s="1"/>
  <c r="E60" i="5"/>
  <c r="F55" i="5"/>
  <c r="F46" i="5"/>
  <c r="E26" i="5"/>
  <c r="E15" i="5"/>
  <c r="D10" i="20"/>
  <c r="D30" i="23" s="1"/>
  <c r="E58" i="5"/>
  <c r="F7" i="5"/>
  <c r="E64" i="5"/>
  <c r="F23" i="5"/>
  <c r="F58" i="6"/>
  <c r="E60" i="6"/>
  <c r="F53" i="6"/>
  <c r="E49" i="6"/>
  <c r="E42" i="6"/>
  <c r="F42" i="6"/>
  <c r="F55" i="7"/>
  <c r="F13" i="7"/>
  <c r="F18" i="7"/>
  <c r="E52" i="7"/>
  <c r="E48" i="7"/>
  <c r="F32" i="8"/>
  <c r="E8" i="8"/>
  <c r="F19" i="8"/>
  <c r="F55" i="8"/>
  <c r="F37" i="8"/>
  <c r="E13" i="8"/>
  <c r="F23" i="8"/>
  <c r="F66" i="9"/>
  <c r="E66" i="9"/>
  <c r="F13" i="10"/>
  <c r="E66" i="10"/>
  <c r="E59" i="10"/>
  <c r="F10" i="10"/>
  <c r="E45" i="10"/>
  <c r="F50" i="10"/>
  <c r="E18" i="11"/>
  <c r="E7" i="11"/>
  <c r="F14" i="11"/>
  <c r="F18" i="11"/>
  <c r="E33" i="11"/>
  <c r="F52" i="12"/>
  <c r="F7" i="12"/>
  <c r="E28" i="12"/>
  <c r="E37" i="12"/>
  <c r="E66" i="12"/>
  <c r="E43" i="12"/>
  <c r="E50" i="12"/>
  <c r="D11" i="20"/>
  <c r="E60" i="13"/>
  <c r="E46" i="13"/>
  <c r="E57" i="14"/>
  <c r="E67" i="14"/>
  <c r="F64" i="14"/>
  <c r="F66" i="14"/>
  <c r="F12" i="14"/>
  <c r="D12" i="20"/>
  <c r="E9" i="14"/>
  <c r="F21" i="14"/>
  <c r="E12" i="14"/>
  <c r="E52" i="15"/>
  <c r="E21" i="15"/>
  <c r="E50" i="15"/>
  <c r="E23" i="15"/>
  <c r="D55" i="20"/>
  <c r="D76" i="23" s="1"/>
  <c r="D61" i="20"/>
  <c r="D82" i="23" s="1"/>
  <c r="E60" i="15"/>
  <c r="F52" i="15"/>
  <c r="E33" i="15"/>
  <c r="E46" i="15"/>
  <c r="F56" i="16"/>
  <c r="E45" i="16"/>
  <c r="F58" i="16"/>
  <c r="F60" i="16"/>
  <c r="E14" i="16"/>
  <c r="E47" i="16"/>
  <c r="D49" i="20"/>
  <c r="E49" i="20" s="1"/>
  <c r="F8" i="16"/>
  <c r="D53" i="20"/>
  <c r="E53" i="20" s="1"/>
  <c r="F25" i="17"/>
  <c r="F14" i="17"/>
  <c r="F7" i="17"/>
  <c r="E33" i="17"/>
  <c r="F56" i="17"/>
  <c r="D37" i="20"/>
  <c r="E58" i="17"/>
  <c r="D48" i="20"/>
  <c r="D69" i="23" s="1"/>
  <c r="F69" i="23" s="1"/>
  <c r="D59" i="20"/>
  <c r="D80" i="23" s="1"/>
  <c r="F80" i="23" s="1"/>
  <c r="F18" i="18"/>
  <c r="E43" i="18"/>
  <c r="E63" i="18"/>
  <c r="E20" i="18"/>
  <c r="E31" i="18"/>
  <c r="F67" i="18"/>
  <c r="F61" i="18"/>
  <c r="D57" i="20"/>
  <c r="D78" i="23" s="1"/>
  <c r="D64" i="20"/>
  <c r="F22" i="18"/>
  <c r="E67" i="18"/>
  <c r="F64" i="18"/>
  <c r="F42" i="18"/>
  <c r="F66" i="16"/>
  <c r="E66" i="16"/>
  <c r="E63" i="13"/>
  <c r="E65" i="10"/>
  <c r="E62" i="10"/>
  <c r="E66" i="5"/>
  <c r="F66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2" i="16"/>
  <c r="F58" i="3"/>
  <c r="E58" i="3"/>
  <c r="F51" i="7"/>
  <c r="F48" i="8"/>
  <c r="E53" i="9"/>
  <c r="F53" i="9"/>
  <c r="E58" i="10"/>
  <c r="F52" i="11"/>
  <c r="E52" i="11"/>
  <c r="F48" i="16"/>
  <c r="F53" i="17"/>
  <c r="E53" i="17"/>
  <c r="F9" i="7"/>
  <c r="E30" i="11"/>
  <c r="F30" i="11"/>
  <c r="F30" i="7"/>
  <c r="E29" i="10"/>
  <c r="F29" i="10"/>
  <c r="F9" i="16"/>
  <c r="F11" i="14"/>
  <c r="E30" i="7"/>
  <c r="F29" i="5"/>
  <c r="F60" i="3"/>
  <c r="E10" i="12"/>
  <c r="F42" i="9"/>
  <c r="D42" i="20"/>
  <c r="F42" i="20" s="1"/>
  <c r="F42" i="12"/>
  <c r="F55" i="11"/>
  <c r="E57" i="18"/>
  <c r="D46" i="20"/>
  <c r="D67" i="23" s="1"/>
  <c r="E61" i="5"/>
  <c r="F47" i="3"/>
  <c r="F45" i="9"/>
  <c r="E52" i="6"/>
  <c r="F43" i="8"/>
  <c r="F61" i="14"/>
  <c r="E61" i="14"/>
  <c r="D43" i="20"/>
  <c r="F43" i="20" s="1"/>
  <c r="F7" i="14"/>
  <c r="F32" i="17"/>
  <c r="E26" i="14"/>
  <c r="E28" i="17"/>
  <c r="E21" i="17"/>
  <c r="F29" i="12"/>
  <c r="F7" i="3"/>
  <c r="E10" i="16"/>
  <c r="E49" i="17"/>
  <c r="F22" i="7"/>
  <c r="F14" i="7"/>
  <c r="E14" i="7"/>
  <c r="E65" i="12"/>
  <c r="E64" i="11"/>
  <c r="F64" i="11"/>
  <c r="E8" i="9"/>
  <c r="F27" i="12"/>
  <c r="F20" i="12"/>
  <c r="F26" i="17"/>
  <c r="F25" i="3"/>
  <c r="F16" i="14"/>
  <c r="E16" i="14"/>
  <c r="E25" i="5"/>
  <c r="F8" i="13"/>
  <c r="F42" i="14"/>
  <c r="E42" i="14"/>
  <c r="E61" i="6"/>
  <c r="F61" i="6"/>
  <c r="F50" i="8"/>
  <c r="E51" i="9"/>
  <c r="F47" i="9"/>
  <c r="E47" i="9"/>
  <c r="F45" i="13"/>
  <c r="F50" i="14"/>
  <c r="E50" i="14"/>
  <c r="E47" i="14"/>
  <c r="F47" i="14"/>
  <c r="E50" i="16"/>
  <c r="F50" i="16"/>
  <c r="F51" i="17"/>
  <c r="E51" i="17"/>
  <c r="F47" i="17"/>
  <c r="E47" i="17"/>
  <c r="F48" i="18"/>
  <c r="E48" i="18"/>
  <c r="E23" i="16"/>
  <c r="F18" i="16"/>
  <c r="E18" i="16"/>
  <c r="E16" i="17"/>
  <c r="F9" i="9"/>
  <c r="E9" i="9"/>
  <c r="E30" i="20"/>
  <c r="F30" i="18"/>
  <c r="D9" i="20"/>
  <c r="F11" i="7"/>
  <c r="E11" i="14"/>
  <c r="F60" i="10"/>
  <c r="F10" i="3"/>
  <c r="F12" i="3"/>
  <c r="E11" i="7"/>
  <c r="D26" i="20"/>
  <c r="D46" i="23" s="1"/>
  <c r="E9" i="16"/>
  <c r="E60" i="3"/>
  <c r="F55" i="14"/>
  <c r="F61" i="15"/>
  <c r="F52" i="14"/>
  <c r="F58" i="17"/>
  <c r="D51" i="20"/>
  <c r="F51" i="20" s="1"/>
  <c r="E43" i="8"/>
  <c r="E52" i="18"/>
  <c r="D28" i="20"/>
  <c r="E7" i="13"/>
  <c r="E23" i="20"/>
  <c r="F16" i="5"/>
  <c r="E33" i="13"/>
  <c r="E27" i="12"/>
  <c r="F23" i="16"/>
  <c r="E28" i="13"/>
  <c r="E51" i="7"/>
  <c r="E50" i="18"/>
  <c r="E60" i="10"/>
  <c r="F58" i="15"/>
  <c r="E67" i="13"/>
  <c r="E63" i="15"/>
  <c r="F67" i="7"/>
  <c r="E67" i="7"/>
  <c r="E28" i="7"/>
  <c r="E27" i="10"/>
  <c r="F27" i="10"/>
  <c r="F15" i="10"/>
  <c r="D15" i="20"/>
  <c r="F64" i="17"/>
  <c r="F64" i="16"/>
  <c r="E64" i="16"/>
  <c r="E66" i="15"/>
  <c r="E67" i="3"/>
  <c r="F67" i="3"/>
  <c r="E28" i="16"/>
  <c r="F12" i="16"/>
  <c r="E12" i="16"/>
  <c r="F66" i="13"/>
  <c r="E66" i="13"/>
  <c r="E64" i="8"/>
  <c r="E33" i="18"/>
  <c r="F47" i="11"/>
  <c r="F51" i="16"/>
  <c r="F22" i="5"/>
  <c r="F67" i="19"/>
  <c r="C56" i="23"/>
  <c r="D58" i="20"/>
  <c r="F58" i="20" s="1"/>
  <c r="E58" i="19"/>
  <c r="F57" i="20"/>
  <c r="E60" i="19"/>
  <c r="F59" i="20"/>
  <c r="D45" i="20"/>
  <c r="F45" i="19"/>
  <c r="F29" i="19"/>
  <c r="D14" i="20"/>
  <c r="D52" i="20"/>
  <c r="D73" i="23" s="1"/>
  <c r="F42" i="19"/>
  <c r="F7" i="19"/>
  <c r="F14" i="19"/>
  <c r="E45" i="19"/>
  <c r="D47" i="20"/>
  <c r="F47" i="20" s="1"/>
  <c r="F60" i="19"/>
  <c r="D33" i="20"/>
  <c r="D53" i="23" s="1"/>
  <c r="F27" i="19"/>
  <c r="F65" i="20"/>
  <c r="E67" i="19"/>
  <c r="D60" i="20"/>
  <c r="D81" i="23" s="1"/>
  <c r="F52" i="19"/>
  <c r="E52" i="19"/>
  <c r="E50" i="19"/>
  <c r="F47" i="19"/>
  <c r="F32" i="19"/>
  <c r="C53" i="23"/>
  <c r="C24" i="20"/>
  <c r="C6" i="20" s="1"/>
  <c r="D21" i="20"/>
  <c r="F21" i="20" s="1"/>
  <c r="F19" i="19"/>
  <c r="E14" i="19"/>
  <c r="F21" i="19"/>
  <c r="D8" i="20"/>
  <c r="E8" i="20" s="1"/>
  <c r="C76" i="23"/>
  <c r="C54" i="20"/>
  <c r="F28" i="20"/>
  <c r="C48" i="23"/>
  <c r="F66" i="17"/>
  <c r="E66" i="17"/>
  <c r="E65" i="16"/>
  <c r="F67" i="12"/>
  <c r="E63" i="7"/>
  <c r="E63" i="5"/>
  <c r="E31" i="10"/>
  <c r="F17" i="10"/>
  <c r="D19" i="20"/>
  <c r="F19" i="20" s="1"/>
  <c r="E19" i="17"/>
  <c r="F29" i="3"/>
  <c r="E29" i="3"/>
  <c r="E53" i="22"/>
  <c r="D25" i="20"/>
  <c r="D45" i="23" s="1"/>
  <c r="C71" i="23"/>
  <c r="E26" i="13"/>
  <c r="E31" i="12"/>
  <c r="E65" i="6"/>
  <c r="F13" i="12"/>
  <c r="E22" i="19"/>
  <c r="F22" i="19"/>
  <c r="E11" i="16"/>
  <c r="F9" i="5"/>
  <c r="E30" i="9"/>
  <c r="E30" i="3"/>
  <c r="F30" i="3"/>
  <c r="F29" i="17"/>
  <c r="E29" i="17"/>
  <c r="E29" i="8"/>
  <c r="E29" i="6"/>
  <c r="F56" i="22"/>
  <c r="F52" i="22"/>
  <c r="E52" i="22"/>
  <c r="E10" i="7"/>
  <c r="F11" i="16"/>
  <c r="E11" i="3"/>
  <c r="F32" i="5"/>
  <c r="E27" i="7"/>
  <c r="F11" i="12"/>
  <c r="F26" i="13"/>
  <c r="D63" i="20"/>
  <c r="F66" i="11"/>
  <c r="E66" i="11"/>
  <c r="E65" i="8"/>
  <c r="F66" i="7"/>
  <c r="E66" i="7"/>
  <c r="E64" i="7"/>
  <c r="F64" i="7"/>
  <c r="E64" i="6"/>
  <c r="F64" i="6"/>
  <c r="E58" i="22"/>
  <c r="F58" i="22"/>
  <c r="E49" i="22"/>
  <c r="E29" i="12"/>
  <c r="F55" i="19"/>
  <c r="E55" i="19"/>
  <c r="D50" i="20"/>
  <c r="D71" i="23" s="1"/>
  <c r="F61" i="3"/>
  <c r="E61" i="3"/>
  <c r="E56" i="3"/>
  <c r="F56" i="3"/>
  <c r="E49" i="3"/>
  <c r="F45" i="3"/>
  <c r="E56" i="5"/>
  <c r="F56" i="5"/>
  <c r="F51" i="5"/>
  <c r="E48" i="5"/>
  <c r="F43" i="5"/>
  <c r="E55" i="6"/>
  <c r="F55" i="6"/>
  <c r="E50" i="6"/>
  <c r="F50" i="6"/>
  <c r="E47" i="6"/>
  <c r="E61" i="7"/>
  <c r="E57" i="7"/>
  <c r="E49" i="7"/>
  <c r="F46" i="7"/>
  <c r="E46" i="7"/>
  <c r="F60" i="9"/>
  <c r="F56" i="9"/>
  <c r="E48" i="10"/>
  <c r="E43" i="10"/>
  <c r="E48" i="11"/>
  <c r="E53" i="12"/>
  <c r="F53" i="12"/>
  <c r="E59" i="13"/>
  <c r="F55" i="16"/>
  <c r="E17" i="19"/>
  <c r="F17" i="19"/>
  <c r="E32" i="22"/>
  <c r="F28" i="22"/>
  <c r="E28" i="22"/>
  <c r="F67" i="16"/>
  <c r="E67" i="16"/>
  <c r="E63" i="16"/>
  <c r="E25" i="10"/>
  <c r="E8" i="12"/>
  <c r="F8" i="12"/>
  <c r="E18" i="19"/>
  <c r="E29" i="9"/>
  <c r="F32" i="10"/>
  <c r="E32" i="10"/>
  <c r="C44" i="20"/>
  <c r="E17" i="10"/>
  <c r="D67" i="20"/>
  <c r="E66" i="22"/>
  <c r="D36" i="20"/>
  <c r="E57" i="13"/>
  <c r="E9" i="5"/>
  <c r="D13" i="20"/>
  <c r="E13" i="20" s="1"/>
  <c r="D27" i="20"/>
  <c r="D17" i="20"/>
  <c r="F17" i="20" s="1"/>
  <c r="D22" i="20"/>
  <c r="F19" i="17"/>
  <c r="E56" i="22"/>
  <c r="D7" i="20"/>
  <c r="D18" i="20"/>
  <c r="D38" i="23" s="1"/>
  <c r="E38" i="23" s="1"/>
  <c r="E66" i="14"/>
  <c r="D65" i="20"/>
  <c r="D87" i="23" s="1"/>
  <c r="E65" i="14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F31" i="20" s="1"/>
  <c r="E33" i="22"/>
  <c r="C62" i="20"/>
  <c r="F49" i="20"/>
  <c r="C70" i="23"/>
  <c r="E67" i="15"/>
  <c r="F67" i="15"/>
  <c r="E63" i="11"/>
  <c r="E63" i="8"/>
  <c r="F63" i="8"/>
  <c r="F62" i="8"/>
  <c r="E37" i="7"/>
  <c r="E48" i="22"/>
  <c r="E45" i="22"/>
  <c r="F45" i="22"/>
  <c r="F23" i="12"/>
  <c r="E23" i="10"/>
  <c r="E16" i="10"/>
  <c r="F16" i="10"/>
  <c r="F42" i="15"/>
  <c r="F61" i="19"/>
  <c r="F53" i="19"/>
  <c r="E53" i="19"/>
  <c r="F55" i="10"/>
  <c r="F61" i="11"/>
  <c r="E61" i="11"/>
  <c r="E59" i="11"/>
  <c r="E45" i="14"/>
  <c r="D16" i="20"/>
  <c r="E19" i="22"/>
  <c r="F64" i="13"/>
  <c r="F67" i="8"/>
  <c r="F67" i="6"/>
  <c r="E63" i="6"/>
  <c r="E65" i="3"/>
  <c r="E20" i="3"/>
  <c r="F20" i="3"/>
  <c r="E14" i="3"/>
  <c r="F18" i="17"/>
  <c r="F61" i="22"/>
  <c r="D62" i="19"/>
  <c r="F62" i="19" s="1"/>
  <c r="E31" i="19"/>
  <c r="E66" i="6"/>
  <c r="F66" i="6"/>
  <c r="F23" i="14"/>
  <c r="E54" i="15"/>
  <c r="D44" i="19"/>
  <c r="E44" i="7"/>
  <c r="E54" i="9"/>
  <c r="D54" i="19"/>
  <c r="E13" i="23"/>
  <c r="D12" i="23"/>
  <c r="F12" i="23" s="1"/>
  <c r="D9" i="23"/>
  <c r="C94" i="23"/>
  <c r="D15" i="23"/>
  <c r="E17" i="23"/>
  <c r="E25" i="23"/>
  <c r="F16" i="23"/>
  <c r="E25" i="22"/>
  <c r="E20" i="22"/>
  <c r="E65" i="15"/>
  <c r="E64" i="15"/>
  <c r="F67" i="13"/>
  <c r="E67" i="12"/>
  <c r="E36" i="22"/>
  <c r="E26" i="22"/>
  <c r="E21" i="22"/>
  <c r="E17" i="22"/>
  <c r="E65" i="18"/>
  <c r="F64" i="15"/>
  <c r="E67" i="6"/>
  <c r="F63" i="5"/>
  <c r="E16" i="19"/>
  <c r="E25" i="19"/>
  <c r="E8" i="19"/>
  <c r="E10" i="11"/>
  <c r="E25" i="13"/>
  <c r="E54" i="13"/>
  <c r="F37" i="19"/>
  <c r="E28" i="20" l="1"/>
  <c r="D48" i="23"/>
  <c r="E78" i="23"/>
  <c r="F45" i="20"/>
  <c r="D66" i="23"/>
  <c r="F37" i="20"/>
  <c r="D57" i="23"/>
  <c r="C65" i="23"/>
  <c r="F45" i="23"/>
  <c r="E9" i="20"/>
  <c r="D29" i="23"/>
  <c r="E36" i="20"/>
  <c r="D56" i="23"/>
  <c r="E56" i="23" s="1"/>
  <c r="F36" i="20"/>
  <c r="E7" i="20"/>
  <c r="F81" i="23"/>
  <c r="E67" i="23"/>
  <c r="E46" i="23"/>
  <c r="F82" i="23"/>
  <c r="F70" i="23"/>
  <c r="F78" i="23"/>
  <c r="F54" i="23"/>
  <c r="F63" i="20"/>
  <c r="D85" i="23"/>
  <c r="F85" i="23" s="1"/>
  <c r="D86" i="23"/>
  <c r="F86" i="23" s="1"/>
  <c r="F33" i="20"/>
  <c r="F6" i="23"/>
  <c r="E9" i="23"/>
  <c r="E6" i="9"/>
  <c r="E62" i="9"/>
  <c r="E62" i="16"/>
  <c r="E10" i="20"/>
  <c r="F53" i="20"/>
  <c r="F62" i="9"/>
  <c r="E62" i="15"/>
  <c r="F10" i="20"/>
  <c r="F62" i="16"/>
  <c r="F62" i="18"/>
  <c r="F62" i="15"/>
  <c r="F89" i="23"/>
  <c r="F11" i="20"/>
  <c r="F56" i="20"/>
  <c r="E12" i="23"/>
  <c r="D77" i="23"/>
  <c r="F77" i="23" s="1"/>
  <c r="E80" i="23"/>
  <c r="E12" i="20"/>
  <c r="F14" i="20"/>
  <c r="D50" i="23"/>
  <c r="E50" i="23" s="1"/>
  <c r="F26" i="20"/>
  <c r="F55" i="20"/>
  <c r="F64" i="20"/>
  <c r="E69" i="23"/>
  <c r="E11" i="20"/>
  <c r="D70" i="23"/>
  <c r="E70" i="23" s="1"/>
  <c r="E37" i="20"/>
  <c r="E59" i="20"/>
  <c r="E57" i="23"/>
  <c r="F12" i="20"/>
  <c r="E15" i="20"/>
  <c r="E76" i="23"/>
  <c r="E64" i="20"/>
  <c r="E55" i="20"/>
  <c r="F15" i="20"/>
  <c r="E48" i="20"/>
  <c r="D74" i="23"/>
  <c r="E74" i="23" s="1"/>
  <c r="E61" i="20"/>
  <c r="F61" i="20"/>
  <c r="D43" i="23"/>
  <c r="F43" i="23" s="1"/>
  <c r="E57" i="20"/>
  <c r="F18" i="20"/>
  <c r="F48" i="20"/>
  <c r="E19" i="20"/>
  <c r="E46" i="20"/>
  <c r="E51" i="20"/>
  <c r="F38" i="23"/>
  <c r="F67" i="23"/>
  <c r="F9" i="20"/>
  <c r="E62" i="18"/>
  <c r="F48" i="23"/>
  <c r="F30" i="20"/>
  <c r="F46" i="23"/>
  <c r="E60" i="20"/>
  <c r="E24" i="5"/>
  <c r="F24" i="5"/>
  <c r="E24" i="9"/>
  <c r="E18" i="20"/>
  <c r="F23" i="20"/>
  <c r="F62" i="10"/>
  <c r="D79" i="23"/>
  <c r="E45" i="20"/>
  <c r="D63" i="23"/>
  <c r="E63" i="23" s="1"/>
  <c r="D72" i="23"/>
  <c r="E72" i="23" s="1"/>
  <c r="E26" i="20"/>
  <c r="E24" i="16"/>
  <c r="F24" i="16"/>
  <c r="F62" i="13"/>
  <c r="E62" i="13"/>
  <c r="D64" i="23"/>
  <c r="E43" i="20"/>
  <c r="E40" i="5"/>
  <c r="F46" i="20"/>
  <c r="F53" i="23"/>
  <c r="E42" i="20"/>
  <c r="F24" i="9"/>
  <c r="F25" i="20"/>
  <c r="E14" i="20"/>
  <c r="E58" i="20"/>
  <c r="E33" i="20"/>
  <c r="F60" i="20"/>
  <c r="D54" i="20"/>
  <c r="F54" i="20" s="1"/>
  <c r="E45" i="23"/>
  <c r="F20" i="20"/>
  <c r="E53" i="23"/>
  <c r="C44" i="23"/>
  <c r="E47" i="20"/>
  <c r="D68" i="23"/>
  <c r="D40" i="23"/>
  <c r="E40" i="23" s="1"/>
  <c r="E81" i="23"/>
  <c r="F52" i="20"/>
  <c r="E52" i="20"/>
  <c r="F76" i="23"/>
  <c r="E71" i="23"/>
  <c r="F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4" i="10"/>
  <c r="F54" i="10"/>
  <c r="E24" i="3"/>
  <c r="F24" i="3"/>
  <c r="E24" i="8"/>
  <c r="F24" i="8"/>
  <c r="F6" i="8"/>
  <c r="C84" i="23"/>
  <c r="D51" i="23"/>
  <c r="E31" i="20"/>
  <c r="D92" i="23"/>
  <c r="F67" i="20"/>
  <c r="E67" i="20"/>
  <c r="F44" i="22"/>
  <c r="E44" i="22"/>
  <c r="E24" i="7"/>
  <c r="F24" i="7"/>
  <c r="F44" i="15"/>
  <c r="E44" i="15"/>
  <c r="F24" i="18"/>
  <c r="E24" i="18"/>
  <c r="F24" i="11"/>
  <c r="E24" i="11"/>
  <c r="F62" i="12"/>
  <c r="E62" i="12"/>
  <c r="E54" i="6"/>
  <c r="F54" i="6"/>
  <c r="E54" i="3"/>
  <c r="F54" i="3"/>
  <c r="F62" i="6"/>
  <c r="E62" i="6"/>
  <c r="C75" i="23"/>
  <c r="D37" i="23"/>
  <c r="D41" i="19"/>
  <c r="E44" i="19"/>
  <c r="F44" i="19"/>
  <c r="F54" i="15"/>
  <c r="F66" i="20"/>
  <c r="E66" i="20"/>
  <c r="E44" i="9"/>
  <c r="F44" i="9"/>
  <c r="E62" i="19"/>
  <c r="E54" i="11"/>
  <c r="F54" i="11"/>
  <c r="E62" i="8"/>
  <c r="F54" i="5"/>
  <c r="E54" i="5"/>
  <c r="F71" i="23"/>
  <c r="E63" i="20"/>
  <c r="E50" i="20"/>
  <c r="F62" i="17"/>
  <c r="E62" i="17"/>
  <c r="D44" i="20"/>
  <c r="C40" i="20"/>
  <c r="C60" i="23" s="1"/>
  <c r="F44" i="7"/>
  <c r="F44" i="11"/>
  <c r="F62" i="11"/>
  <c r="E62" i="22"/>
  <c r="F62" i="22"/>
  <c r="D47" i="23"/>
  <c r="E27" i="20"/>
  <c r="F44" i="3"/>
  <c r="E44" i="3"/>
  <c r="F27" i="20"/>
  <c r="E54" i="19"/>
  <c r="F54" i="19"/>
  <c r="F54" i="7"/>
  <c r="E54" i="7"/>
  <c r="F44" i="14"/>
  <c r="E44" i="14"/>
  <c r="E65" i="20"/>
  <c r="E44" i="11"/>
  <c r="D62" i="20"/>
  <c r="F62" i="20" s="1"/>
  <c r="E82" i="23"/>
  <c r="E17" i="20"/>
  <c r="F16" i="20"/>
  <c r="F54" i="9"/>
  <c r="F24" i="12"/>
  <c r="E24" i="12"/>
  <c r="E54" i="12"/>
  <c r="F54" i="12"/>
  <c r="F62" i="3"/>
  <c r="E62" i="3"/>
  <c r="E62" i="11"/>
  <c r="E40" i="16"/>
  <c r="F62" i="14"/>
  <c r="E62" i="14"/>
  <c r="E62" i="5"/>
  <c r="F62" i="5"/>
  <c r="F7" i="20"/>
  <c r="F73" i="23"/>
  <c r="E73" i="23"/>
  <c r="E22" i="20"/>
  <c r="D42" i="23"/>
  <c r="F22" i="20"/>
  <c r="C41" i="20"/>
  <c r="F24" i="10"/>
  <c r="E24" i="10"/>
  <c r="E62" i="7"/>
  <c r="F62" i="7"/>
  <c r="F50" i="20"/>
  <c r="F6" i="9"/>
  <c r="D94" i="23"/>
  <c r="F94" i="23" s="1"/>
  <c r="D19" i="23"/>
  <c r="E15" i="23"/>
  <c r="F15" i="23"/>
  <c r="F52" i="23"/>
  <c r="E44" i="18"/>
  <c r="F44" i="18"/>
  <c r="F44" i="13"/>
  <c r="E44" i="13"/>
  <c r="F44" i="12"/>
  <c r="E44" i="12"/>
  <c r="E54" i="16"/>
  <c r="F54" i="16"/>
  <c r="F44" i="10"/>
  <c r="E44" i="10"/>
  <c r="F24" i="17"/>
  <c r="E24" i="17"/>
  <c r="F54" i="8"/>
  <c r="E54" i="8"/>
  <c r="E24" i="15"/>
  <c r="F24" i="15"/>
  <c r="F44" i="8"/>
  <c r="E44" i="8"/>
  <c r="F54" i="13"/>
  <c r="F24" i="13"/>
  <c r="F44" i="6"/>
  <c r="E44" i="6"/>
  <c r="F24" i="19"/>
  <c r="D40" i="19"/>
  <c r="F40" i="19" s="1"/>
  <c r="D24" i="20"/>
  <c r="D6" i="20" s="1"/>
  <c r="E6" i="20" s="1"/>
  <c r="D49" i="23"/>
  <c r="F29" i="20"/>
  <c r="E29" i="20"/>
  <c r="F24" i="6"/>
  <c r="E24" i="6"/>
  <c r="E54" i="18"/>
  <c r="F54" i="18"/>
  <c r="F24" i="14"/>
  <c r="E24" i="14"/>
  <c r="F44" i="16"/>
  <c r="E44" i="16"/>
  <c r="F54" i="17"/>
  <c r="E54" i="17"/>
  <c r="F44" i="5"/>
  <c r="E44" i="5"/>
  <c r="F54" i="14"/>
  <c r="E54" i="14"/>
  <c r="E44" i="17"/>
  <c r="F44" i="17"/>
  <c r="E66" i="23" l="1"/>
  <c r="D65" i="23"/>
  <c r="F56" i="23"/>
  <c r="E51" i="23"/>
  <c r="F51" i="23"/>
  <c r="E86" i="23"/>
  <c r="E77" i="23"/>
  <c r="F6" i="5"/>
  <c r="E6" i="5"/>
  <c r="E94" i="23"/>
  <c r="F50" i="23"/>
  <c r="E43" i="23"/>
  <c r="F57" i="23"/>
  <c r="E40" i="8"/>
  <c r="F66" i="23"/>
  <c r="F74" i="23"/>
  <c r="E48" i="23"/>
  <c r="C62" i="23"/>
  <c r="F63" i="23"/>
  <c r="E79" i="23"/>
  <c r="F79" i="23"/>
  <c r="F65" i="23"/>
  <c r="D75" i="23"/>
  <c r="E75" i="23" s="1"/>
  <c r="E6" i="16"/>
  <c r="F6" i="16"/>
  <c r="E64" i="23"/>
  <c r="F64" i="23"/>
  <c r="F72" i="23"/>
  <c r="E40" i="9"/>
  <c r="E54" i="20"/>
  <c r="D41" i="20"/>
  <c r="E41" i="20" s="1"/>
  <c r="E39" i="23"/>
  <c r="F40" i="23"/>
  <c r="F68" i="23"/>
  <c r="E68" i="23"/>
  <c r="E62" i="20"/>
  <c r="E44" i="20"/>
  <c r="F44" i="20"/>
  <c r="E41" i="23"/>
  <c r="F41" i="23"/>
  <c r="E40" i="3"/>
  <c r="E40" i="10"/>
  <c r="E41" i="7"/>
  <c r="F41" i="7"/>
  <c r="F41" i="9"/>
  <c r="E41" i="9"/>
  <c r="F88" i="23"/>
  <c r="E88" i="23"/>
  <c r="E37" i="23"/>
  <c r="F37" i="23"/>
  <c r="E40" i="11"/>
  <c r="D84" i="23"/>
  <c r="F84" i="23" s="1"/>
  <c r="F87" i="23"/>
  <c r="E87" i="23"/>
  <c r="E40" i="18"/>
  <c r="F41" i="15"/>
  <c r="E41" i="15"/>
  <c r="E6" i="7"/>
  <c r="F6" i="7"/>
  <c r="F92" i="23"/>
  <c r="E92" i="23"/>
  <c r="E85" i="23"/>
  <c r="E40" i="12"/>
  <c r="E47" i="23"/>
  <c r="F47" i="23"/>
  <c r="F41" i="11"/>
  <c r="E41" i="11"/>
  <c r="E40" i="7"/>
  <c r="E6" i="8"/>
  <c r="F42" i="23"/>
  <c r="E42" i="23"/>
  <c r="F6" i="18"/>
  <c r="E6" i="18"/>
  <c r="F41" i="3"/>
  <c r="E41" i="3"/>
  <c r="F41" i="19"/>
  <c r="E41" i="19"/>
  <c r="E6" i="11"/>
  <c r="F6" i="11"/>
  <c r="F41" i="22"/>
  <c r="E41" i="22"/>
  <c r="E6" i="3"/>
  <c r="F6" i="3"/>
  <c r="F19" i="23"/>
  <c r="E19" i="23"/>
  <c r="E41" i="14"/>
  <c r="F41" i="14"/>
  <c r="E40" i="14"/>
  <c r="F49" i="23"/>
  <c r="E49" i="23"/>
  <c r="F6" i="13"/>
  <c r="E6" i="13"/>
  <c r="E6" i="6"/>
  <c r="F6" i="6"/>
  <c r="E40" i="6"/>
  <c r="D44" i="23"/>
  <c r="E24" i="20"/>
  <c r="F24" i="20"/>
  <c r="F6" i="17"/>
  <c r="E6" i="17"/>
  <c r="F41" i="12"/>
  <c r="E41" i="12"/>
  <c r="E41" i="13"/>
  <c r="F41" i="13"/>
  <c r="E41" i="18"/>
  <c r="F41" i="18"/>
  <c r="F41" i="17"/>
  <c r="E41" i="17"/>
  <c r="F41" i="5"/>
  <c r="E41" i="5"/>
  <c r="F41" i="16"/>
  <c r="E41" i="16"/>
  <c r="F6" i="19"/>
  <c r="E6" i="19"/>
  <c r="F41" i="6"/>
  <c r="E41" i="6"/>
  <c r="F6" i="15"/>
  <c r="E6" i="15"/>
  <c r="F6" i="14"/>
  <c r="E6" i="14"/>
  <c r="D40" i="20"/>
  <c r="E40" i="19"/>
  <c r="E41" i="8"/>
  <c r="F41" i="8"/>
  <c r="E40" i="15"/>
  <c r="E40" i="17"/>
  <c r="E41" i="10"/>
  <c r="F41" i="10"/>
  <c r="D62" i="23" l="1"/>
  <c r="E62" i="23" s="1"/>
  <c r="F40" i="20"/>
  <c r="D60" i="23"/>
  <c r="E60" i="23" s="1"/>
  <c r="E65" i="23"/>
  <c r="F62" i="23"/>
  <c r="F75" i="23"/>
  <c r="F41" i="20"/>
  <c r="E84" i="23"/>
  <c r="E40" i="20"/>
  <c r="F6" i="20"/>
  <c r="E44" i="23"/>
  <c r="F44" i="23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C26" i="23" l="1"/>
  <c r="E34" i="23"/>
  <c r="F30" i="23"/>
  <c r="D28" i="23"/>
  <c r="E28" i="23" s="1"/>
  <c r="E7" i="22"/>
  <c r="E16" i="22"/>
  <c r="D33" i="23"/>
  <c r="E33" i="23" s="1"/>
  <c r="F34" i="23"/>
  <c r="D27" i="23"/>
  <c r="E36" i="23"/>
  <c r="F36" i="23"/>
  <c r="E29" i="23"/>
  <c r="E14" i="22"/>
  <c r="D31" i="23"/>
  <c r="F31" i="23" s="1"/>
  <c r="E35" i="23"/>
  <c r="E26" i="23" l="1"/>
  <c r="C95" i="23"/>
  <c r="F27" i="23"/>
  <c r="E27" i="23"/>
  <c r="F28" i="23"/>
  <c r="E30" i="23"/>
  <c r="F60" i="23"/>
  <c r="E40" i="22"/>
  <c r="F33" i="23"/>
  <c r="F29" i="23"/>
  <c r="E6" i="22"/>
  <c r="E31" i="23"/>
  <c r="F35" i="23"/>
  <c r="F6" i="22"/>
  <c r="F32" i="23"/>
  <c r="C61" i="23" l="1"/>
  <c r="D61" i="23"/>
  <c r="D93" i="23" s="1"/>
  <c r="F26" i="23"/>
  <c r="E61" i="23" l="1"/>
  <c r="C93" i="23"/>
  <c r="E93" i="23" s="1"/>
  <c r="E24" i="23"/>
  <c r="F24" i="23"/>
  <c r="F95" i="23"/>
  <c r="F61" i="23" l="1"/>
  <c r="F93" i="23" l="1"/>
</calcChain>
</file>

<file path=xl/sharedStrings.xml><?xml version="1.0" encoding="utf-8"?>
<sst xmlns="http://schemas.openxmlformats.org/spreadsheetml/2006/main" count="2578" uniqueCount="205">
  <si>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</si>
  <si>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</si>
  <si>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</si>
  <si>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</si>
  <si>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</si>
  <si>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</si>
  <si>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</si>
  <si>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</si>
  <si>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</si>
  <si>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</si>
  <si>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</si>
  <si>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</si>
  <si>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</si>
  <si>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</si>
  <si>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</si>
  <si>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</si>
  <si>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</si>
  <si>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</si>
  <si>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</si>
  <si>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</si>
  <si>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</si>
  <si>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</si>
  <si>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</si>
  <si>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</si>
  <si>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</si>
  <si>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</si>
  <si>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</si>
  <si>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</si>
  <si>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</si>
  <si>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</si>
  <si>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</si>
  <si>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</si>
  <si>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</si>
  <si>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</si>
  <si>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</si>
  <si>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</si>
  <si>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</si>
  <si>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</si>
  <si>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</si>
  <si>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</si>
  <si>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</si>
  <si>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</si>
  <si>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</si>
  <si>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</si>
  <si>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</si>
  <si>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</si>
  <si>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</si>
  <si>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</si>
  <si>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</si>
  <si>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</si>
  <si>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</si>
  <si>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</si>
  <si>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</si>
  <si>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</si>
  <si>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</si>
  <si>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</si>
  <si>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</si>
  <si>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</si>
  <si>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</si>
  <si>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</si>
  <si>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</si>
  <si>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</si>
  <si>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</si>
  <si>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</si>
  <si>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</si>
  <si>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</si>
  <si>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</si>
  <si>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</si>
  <si>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</si>
  <si>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</si>
  <si>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</si>
  <si>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</si>
  <si>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</si>
  <si>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</si>
  <si>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</si>
  <si>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</si>
  <si>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</si>
  <si>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</si>
  <si>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</si>
  <si>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</si>
  <si>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</si>
  <si>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</si>
  <si>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</si>
  <si>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</si>
  <si>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</si>
  <si>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</si>
  <si>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</si>
  <si>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</si>
  <si>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</si>
  <si>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</si>
  <si>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</si>
  <si>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</si>
  <si>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</si>
  <si>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</si>
  <si>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</si>
  <si>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</si>
  <si>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</si>
  <si>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</si>
  <si>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</si>
  <si>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</si>
  <si>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</si>
  <si>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</si>
  <si>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</si>
  <si>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</si>
  <si>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</si>
  <si>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</si>
  <si>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</si>
  <si>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</si>
  <si>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</si>
  <si>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</si>
  <si>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</si>
  <si>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</si>
  <si>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</si>
  <si>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</si>
  <si>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</si>
  <si>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</si>
  <si>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</si>
  <si>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</si>
  <si>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</si>
  <si>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</si>
  <si>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</si>
  <si>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</si>
  <si>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</si>
  <si>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</si>
  <si>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</si>
  <si>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</si>
  <si>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</si>
  <si>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</si>
  <si>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</si>
  <si>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</si>
  <si>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</si>
  <si>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</si>
  <si>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</si>
  <si>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</si>
  <si>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</si>
  <si>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</si>
  <si>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</si>
  <si>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</si>
  <si>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</si>
  <si>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</si>
  <si>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</si>
  <si>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</si>
  <si>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</si>
  <si>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</si>
  <si>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</si>
  <si>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</si>
  <si>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</si>
  <si>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</si>
  <si>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</si>
  <si>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</si>
  <si>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</si>
  <si>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</si>
  <si>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</si>
  <si>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</si>
  <si>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</si>
  <si>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</si>
  <si>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</si>
  <si>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</si>
  <si>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</si>
  <si>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</si>
  <si>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</si>
  <si>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</si>
  <si>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</si>
  <si>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</si>
  <si>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</si>
  <si>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</si>
  <si>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</si>
  <si>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</si>
  <si>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</si>
  <si>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</si>
  <si>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</si>
  <si>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</si>
  <si>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</si>
  <si>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</si>
  <si>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</si>
  <si>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</si>
  <si>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</si>
  <si>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</si>
  <si>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</si>
  <si>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</si>
  <si>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</si>
  <si>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</si>
  <si>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</si>
  <si>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</si>
  <si>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</si>
  <si>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</si>
  <si>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</si>
  <si>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</si>
  <si>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</si>
  <si>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</si>
  <si>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</si>
  <si>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</si>
  <si>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</si>
  <si>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</si>
  <si>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Plan na
2018 rok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</si>
  <si>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</si>
  <si>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</si>
  <si>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</si>
  <si>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</si>
  <si>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</si>
  <si>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</si>
  <si>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>B6</t>
  </si>
  <si>
    <t>Koszt zadania, o którym mowa w art. 97 ust.3 pkt 4c ustawy</t>
  </si>
  <si>
    <t>Koszty realizacji zadań (B1 + B2 + B3 + B4 + B5+B6)</t>
  </si>
  <si>
    <t>Ostateczny plan finansowy NFZ na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</si>
</sst>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3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view="pageBreakPreview" zoomScale="55" zoomScaleNormal="55" zoomScaleSheetLayoutView="55" workbookViewId="0">
      <pane xSplit="2" ySplit="5" topLeftCell="C16" activePane="bottomRight" state="frozen"/>
      <selection activeCell="F2" sqref="F1:F1048576"/>
      <selection pane="topRight" activeCell="F2" sqref="F1:F1048576"/>
      <selection pane="bottomLeft" activeCell="F2" sqref="F1:F1048576"/>
      <selection pane="bottomRight" activeCell="D52" sqref="D52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3" width="26.7109375" style="3" hidden="1" customWidth="1"/>
    <col min="4" max="4" width="26.85546875" style="3" customWidth="1"/>
    <col min="5" max="6" width="20.7109375" style="3" hidden="1" customWidth="1"/>
    <col min="7" max="8" width="9.140625" style="3"/>
    <col min="9" max="9" width="25.85546875" style="3" bestFit="1" customWidth="1"/>
    <col min="10" max="11" width="9.140625" style="3" customWidth="1"/>
    <col min="12" max="16384" width="9.140625" style="3"/>
  </cols>
  <sheetData>
    <row r="1" spans="1:9" s="28" customFormat="1" ht="58.5" customHeight="1" x14ac:dyDescent="0.35">
      <c r="A1" s="112" t="s">
        <v>204</v>
      </c>
      <c r="B1" s="112"/>
      <c r="C1" s="112"/>
      <c r="D1" s="112"/>
      <c r="E1" s="112"/>
      <c r="F1" s="112"/>
    </row>
    <row r="2" spans="1:9" s="21" customFormat="1" ht="35.25" customHeight="1" x14ac:dyDescent="0.3">
      <c r="A2" s="111" t="s">
        <v>164</v>
      </c>
      <c r="B2" s="111"/>
      <c r="C2" s="36"/>
    </row>
    <row r="3" spans="1:9" s="6" customFormat="1" ht="36" customHeight="1" x14ac:dyDescent="0.25">
      <c r="A3" s="4"/>
      <c r="B3" s="5"/>
      <c r="C3" s="35"/>
      <c r="D3" s="35"/>
      <c r="E3" s="35" t="s">
        <v>138</v>
      </c>
    </row>
    <row r="4" spans="1:9" s="59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9" ht="19.5" customHeight="1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s="10" customFormat="1" ht="63.75" customHeight="1" x14ac:dyDescent="0.4">
      <c r="A6" s="100">
        <v>1</v>
      </c>
      <c r="B6" s="67" t="s">
        <v>173</v>
      </c>
      <c r="C6" s="68">
        <f>C7+C8</f>
        <v>79652788</v>
      </c>
      <c r="D6" s="68">
        <f>D7+D8</f>
        <v>79652788</v>
      </c>
      <c r="E6" s="68" t="str">
        <f>IF(C6=D6,"-",D6-C6)</f>
        <v>-</v>
      </c>
      <c r="F6" s="69">
        <f>IF(C6=0,"-",D6/C6)</f>
        <v>1</v>
      </c>
      <c r="I6" s="89"/>
    </row>
    <row r="7" spans="1:9" ht="30" customHeight="1" x14ac:dyDescent="0.4">
      <c r="A7" s="101" t="s">
        <v>75</v>
      </c>
      <c r="B7" s="24" t="s">
        <v>76</v>
      </c>
      <c r="C7" s="7">
        <v>76344501</v>
      </c>
      <c r="D7" s="7">
        <f>C7</f>
        <v>76344501</v>
      </c>
      <c r="E7" s="7" t="str">
        <f t="shared" ref="E7:E83" si="0">IF(C7=D7,"-",D7-C7)</f>
        <v>-</v>
      </c>
      <c r="F7" s="42">
        <f t="shared" ref="F7:F83" si="1">IF(C7=0,"-",D7/C7)</f>
        <v>1</v>
      </c>
      <c r="I7" s="89"/>
    </row>
    <row r="8" spans="1:9" ht="30" customHeight="1" x14ac:dyDescent="0.4">
      <c r="A8" s="101" t="s">
        <v>77</v>
      </c>
      <c r="B8" s="24" t="s">
        <v>78</v>
      </c>
      <c r="C8" s="7">
        <v>3308287</v>
      </c>
      <c r="D8" s="7">
        <f>C8</f>
        <v>3308287</v>
      </c>
      <c r="E8" s="7" t="str">
        <f t="shared" si="0"/>
        <v>-</v>
      </c>
      <c r="F8" s="42">
        <f t="shared" si="1"/>
        <v>1</v>
      </c>
      <c r="I8" s="89"/>
    </row>
    <row r="9" spans="1:9" s="10" customFormat="1" ht="38.25" customHeight="1" x14ac:dyDescent="0.4">
      <c r="A9" s="100">
        <v>2</v>
      </c>
      <c r="B9" s="67" t="s">
        <v>174</v>
      </c>
      <c r="C9" s="68">
        <f>C10+C11</f>
        <v>0</v>
      </c>
      <c r="D9" s="68">
        <f>D10+D11</f>
        <v>0</v>
      </c>
      <c r="E9" s="68" t="str">
        <f t="shared" si="0"/>
        <v>-</v>
      </c>
      <c r="F9" s="69" t="str">
        <f t="shared" si="1"/>
        <v>-</v>
      </c>
      <c r="I9" s="89"/>
    </row>
    <row r="10" spans="1:9" ht="30" customHeight="1" x14ac:dyDescent="0.4">
      <c r="A10" s="101" t="s">
        <v>79</v>
      </c>
      <c r="B10" s="24" t="s">
        <v>80</v>
      </c>
      <c r="C10" s="7"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  <c r="I10" s="89"/>
    </row>
    <row r="11" spans="1:9" ht="30" customHeight="1" x14ac:dyDescent="0.4">
      <c r="A11" s="101" t="s">
        <v>81</v>
      </c>
      <c r="B11" s="24" t="s">
        <v>82</v>
      </c>
      <c r="C11" s="7"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  <c r="I11" s="89"/>
    </row>
    <row r="12" spans="1:9" s="10" customFormat="1" ht="39.75" customHeight="1" x14ac:dyDescent="0.4">
      <c r="A12" s="100">
        <v>3</v>
      </c>
      <c r="B12" s="67" t="s">
        <v>175</v>
      </c>
      <c r="C12" s="68">
        <f>C13+C14</f>
        <v>150000</v>
      </c>
      <c r="D12" s="68">
        <f>D13+D14</f>
        <v>150000</v>
      </c>
      <c r="E12" s="68" t="str">
        <f t="shared" si="0"/>
        <v>-</v>
      </c>
      <c r="F12" s="69">
        <f t="shared" si="1"/>
        <v>1</v>
      </c>
      <c r="I12" s="89"/>
    </row>
    <row r="13" spans="1:9" ht="30" customHeight="1" x14ac:dyDescent="0.4">
      <c r="A13" s="101" t="s">
        <v>83</v>
      </c>
      <c r="B13" s="24" t="s">
        <v>76</v>
      </c>
      <c r="C13" s="7"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  <c r="I13" s="89"/>
    </row>
    <row r="14" spans="1:9" ht="30" customHeight="1" x14ac:dyDescent="0.4">
      <c r="A14" s="101" t="s">
        <v>84</v>
      </c>
      <c r="B14" s="24" t="s">
        <v>78</v>
      </c>
      <c r="C14" s="7">
        <v>0</v>
      </c>
      <c r="D14" s="7">
        <f>C14</f>
        <v>0</v>
      </c>
      <c r="E14" s="7" t="str">
        <f t="shared" si="0"/>
        <v>-</v>
      </c>
      <c r="F14" s="42" t="str">
        <f t="shared" si="1"/>
        <v>-</v>
      </c>
      <c r="I14" s="89"/>
    </row>
    <row r="15" spans="1:9" s="10" customFormat="1" ht="39" customHeight="1" x14ac:dyDescent="0.4">
      <c r="A15" s="100">
        <v>4</v>
      </c>
      <c r="B15" s="67" t="s">
        <v>176</v>
      </c>
      <c r="C15" s="68">
        <f>C16+C17</f>
        <v>155882</v>
      </c>
      <c r="D15" s="68">
        <f>D16+D17</f>
        <v>155882</v>
      </c>
      <c r="E15" s="68" t="str">
        <f t="shared" si="0"/>
        <v>-</v>
      </c>
      <c r="F15" s="69">
        <f t="shared" si="1"/>
        <v>1</v>
      </c>
      <c r="I15" s="89"/>
    </row>
    <row r="16" spans="1:9" ht="30" customHeight="1" x14ac:dyDescent="0.4">
      <c r="A16" s="102" t="s">
        <v>85</v>
      </c>
      <c r="B16" s="24" t="s">
        <v>86</v>
      </c>
      <c r="C16" s="7">
        <v>152989</v>
      </c>
      <c r="D16" s="7">
        <f>C16</f>
        <v>152989</v>
      </c>
      <c r="E16" s="7" t="str">
        <f t="shared" si="0"/>
        <v>-</v>
      </c>
      <c r="F16" s="42">
        <f t="shared" si="1"/>
        <v>1</v>
      </c>
      <c r="I16" s="89"/>
    </row>
    <row r="17" spans="1:9" ht="30" customHeight="1" x14ac:dyDescent="0.4">
      <c r="A17" s="102" t="s">
        <v>87</v>
      </c>
      <c r="B17" s="24" t="s">
        <v>88</v>
      </c>
      <c r="C17" s="7">
        <v>2893</v>
      </c>
      <c r="D17" s="7">
        <f>C17</f>
        <v>2893</v>
      </c>
      <c r="E17" s="7" t="str">
        <f t="shared" si="0"/>
        <v>-</v>
      </c>
      <c r="F17" s="42">
        <f t="shared" si="1"/>
        <v>1</v>
      </c>
      <c r="I17" s="89"/>
    </row>
    <row r="18" spans="1:9" s="10" customFormat="1" ht="60.75" customHeight="1" x14ac:dyDescent="0.4">
      <c r="A18" s="100">
        <v>5</v>
      </c>
      <c r="B18" s="67" t="s">
        <v>200</v>
      </c>
      <c r="C18" s="68">
        <v>26148</v>
      </c>
      <c r="D18" s="68">
        <f>C18</f>
        <v>26148</v>
      </c>
      <c r="E18" s="68" t="str">
        <f t="shared" si="0"/>
        <v>-</v>
      </c>
      <c r="F18" s="69">
        <f t="shared" si="1"/>
        <v>1</v>
      </c>
      <c r="I18" s="89"/>
    </row>
    <row r="19" spans="1:9" s="10" customFormat="1" ht="63.75" customHeight="1" x14ac:dyDescent="0.4">
      <c r="A19" s="103" t="s">
        <v>127</v>
      </c>
      <c r="B19" s="70" t="s">
        <v>170</v>
      </c>
      <c r="C19" s="68">
        <f>(C6-C9+C12-C15-C18)+C20+C21+C22+C23</f>
        <v>83482272</v>
      </c>
      <c r="D19" s="68">
        <f>(D6-D9+D12-D15-D18)+D20+D21+D22+D23</f>
        <v>83482272</v>
      </c>
      <c r="E19" s="68" t="str">
        <f t="shared" si="0"/>
        <v>-</v>
      </c>
      <c r="F19" s="69">
        <f t="shared" si="1"/>
        <v>1</v>
      </c>
      <c r="I19" s="89"/>
    </row>
    <row r="20" spans="1:9" ht="31.5" customHeight="1" x14ac:dyDescent="0.4">
      <c r="A20" s="101" t="s">
        <v>89</v>
      </c>
      <c r="B20" s="25" t="s">
        <v>90</v>
      </c>
      <c r="C20" s="7">
        <v>241860</v>
      </c>
      <c r="D20" s="7">
        <f>C20</f>
        <v>241860</v>
      </c>
      <c r="E20" s="7" t="str">
        <f t="shared" si="0"/>
        <v>-</v>
      </c>
      <c r="F20" s="42">
        <f t="shared" si="1"/>
        <v>1</v>
      </c>
      <c r="I20" s="89"/>
    </row>
    <row r="21" spans="1:9" ht="31.5" customHeight="1" x14ac:dyDescent="0.4">
      <c r="A21" s="101" t="s">
        <v>91</v>
      </c>
      <c r="B21" s="25" t="s">
        <v>92</v>
      </c>
      <c r="C21" s="7">
        <v>6465</v>
      </c>
      <c r="D21" s="7">
        <f>C21</f>
        <v>6465</v>
      </c>
      <c r="E21" s="7" t="str">
        <f t="shared" si="0"/>
        <v>-</v>
      </c>
      <c r="F21" s="42">
        <f t="shared" si="1"/>
        <v>1</v>
      </c>
      <c r="I21" s="89"/>
    </row>
    <row r="22" spans="1:9" ht="50.25" customHeight="1" x14ac:dyDescent="0.4">
      <c r="A22" s="101" t="s">
        <v>93</v>
      </c>
      <c r="B22" s="25" t="s">
        <v>193</v>
      </c>
      <c r="C22" s="7">
        <v>1566343</v>
      </c>
      <c r="D22" s="7">
        <f>C22</f>
        <v>1566343</v>
      </c>
      <c r="E22" s="7" t="str">
        <f t="shared" si="0"/>
        <v>-</v>
      </c>
      <c r="F22" s="42">
        <f t="shared" si="1"/>
        <v>1</v>
      </c>
      <c r="I22" s="89"/>
    </row>
    <row r="23" spans="1:9" ht="31.5" customHeight="1" x14ac:dyDescent="0.4">
      <c r="A23" s="101" t="s">
        <v>94</v>
      </c>
      <c r="B23" s="26" t="s">
        <v>95</v>
      </c>
      <c r="C23" s="7">
        <v>2046846</v>
      </c>
      <c r="D23" s="7">
        <f>C23</f>
        <v>2046846</v>
      </c>
      <c r="E23" s="7" t="str">
        <f t="shared" si="0"/>
        <v>-</v>
      </c>
      <c r="F23" s="42">
        <f t="shared" si="1"/>
        <v>1</v>
      </c>
      <c r="I23" s="89"/>
    </row>
    <row r="24" spans="1:9" s="10" customFormat="1" ht="36" customHeight="1" x14ac:dyDescent="0.4">
      <c r="A24" s="103" t="s">
        <v>128</v>
      </c>
      <c r="B24" s="70" t="s">
        <v>203</v>
      </c>
      <c r="C24" s="68">
        <f>C25+C26+C56+C57+C58+C59</f>
        <v>84610648</v>
      </c>
      <c r="D24" s="68">
        <f>D25+D26+D56+D57+D58+D59</f>
        <v>84610648</v>
      </c>
      <c r="E24" s="68" t="str">
        <f>IF(C24=D24,"-",D24-C24)</f>
        <v>-</v>
      </c>
      <c r="F24" s="69">
        <f t="shared" si="1"/>
        <v>1</v>
      </c>
      <c r="I24" s="89"/>
    </row>
    <row r="25" spans="1:9" s="10" customFormat="1" ht="36" customHeight="1" x14ac:dyDescent="0.4">
      <c r="A25" s="103" t="s">
        <v>96</v>
      </c>
      <c r="B25" s="70" t="s">
        <v>97</v>
      </c>
      <c r="C25" s="68">
        <v>0</v>
      </c>
      <c r="D25" s="68">
        <f>C25</f>
        <v>0</v>
      </c>
      <c r="E25" s="68" t="str">
        <f t="shared" si="0"/>
        <v>-</v>
      </c>
      <c r="F25" s="69" t="str">
        <f t="shared" si="1"/>
        <v>-</v>
      </c>
      <c r="I25" s="89"/>
    </row>
    <row r="26" spans="1:9" s="10" customFormat="1" ht="36" customHeight="1" x14ac:dyDescent="0.4">
      <c r="A26" s="103" t="s">
        <v>0</v>
      </c>
      <c r="B26" s="70" t="s">
        <v>199</v>
      </c>
      <c r="C26" s="71">
        <f>C27+C28+C29+C34+C35+C36+C37+C38+C39+C40+C41+C42+C43+C44+C48+C49+C51+C52+C53+C54+C55</f>
        <v>81864037</v>
      </c>
      <c r="D26" s="71">
        <f>D27+D28+D29+D34+D35+D36+D37+D38+D39+D40+D41+D42+D43+D44+D48+D49+D51+D52+D53+D54+D55</f>
        <v>81864037</v>
      </c>
      <c r="E26" s="72" t="str">
        <f>IF(C26=D26,"-",D26-C26)</f>
        <v>-</v>
      </c>
      <c r="F26" s="73">
        <f t="shared" si="1"/>
        <v>1</v>
      </c>
      <c r="I26" s="89"/>
    </row>
    <row r="27" spans="1:9" ht="30" customHeight="1" x14ac:dyDescent="0.4">
      <c r="A27" s="104" t="s">
        <v>1</v>
      </c>
      <c r="B27" s="48" t="s">
        <v>116</v>
      </c>
      <c r="C27" s="7">
        <f>CENTRALA!C7+'Razem OW'!C7</f>
        <v>10954904</v>
      </c>
      <c r="D27" s="7">
        <f>CENTRALA!D7+'Razem OW'!D7</f>
        <v>11166056</v>
      </c>
      <c r="E27" s="7">
        <f t="shared" si="0"/>
        <v>211152</v>
      </c>
      <c r="F27" s="42">
        <f t="shared" si="1"/>
        <v>1.0193000000000001</v>
      </c>
      <c r="I27" s="89"/>
    </row>
    <row r="28" spans="1:9" ht="30" customHeight="1" x14ac:dyDescent="0.4">
      <c r="A28" s="104" t="s">
        <v>2</v>
      </c>
      <c r="B28" s="48" t="s">
        <v>117</v>
      </c>
      <c r="C28" s="7">
        <f>CENTRALA!C8+'Razem OW'!C8</f>
        <v>4783183</v>
      </c>
      <c r="D28" s="7">
        <f>CENTRALA!D8+'Razem OW'!D8</f>
        <v>4712293</v>
      </c>
      <c r="E28" s="7">
        <f>IF(C28=D28,"-",D28-C28)</f>
        <v>-70890</v>
      </c>
      <c r="F28" s="42">
        <f t="shared" si="1"/>
        <v>0.98519999999999996</v>
      </c>
      <c r="I28" s="89"/>
    </row>
    <row r="29" spans="1:9" ht="30" customHeight="1" x14ac:dyDescent="0.4">
      <c r="A29" s="104" t="s">
        <v>3</v>
      </c>
      <c r="B29" s="48" t="s">
        <v>114</v>
      </c>
      <c r="C29" s="7">
        <f>CENTRALA!C9+'Razem OW'!C9</f>
        <v>42660304</v>
      </c>
      <c r="D29" s="7">
        <f>CENTRALA!D9+'Razem OW'!D9</f>
        <v>42715390</v>
      </c>
      <c r="E29" s="7">
        <f t="shared" si="0"/>
        <v>55086</v>
      </c>
      <c r="F29" s="42">
        <f t="shared" si="1"/>
        <v>1.0013000000000001</v>
      </c>
      <c r="I29" s="89"/>
    </row>
    <row r="30" spans="1:9" ht="30" customHeight="1" x14ac:dyDescent="0.4">
      <c r="A30" s="105" t="s">
        <v>54</v>
      </c>
      <c r="B30" s="49" t="s">
        <v>198</v>
      </c>
      <c r="C30" s="7">
        <f>CENTRALA!C10+'Razem OW'!C10</f>
        <v>3846896</v>
      </c>
      <c r="D30" s="7">
        <f>CENTRALA!D10+'Razem OW'!D10</f>
        <v>3873729</v>
      </c>
      <c r="E30" s="7">
        <f t="shared" si="0"/>
        <v>26833</v>
      </c>
      <c r="F30" s="42">
        <f t="shared" si="1"/>
        <v>1.0069999999999999</v>
      </c>
      <c r="I30" s="89"/>
    </row>
    <row r="31" spans="1:9" ht="30" customHeight="1" x14ac:dyDescent="0.4">
      <c r="A31" s="105" t="s">
        <v>139</v>
      </c>
      <c r="B31" s="49" t="s">
        <v>142</v>
      </c>
      <c r="C31" s="7">
        <f>CENTRALA!C11+'Razem OW'!C11</f>
        <v>3489061</v>
      </c>
      <c r="D31" s="7">
        <f>CENTRALA!D11+'Razem OW'!D11</f>
        <v>3496385</v>
      </c>
      <c r="E31" s="7">
        <f t="shared" si="0"/>
        <v>7324</v>
      </c>
      <c r="F31" s="42">
        <f t="shared" si="1"/>
        <v>1.0021</v>
      </c>
      <c r="I31" s="89"/>
    </row>
    <row r="32" spans="1:9" ht="30" customHeight="1" x14ac:dyDescent="0.4">
      <c r="A32" s="105" t="s">
        <v>140</v>
      </c>
      <c r="B32" s="49" t="s">
        <v>143</v>
      </c>
      <c r="C32" s="7">
        <f>CENTRALA!C12+'Razem OW'!C12</f>
        <v>1507555</v>
      </c>
      <c r="D32" s="7">
        <f>CENTRALA!D12+'Razem OW'!D12</f>
        <v>1533479</v>
      </c>
      <c r="E32" s="7">
        <f>IF(C32=D32,"-",D32-C32)</f>
        <v>25924</v>
      </c>
      <c r="F32" s="42">
        <f t="shared" si="1"/>
        <v>1.0172000000000001</v>
      </c>
      <c r="I32" s="89"/>
    </row>
    <row r="33" spans="1:9" ht="30" customHeight="1" x14ac:dyDescent="0.4">
      <c r="A33" s="105" t="s">
        <v>141</v>
      </c>
      <c r="B33" s="49" t="s">
        <v>144</v>
      </c>
      <c r="C33" s="7">
        <f>CENTRALA!C13+'Razem OW'!C13</f>
        <v>714556</v>
      </c>
      <c r="D33" s="7">
        <f>CENTRALA!D13+'Razem OW'!D13</f>
        <v>719882</v>
      </c>
      <c r="E33" s="7">
        <f t="shared" si="0"/>
        <v>5326</v>
      </c>
      <c r="F33" s="42">
        <f t="shared" si="1"/>
        <v>1.0075000000000001</v>
      </c>
      <c r="I33" s="89"/>
    </row>
    <row r="34" spans="1:9" ht="30" customHeight="1" x14ac:dyDescent="0.4">
      <c r="A34" s="104" t="s">
        <v>4</v>
      </c>
      <c r="B34" s="48" t="s">
        <v>122</v>
      </c>
      <c r="C34" s="7">
        <f>CENTRALA!C14+'Razem OW'!C14</f>
        <v>2881196</v>
      </c>
      <c r="D34" s="7">
        <f>CENTRALA!D14+'Razem OW'!D14</f>
        <v>2867443</v>
      </c>
      <c r="E34" s="7">
        <f t="shared" si="0"/>
        <v>-13753</v>
      </c>
      <c r="F34" s="42">
        <f t="shared" si="1"/>
        <v>0.99519999999999997</v>
      </c>
      <c r="I34" s="89"/>
    </row>
    <row r="35" spans="1:9" ht="30" customHeight="1" x14ac:dyDescent="0.4">
      <c r="A35" s="104" t="s">
        <v>5</v>
      </c>
      <c r="B35" s="48" t="s">
        <v>118</v>
      </c>
      <c r="C35" s="7">
        <f>CENTRALA!C15+'Razem OW'!C15</f>
        <v>2553267</v>
      </c>
      <c r="D35" s="7">
        <f>CENTRALA!D15+'Razem OW'!D15</f>
        <v>2516280</v>
      </c>
      <c r="E35" s="7">
        <f t="shared" si="0"/>
        <v>-36987</v>
      </c>
      <c r="F35" s="42">
        <f t="shared" si="1"/>
        <v>0.98550000000000004</v>
      </c>
      <c r="I35" s="89"/>
    </row>
    <row r="36" spans="1:9" ht="30" customHeight="1" x14ac:dyDescent="0.4">
      <c r="A36" s="104" t="s">
        <v>6</v>
      </c>
      <c r="B36" s="48" t="s">
        <v>124</v>
      </c>
      <c r="C36" s="7">
        <f>CENTRALA!C16+'Razem OW'!C16</f>
        <v>1635394</v>
      </c>
      <c r="D36" s="7">
        <f>CENTRALA!D16+'Razem OW'!D16</f>
        <v>1641633</v>
      </c>
      <c r="E36" s="7">
        <f t="shared" si="0"/>
        <v>6239</v>
      </c>
      <c r="F36" s="42">
        <f t="shared" si="1"/>
        <v>1.0038</v>
      </c>
      <c r="I36" s="89"/>
    </row>
    <row r="37" spans="1:9" ht="30" customHeight="1" x14ac:dyDescent="0.4">
      <c r="A37" s="104" t="s">
        <v>7</v>
      </c>
      <c r="B37" s="48" t="s">
        <v>123</v>
      </c>
      <c r="C37" s="7">
        <f>CENTRALA!C17+'Razem OW'!C17</f>
        <v>742975</v>
      </c>
      <c r="D37" s="7">
        <f>CENTRALA!D17+'Razem OW'!D17</f>
        <v>742061</v>
      </c>
      <c r="E37" s="7">
        <f>IF(C37=D37,"-",D37-C37)</f>
        <v>-914</v>
      </c>
      <c r="F37" s="42">
        <f>IF(C37=0,"-",D37/C37)</f>
        <v>0.99880000000000002</v>
      </c>
      <c r="I37" s="89"/>
    </row>
    <row r="38" spans="1:9" ht="30" customHeight="1" x14ac:dyDescent="0.4">
      <c r="A38" s="104" t="s">
        <v>8</v>
      </c>
      <c r="B38" s="48" t="s">
        <v>119</v>
      </c>
      <c r="C38" s="7">
        <f>CENTRALA!C18+'Razem OW'!C18</f>
        <v>1867239</v>
      </c>
      <c r="D38" s="7">
        <f>CENTRALA!D18+'Razem OW'!D18</f>
        <v>1838693</v>
      </c>
      <c r="E38" s="7">
        <f t="shared" si="0"/>
        <v>-28546</v>
      </c>
      <c r="F38" s="42">
        <f t="shared" si="1"/>
        <v>0.98470000000000002</v>
      </c>
      <c r="I38" s="89"/>
    </row>
    <row r="39" spans="1:9" ht="30" customHeight="1" x14ac:dyDescent="0.4">
      <c r="A39" s="104" t="s">
        <v>9</v>
      </c>
      <c r="B39" s="48" t="s">
        <v>120</v>
      </c>
      <c r="C39" s="7">
        <f>CENTRALA!C19+'Razem OW'!C19</f>
        <v>689747</v>
      </c>
      <c r="D39" s="7">
        <f>CENTRALA!D19+'Razem OW'!D19</f>
        <v>662945</v>
      </c>
      <c r="E39" s="7">
        <f t="shared" si="0"/>
        <v>-26802</v>
      </c>
      <c r="F39" s="42">
        <f t="shared" si="1"/>
        <v>0.96109999999999995</v>
      </c>
      <c r="I39" s="89"/>
    </row>
    <row r="40" spans="1:9" ht="30" customHeight="1" x14ac:dyDescent="0.4">
      <c r="A40" s="104" t="s">
        <v>10</v>
      </c>
      <c r="B40" s="48" t="s">
        <v>125</v>
      </c>
      <c r="C40" s="7">
        <f>CENTRALA!C20+'Razem OW'!C20</f>
        <v>51696</v>
      </c>
      <c r="D40" s="7">
        <f>CENTRALA!D20+'Razem OW'!D20</f>
        <v>50220</v>
      </c>
      <c r="E40" s="7">
        <f t="shared" si="0"/>
        <v>-1476</v>
      </c>
      <c r="F40" s="42">
        <f t="shared" si="1"/>
        <v>0.97140000000000004</v>
      </c>
      <c r="I40" s="89"/>
    </row>
    <row r="41" spans="1:9" ht="40.5" x14ac:dyDescent="0.4">
      <c r="A41" s="104" t="s">
        <v>11</v>
      </c>
      <c r="B41" s="48" t="s">
        <v>121</v>
      </c>
      <c r="C41" s="7">
        <f>CENTRALA!C21+'Razem OW'!C21</f>
        <v>193196</v>
      </c>
      <c r="D41" s="7">
        <f>CENTRALA!D21+'Razem OW'!D21</f>
        <v>181697</v>
      </c>
      <c r="E41" s="7">
        <f t="shared" si="0"/>
        <v>-11499</v>
      </c>
      <c r="F41" s="42">
        <f t="shared" si="1"/>
        <v>0.9405</v>
      </c>
      <c r="I41" s="89"/>
    </row>
    <row r="42" spans="1:9" ht="30" customHeight="1" x14ac:dyDescent="0.4">
      <c r="A42" s="104" t="s">
        <v>12</v>
      </c>
      <c r="B42" s="48" t="s">
        <v>161</v>
      </c>
      <c r="C42" s="7">
        <f>CENTRALA!C22+'Razem OW'!C22</f>
        <v>2162850</v>
      </c>
      <c r="D42" s="7">
        <f>CENTRALA!D22+'Razem OW'!D22</f>
        <v>2144781</v>
      </c>
      <c r="E42" s="7">
        <f t="shared" si="0"/>
        <v>-18069</v>
      </c>
      <c r="F42" s="42">
        <f t="shared" si="1"/>
        <v>0.99160000000000004</v>
      </c>
      <c r="I42" s="89"/>
    </row>
    <row r="43" spans="1:9" ht="40.5" x14ac:dyDescent="0.4">
      <c r="A43" s="104" t="s">
        <v>13</v>
      </c>
      <c r="B43" s="48" t="s">
        <v>145</v>
      </c>
      <c r="C43" s="7">
        <f>CENTRALA!C23+'Razem OW'!C23</f>
        <v>1175448</v>
      </c>
      <c r="D43" s="7">
        <f>CENTRALA!D23+'Razem OW'!D23</f>
        <v>1099601</v>
      </c>
      <c r="E43" s="7">
        <f t="shared" si="0"/>
        <v>-75847</v>
      </c>
      <c r="F43" s="42">
        <f t="shared" si="1"/>
        <v>0.9355</v>
      </c>
      <c r="I43" s="89"/>
    </row>
    <row r="44" spans="1:9" ht="30" customHeight="1" x14ac:dyDescent="0.4">
      <c r="A44" s="106" t="s">
        <v>14</v>
      </c>
      <c r="B44" s="50" t="s">
        <v>177</v>
      </c>
      <c r="C44" s="7">
        <f>CENTRALA!C24+'Razem OW'!C24</f>
        <v>8490234</v>
      </c>
      <c r="D44" s="7">
        <f>CENTRALA!D24+'Razem OW'!D24</f>
        <v>8556239</v>
      </c>
      <c r="E44" s="7">
        <f t="shared" si="0"/>
        <v>66005</v>
      </c>
      <c r="F44" s="42">
        <f t="shared" si="1"/>
        <v>1.0078</v>
      </c>
      <c r="I44" s="89"/>
    </row>
    <row r="45" spans="1:9" ht="41.25" customHeight="1" x14ac:dyDescent="0.4">
      <c r="A45" s="105" t="s">
        <v>126</v>
      </c>
      <c r="B45" s="49" t="s">
        <v>147</v>
      </c>
      <c r="C45" s="7">
        <f>CENTRALA!C25+'Razem OW'!C25</f>
        <v>8452816</v>
      </c>
      <c r="D45" s="7">
        <f>CENTRALA!D25+'Razem OW'!D25</f>
        <v>8523698</v>
      </c>
      <c r="E45" s="7">
        <f t="shared" si="0"/>
        <v>70882</v>
      </c>
      <c r="F45" s="42">
        <f t="shared" si="1"/>
        <v>1.0084</v>
      </c>
      <c r="I45" s="89"/>
    </row>
    <row r="46" spans="1:9" ht="30" customHeight="1" x14ac:dyDescent="0.4">
      <c r="A46" s="105" t="s">
        <v>146</v>
      </c>
      <c r="B46" s="49" t="s">
        <v>149</v>
      </c>
      <c r="C46" s="7">
        <f>CENTRALA!C26+'Razem OW'!C26</f>
        <v>22130</v>
      </c>
      <c r="D46" s="7">
        <f>CENTRALA!D26+'Razem OW'!D26</f>
        <v>15525</v>
      </c>
      <c r="E46" s="7">
        <f t="shared" si="0"/>
        <v>-6605</v>
      </c>
      <c r="F46" s="42">
        <f t="shared" si="1"/>
        <v>0.70150000000000001</v>
      </c>
      <c r="I46" s="89"/>
    </row>
    <row r="47" spans="1:9" ht="41.25" customHeight="1" x14ac:dyDescent="0.4">
      <c r="A47" s="105" t="s">
        <v>150</v>
      </c>
      <c r="B47" s="49" t="s">
        <v>148</v>
      </c>
      <c r="C47" s="7">
        <f>CENTRALA!C27+'Razem OW'!C27</f>
        <v>15288</v>
      </c>
      <c r="D47" s="7">
        <f>CENTRALA!D27+'Razem OW'!D27</f>
        <v>17016</v>
      </c>
      <c r="E47" s="7">
        <f t="shared" si="0"/>
        <v>1728</v>
      </c>
      <c r="F47" s="42">
        <f t="shared" si="1"/>
        <v>1.113</v>
      </c>
      <c r="I47" s="89"/>
    </row>
    <row r="48" spans="1:9" ht="31.5" customHeight="1" x14ac:dyDescent="0.4">
      <c r="A48" s="96" t="s">
        <v>15</v>
      </c>
      <c r="B48" s="51" t="s">
        <v>110</v>
      </c>
      <c r="C48" s="7">
        <f>CENTRALA!C28+'Razem OW'!C28</f>
        <v>668390</v>
      </c>
      <c r="D48" s="7">
        <f>CENTRALA!D28+'Razem OW'!D28</f>
        <v>668390</v>
      </c>
      <c r="E48" s="7" t="str">
        <f t="shared" si="0"/>
        <v>-</v>
      </c>
      <c r="F48" s="42">
        <f t="shared" si="1"/>
        <v>1</v>
      </c>
      <c r="I48" s="89"/>
    </row>
    <row r="49" spans="1:9" ht="31.5" customHeight="1" x14ac:dyDescent="0.4">
      <c r="A49" s="96" t="s">
        <v>107</v>
      </c>
      <c r="B49" s="24" t="s">
        <v>151</v>
      </c>
      <c r="C49" s="7">
        <f>CENTRALA!C29+'Razem OW'!C29</f>
        <v>0</v>
      </c>
      <c r="D49" s="7">
        <f>CENTRALA!D29+'Razem OW'!D29</f>
        <v>0</v>
      </c>
      <c r="E49" s="7" t="str">
        <f t="shared" si="0"/>
        <v>-</v>
      </c>
      <c r="F49" s="42" t="str">
        <f t="shared" si="1"/>
        <v>-</v>
      </c>
      <c r="I49" s="89"/>
    </row>
    <row r="50" spans="1:9" ht="30" customHeight="1" x14ac:dyDescent="0.4">
      <c r="A50" s="105" t="s">
        <v>152</v>
      </c>
      <c r="B50" s="49" t="s">
        <v>163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  <c r="I50" s="89"/>
    </row>
    <row r="51" spans="1:9" ht="30" customHeight="1" x14ac:dyDescent="0.4">
      <c r="A51" s="96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  <c r="I51" s="89"/>
    </row>
    <row r="52" spans="1:9" ht="30" customHeight="1" x14ac:dyDescent="0.4">
      <c r="A52" s="96" t="s">
        <v>109</v>
      </c>
      <c r="B52" s="24" t="s">
        <v>162</v>
      </c>
      <c r="C52" s="7">
        <f>CENTRALA!C32+'Razem OW'!C32</f>
        <v>127131</v>
      </c>
      <c r="D52" s="7">
        <f>CENTRALA!D32+'Razem OW'!D32</f>
        <v>98910</v>
      </c>
      <c r="E52" s="7">
        <f>IF(C52=D52,"-",D52-C52)</f>
        <v>-28221</v>
      </c>
      <c r="F52" s="42">
        <f t="shared" si="1"/>
        <v>0.77800000000000002</v>
      </c>
      <c r="I52" s="89"/>
    </row>
    <row r="53" spans="1:9" ht="40.5" x14ac:dyDescent="0.4">
      <c r="A53" s="96" t="s">
        <v>178</v>
      </c>
      <c r="B53" s="24" t="s">
        <v>179</v>
      </c>
      <c r="C53" s="7">
        <f>CENTRALA!C33+'Razem OW'!C33</f>
        <v>75000</v>
      </c>
      <c r="D53" s="7">
        <f>CENTRALA!D33+'Razem OW'!D33</f>
        <v>75000</v>
      </c>
      <c r="E53" s="7" t="str">
        <f>IF(C53=D53,"-",D53-C53)</f>
        <v>-</v>
      </c>
      <c r="F53" s="42">
        <f>IF(C53=0,"-",D53/C53)</f>
        <v>1</v>
      </c>
      <c r="I53" s="89"/>
    </row>
    <row r="54" spans="1:9" ht="30" customHeight="1" x14ac:dyDescent="0.4">
      <c r="A54" s="96" t="s">
        <v>185</v>
      </c>
      <c r="B54" s="24" t="s">
        <v>186</v>
      </c>
      <c r="C54" s="7">
        <f>CENTRALA!C34+'Razem OW'!C34</f>
        <v>9262</v>
      </c>
      <c r="D54" s="7">
        <f>CENTRALA!D34+'Razem OW'!D34</f>
        <v>4970</v>
      </c>
      <c r="E54" s="7">
        <f>IF(C54=D54,"-",D54-C54)</f>
        <v>-4292</v>
      </c>
      <c r="F54" s="42">
        <f>IF(C54=0,"-",D54/C54)</f>
        <v>0.53659999999999997</v>
      </c>
      <c r="I54" s="89"/>
    </row>
    <row r="55" spans="1:9" ht="42" customHeight="1" x14ac:dyDescent="0.4">
      <c r="A55" s="96" t="s">
        <v>195</v>
      </c>
      <c r="B55" s="24" t="s">
        <v>196</v>
      </c>
      <c r="C55" s="7">
        <f>CENTRALA!C35+'Razem OW'!C35</f>
        <v>142621</v>
      </c>
      <c r="D55" s="7">
        <f>CENTRALA!D35+'Razem OW'!D35</f>
        <v>121435</v>
      </c>
      <c r="E55" s="7">
        <f>IF(C55=D55,"-",D55-C55)</f>
        <v>-21186</v>
      </c>
      <c r="F55" s="42">
        <f>IF(C55=0,"-",D55/C55)</f>
        <v>0.85150000000000003</v>
      </c>
      <c r="I55" s="89"/>
    </row>
    <row r="56" spans="1:9" s="10" customFormat="1" ht="30.75" customHeight="1" x14ac:dyDescent="0.4">
      <c r="A56" s="107" t="s">
        <v>56</v>
      </c>
      <c r="B56" s="74" t="s">
        <v>98</v>
      </c>
      <c r="C56" s="75">
        <f>CENTRALA!C36+'Razem OW'!C36</f>
        <v>6465</v>
      </c>
      <c r="D56" s="75">
        <f>CENTRALA!D36+'Razem OW'!D36</f>
        <v>6465</v>
      </c>
      <c r="E56" s="75" t="str">
        <f t="shared" si="0"/>
        <v>-</v>
      </c>
      <c r="F56" s="76">
        <f t="shared" si="1"/>
        <v>1</v>
      </c>
      <c r="I56" s="89"/>
    </row>
    <row r="57" spans="1:9" s="10" customFormat="1" ht="30.75" customHeight="1" x14ac:dyDescent="0.4">
      <c r="A57" s="99" t="s">
        <v>55</v>
      </c>
      <c r="B57" s="74" t="s">
        <v>58</v>
      </c>
      <c r="C57" s="68">
        <f>CENTRALA!C37+'Razem OW'!C37</f>
        <v>2046846</v>
      </c>
      <c r="D57" s="68">
        <f>CENTRALA!D37+'Razem OW'!D37</f>
        <v>2046846</v>
      </c>
      <c r="E57" s="68" t="str">
        <f t="shared" si="0"/>
        <v>-</v>
      </c>
      <c r="F57" s="69">
        <f t="shared" si="1"/>
        <v>1</v>
      </c>
      <c r="I57" s="89"/>
    </row>
    <row r="58" spans="1:9" s="10" customFormat="1" ht="60.75" x14ac:dyDescent="0.4">
      <c r="A58" s="99" t="s">
        <v>187</v>
      </c>
      <c r="B58" s="74" t="s">
        <v>188</v>
      </c>
      <c r="C58" s="68">
        <f>CENTRALA!C38+'Razem OW'!C38</f>
        <v>693300</v>
      </c>
      <c r="D58" s="68">
        <f>CENTRALA!D38+'Razem OW'!D38</f>
        <v>693300</v>
      </c>
      <c r="E58" s="68" t="str">
        <f t="shared" si="0"/>
        <v>-</v>
      </c>
      <c r="F58" s="69">
        <f t="shared" si="1"/>
        <v>1</v>
      </c>
      <c r="I58" s="89"/>
    </row>
    <row r="59" spans="1:9" s="10" customFormat="1" ht="30" x14ac:dyDescent="0.4">
      <c r="A59" s="107" t="s">
        <v>201</v>
      </c>
      <c r="B59" s="77" t="s">
        <v>202</v>
      </c>
      <c r="C59" s="68">
        <f>CENTRALA!C39+'Razem OW'!C39</f>
        <v>0</v>
      </c>
      <c r="D59" s="68">
        <f>CENTRALA!D39+'Razem OW'!D39</f>
        <v>0</v>
      </c>
      <c r="E59" s="68" t="str">
        <f t="shared" si="0"/>
        <v>-</v>
      </c>
      <c r="F59" s="69" t="str">
        <f t="shared" si="1"/>
        <v>-</v>
      </c>
      <c r="I59" s="89"/>
    </row>
    <row r="60" spans="1:9" s="10" customFormat="1" ht="45.75" customHeight="1" x14ac:dyDescent="0.4">
      <c r="A60" s="99" t="s">
        <v>153</v>
      </c>
      <c r="B60" s="74" t="s">
        <v>154</v>
      </c>
      <c r="C60" s="68">
        <f>CENTRALA!C40+'Razem OW'!C40</f>
        <v>12693851</v>
      </c>
      <c r="D60" s="68">
        <f>CENTRALA!D40+'Razem OW'!D40</f>
        <v>12772506</v>
      </c>
      <c r="E60" s="68">
        <f>IF(C60=D60,"-",D60-C60)</f>
        <v>78655</v>
      </c>
      <c r="F60" s="69">
        <f t="shared" si="1"/>
        <v>1.0062</v>
      </c>
      <c r="I60" s="89"/>
    </row>
    <row r="61" spans="1:9" s="10" customFormat="1" ht="33" customHeight="1" x14ac:dyDescent="0.4">
      <c r="A61" s="100" t="s">
        <v>129</v>
      </c>
      <c r="B61" s="67" t="s">
        <v>190</v>
      </c>
      <c r="C61" s="68">
        <f>C19-C24</f>
        <v>-1128376</v>
      </c>
      <c r="D61" s="68">
        <f>D19-D24</f>
        <v>-1128376</v>
      </c>
      <c r="E61" s="68" t="str">
        <f>IF(C61=D61,"-",D61-C61)</f>
        <v>-</v>
      </c>
      <c r="F61" s="69">
        <f t="shared" si="1"/>
        <v>1</v>
      </c>
      <c r="I61" s="89"/>
    </row>
    <row r="62" spans="1:9" s="10" customFormat="1" ht="33" customHeight="1" x14ac:dyDescent="0.4">
      <c r="A62" s="100" t="s">
        <v>130</v>
      </c>
      <c r="B62" s="67" t="s">
        <v>180</v>
      </c>
      <c r="C62" s="68">
        <f>C63+C64+C65+C73+C75+C80+C81+C82</f>
        <v>785873</v>
      </c>
      <c r="D62" s="68">
        <f>D63+D64+D65+D73+D75+D80+D81+D82</f>
        <v>785873</v>
      </c>
      <c r="E62" s="68" t="str">
        <f>IF(C62=D62,"-",D62-C62)</f>
        <v>-</v>
      </c>
      <c r="F62" s="69">
        <f t="shared" si="1"/>
        <v>1</v>
      </c>
      <c r="I62" s="89"/>
    </row>
    <row r="63" spans="1:9" ht="30" customHeight="1" x14ac:dyDescent="0.4">
      <c r="A63" s="96" t="s">
        <v>16</v>
      </c>
      <c r="B63" s="23" t="s">
        <v>17</v>
      </c>
      <c r="C63" s="7">
        <f>CENTRALA!C42+'Razem OW'!C42</f>
        <v>25892</v>
      </c>
      <c r="D63" s="7">
        <f>CENTRALA!D42+'Razem OW'!D42</f>
        <v>25892</v>
      </c>
      <c r="E63" s="7" t="str">
        <f t="shared" si="0"/>
        <v>-</v>
      </c>
      <c r="F63" s="42">
        <f t="shared" si="1"/>
        <v>1</v>
      </c>
      <c r="I63" s="89"/>
    </row>
    <row r="64" spans="1:9" ht="30" customHeight="1" x14ac:dyDescent="0.4">
      <c r="A64" s="96" t="s">
        <v>18</v>
      </c>
      <c r="B64" s="23" t="s">
        <v>19</v>
      </c>
      <c r="C64" s="7">
        <f>CENTRALA!C43+'Razem OW'!C43</f>
        <v>193402</v>
      </c>
      <c r="D64" s="7">
        <f>CENTRALA!D43+'Razem OW'!D43</f>
        <v>193402</v>
      </c>
      <c r="E64" s="7" t="str">
        <f t="shared" si="0"/>
        <v>-</v>
      </c>
      <c r="F64" s="42">
        <f t="shared" si="1"/>
        <v>1</v>
      </c>
      <c r="I64" s="89"/>
    </row>
    <row r="65" spans="1:9" ht="30" customHeight="1" x14ac:dyDescent="0.4">
      <c r="A65" s="96" t="s">
        <v>20</v>
      </c>
      <c r="B65" s="27" t="s">
        <v>181</v>
      </c>
      <c r="C65" s="7">
        <f>C66+C68+C69+C70+C71+C72</f>
        <v>4988</v>
      </c>
      <c r="D65" s="7">
        <f>D66+D68+D69+D70+D71+D72</f>
        <v>4988</v>
      </c>
      <c r="E65" s="7" t="str">
        <f>IF(C65=D65,"-",D65-C65)</f>
        <v>-</v>
      </c>
      <c r="F65" s="42">
        <f t="shared" si="1"/>
        <v>1</v>
      </c>
      <c r="I65" s="89"/>
    </row>
    <row r="66" spans="1:9" s="8" customFormat="1" ht="30" customHeight="1" x14ac:dyDescent="0.4">
      <c r="A66" s="108" t="s">
        <v>37</v>
      </c>
      <c r="B66" s="52" t="s">
        <v>30</v>
      </c>
      <c r="C66" s="7">
        <f>CENTRALA!C45+'Razem OW'!C45</f>
        <v>679</v>
      </c>
      <c r="D66" s="7">
        <f>CENTRALA!D45+'Razem OW'!D45</f>
        <v>679</v>
      </c>
      <c r="E66" s="7" t="str">
        <f>IF(C66=D66,"-",D66-C66)</f>
        <v>-</v>
      </c>
      <c r="F66" s="42">
        <f t="shared" si="1"/>
        <v>1</v>
      </c>
      <c r="I66" s="89"/>
    </row>
    <row r="67" spans="1:9" s="8" customFormat="1" ht="30" customHeight="1" x14ac:dyDescent="0.4">
      <c r="A67" s="108" t="s">
        <v>38</v>
      </c>
      <c r="B67" s="53" t="s">
        <v>31</v>
      </c>
      <c r="C67" s="7">
        <f>CENTRALA!C46+'Razem OW'!C46</f>
        <v>676</v>
      </c>
      <c r="D67" s="7">
        <f>CENTRALA!D46+'Razem OW'!D46</f>
        <v>676</v>
      </c>
      <c r="E67" s="7" t="str">
        <f t="shared" si="0"/>
        <v>-</v>
      </c>
      <c r="F67" s="42">
        <f t="shared" si="1"/>
        <v>1</v>
      </c>
      <c r="I67" s="89"/>
    </row>
    <row r="68" spans="1:9" s="8" customFormat="1" ht="30" customHeight="1" x14ac:dyDescent="0.4">
      <c r="A68" s="108" t="s">
        <v>39</v>
      </c>
      <c r="B68" s="52" t="s">
        <v>32</v>
      </c>
      <c r="C68" s="7">
        <f>CENTRALA!C47+'Razem OW'!C47</f>
        <v>716</v>
      </c>
      <c r="D68" s="7">
        <f>CENTRALA!D47+'Razem OW'!D47</f>
        <v>716</v>
      </c>
      <c r="E68" s="7" t="str">
        <f t="shared" si="0"/>
        <v>-</v>
      </c>
      <c r="F68" s="42">
        <f t="shared" si="1"/>
        <v>1</v>
      </c>
      <c r="I68" s="89"/>
    </row>
    <row r="69" spans="1:9" s="8" customFormat="1" ht="30" customHeight="1" x14ac:dyDescent="0.4">
      <c r="A69" s="108" t="s">
        <v>40</v>
      </c>
      <c r="B69" s="52" t="s">
        <v>33</v>
      </c>
      <c r="C69" s="7">
        <f>CENTRALA!C48+'Razem OW'!C48</f>
        <v>19</v>
      </c>
      <c r="D69" s="7">
        <f>CENTRALA!D48+'Razem OW'!D48</f>
        <v>19</v>
      </c>
      <c r="E69" s="7" t="str">
        <f t="shared" si="0"/>
        <v>-</v>
      </c>
      <c r="F69" s="42">
        <f t="shared" si="1"/>
        <v>1</v>
      </c>
      <c r="I69" s="89"/>
    </row>
    <row r="70" spans="1:9" s="8" customFormat="1" ht="30" customHeight="1" x14ac:dyDescent="0.4">
      <c r="A70" s="108" t="s">
        <v>41</v>
      </c>
      <c r="B70" s="52" t="s">
        <v>34</v>
      </c>
      <c r="C70" s="7">
        <f>CENTRALA!C49+'Razem OW'!C49</f>
        <v>0</v>
      </c>
      <c r="D70" s="7">
        <f>CENTRALA!D49+'Razem OW'!D49</f>
        <v>0</v>
      </c>
      <c r="E70" s="7" t="str">
        <f t="shared" si="0"/>
        <v>-</v>
      </c>
      <c r="F70" s="42" t="str">
        <f t="shared" si="1"/>
        <v>-</v>
      </c>
      <c r="I70" s="89"/>
    </row>
    <row r="71" spans="1:9" s="8" customFormat="1" ht="30" customHeight="1" x14ac:dyDescent="0.4">
      <c r="A71" s="108" t="s">
        <v>42</v>
      </c>
      <c r="B71" s="52" t="s">
        <v>35</v>
      </c>
      <c r="C71" s="7">
        <f>CENTRALA!C50+'Razem OW'!C50</f>
        <v>2927</v>
      </c>
      <c r="D71" s="7">
        <f>CENTRALA!D50+'Razem OW'!D50</f>
        <v>2927</v>
      </c>
      <c r="E71" s="7" t="str">
        <f t="shared" si="0"/>
        <v>-</v>
      </c>
      <c r="F71" s="42">
        <f t="shared" si="1"/>
        <v>1</v>
      </c>
      <c r="I71" s="89"/>
    </row>
    <row r="72" spans="1:9" s="9" customFormat="1" ht="30" customHeight="1" x14ac:dyDescent="0.4">
      <c r="A72" s="108" t="s">
        <v>43</v>
      </c>
      <c r="B72" s="52" t="s">
        <v>36</v>
      </c>
      <c r="C72" s="7">
        <f>CENTRALA!C51+'Razem OW'!C51</f>
        <v>647</v>
      </c>
      <c r="D72" s="7">
        <f>CENTRALA!D51+'Razem OW'!D51</f>
        <v>647</v>
      </c>
      <c r="E72" s="7" t="str">
        <f t="shared" si="0"/>
        <v>-</v>
      </c>
      <c r="F72" s="42">
        <f t="shared" si="1"/>
        <v>1</v>
      </c>
      <c r="I72" s="89"/>
    </row>
    <row r="73" spans="1:9" ht="30" customHeight="1" x14ac:dyDescent="0.4">
      <c r="A73" s="96" t="s">
        <v>21</v>
      </c>
      <c r="B73" s="23" t="s">
        <v>155</v>
      </c>
      <c r="C73" s="7">
        <f>CENTRALA!C52+'Razem OW'!C52</f>
        <v>358599</v>
      </c>
      <c r="D73" s="7">
        <f>CENTRALA!D52+'Razem OW'!D52</f>
        <v>358599</v>
      </c>
      <c r="E73" s="7" t="str">
        <f t="shared" si="0"/>
        <v>-</v>
      </c>
      <c r="F73" s="42">
        <f t="shared" si="1"/>
        <v>1</v>
      </c>
      <c r="I73" s="89"/>
    </row>
    <row r="74" spans="1:9" ht="30" customHeight="1" x14ac:dyDescent="0.4">
      <c r="A74" s="108" t="s">
        <v>156</v>
      </c>
      <c r="B74" s="52" t="s">
        <v>157</v>
      </c>
      <c r="C74" s="7">
        <f>CENTRALA!C53+'Razem OW'!C53</f>
        <v>1335</v>
      </c>
      <c r="D74" s="7">
        <f>CENTRALA!D53+'Razem OW'!D53</f>
        <v>1335</v>
      </c>
      <c r="E74" s="7" t="str">
        <f t="shared" si="0"/>
        <v>-</v>
      </c>
      <c r="F74" s="42">
        <f t="shared" si="1"/>
        <v>1</v>
      </c>
      <c r="I74" s="89"/>
    </row>
    <row r="75" spans="1:9" ht="30" customHeight="1" x14ac:dyDescent="0.4">
      <c r="A75" s="96" t="s">
        <v>22</v>
      </c>
      <c r="B75" s="27" t="s">
        <v>182</v>
      </c>
      <c r="C75" s="7">
        <f>SUM(C76:C79)</f>
        <v>81283</v>
      </c>
      <c r="D75" s="7">
        <f>SUM(D76:D79)</f>
        <v>81283</v>
      </c>
      <c r="E75" s="7" t="str">
        <f t="shared" si="0"/>
        <v>-</v>
      </c>
      <c r="F75" s="42">
        <f t="shared" si="1"/>
        <v>1</v>
      </c>
      <c r="I75" s="89"/>
    </row>
    <row r="76" spans="1:9" s="8" customFormat="1" ht="30" customHeight="1" x14ac:dyDescent="0.4">
      <c r="A76" s="108" t="s">
        <v>48</v>
      </c>
      <c r="B76" s="52" t="s">
        <v>44</v>
      </c>
      <c r="C76" s="7">
        <f>CENTRALA!C55+'Razem OW'!C55</f>
        <v>61400</v>
      </c>
      <c r="D76" s="7">
        <f>CENTRALA!D55+'Razem OW'!D55</f>
        <v>61400</v>
      </c>
      <c r="E76" s="7" t="str">
        <f t="shared" si="0"/>
        <v>-</v>
      </c>
      <c r="F76" s="42">
        <f t="shared" si="1"/>
        <v>1</v>
      </c>
      <c r="I76" s="89"/>
    </row>
    <row r="77" spans="1:9" s="8" customFormat="1" ht="30" customHeight="1" x14ac:dyDescent="0.4">
      <c r="A77" s="108" t="s">
        <v>49</v>
      </c>
      <c r="B77" s="52" t="s">
        <v>45</v>
      </c>
      <c r="C77" s="7">
        <f>CENTRALA!C56+'Razem OW'!C56</f>
        <v>8597</v>
      </c>
      <c r="D77" s="7">
        <f>CENTRALA!D56+'Razem OW'!D56</f>
        <v>8597</v>
      </c>
      <c r="E77" s="7" t="str">
        <f t="shared" si="0"/>
        <v>-</v>
      </c>
      <c r="F77" s="42">
        <f t="shared" si="1"/>
        <v>1</v>
      </c>
      <c r="I77" s="89"/>
    </row>
    <row r="78" spans="1:9" s="8" customFormat="1" ht="30" customHeight="1" x14ac:dyDescent="0.4">
      <c r="A78" s="108" t="s">
        <v>50</v>
      </c>
      <c r="B78" s="52" t="s">
        <v>46</v>
      </c>
      <c r="C78" s="7">
        <f>CENTRALA!C57+'Razem OW'!C57</f>
        <v>0</v>
      </c>
      <c r="D78" s="7">
        <f>CENTRALA!D57+'Razem OW'!D57</f>
        <v>0</v>
      </c>
      <c r="E78" s="7" t="str">
        <f t="shared" si="0"/>
        <v>-</v>
      </c>
      <c r="F78" s="42" t="str">
        <f t="shared" si="1"/>
        <v>-</v>
      </c>
      <c r="I78" s="89"/>
    </row>
    <row r="79" spans="1:9" s="8" customFormat="1" ht="30" customHeight="1" x14ac:dyDescent="0.4">
      <c r="A79" s="108" t="s">
        <v>51</v>
      </c>
      <c r="B79" s="52" t="s">
        <v>47</v>
      </c>
      <c r="C79" s="7">
        <f>CENTRALA!C58+'Razem OW'!C58</f>
        <v>11286</v>
      </c>
      <c r="D79" s="7">
        <f>CENTRALA!D58+'Razem OW'!D58</f>
        <v>11286</v>
      </c>
      <c r="E79" s="7" t="str">
        <f t="shared" si="0"/>
        <v>-</v>
      </c>
      <c r="F79" s="42">
        <f t="shared" si="1"/>
        <v>1</v>
      </c>
      <c r="I79" s="89"/>
    </row>
    <row r="80" spans="1:9" ht="30.75" customHeight="1" x14ac:dyDescent="0.4">
      <c r="A80" s="96" t="s">
        <v>23</v>
      </c>
      <c r="B80" s="23" t="s">
        <v>24</v>
      </c>
      <c r="C80" s="7">
        <f>CENTRALA!C59+'Razem OW'!C59</f>
        <v>50</v>
      </c>
      <c r="D80" s="7">
        <f>CENTRALA!D59+'Razem OW'!D59</f>
        <v>50</v>
      </c>
      <c r="E80" s="7" t="str">
        <f t="shared" si="0"/>
        <v>-</v>
      </c>
      <c r="F80" s="42">
        <f t="shared" si="1"/>
        <v>1</v>
      </c>
      <c r="I80" s="89"/>
    </row>
    <row r="81" spans="1:9" ht="30.75" customHeight="1" x14ac:dyDescent="0.4">
      <c r="A81" s="96" t="s">
        <v>25</v>
      </c>
      <c r="B81" s="23" t="s">
        <v>158</v>
      </c>
      <c r="C81" s="7">
        <f>CENTRALA!C60+'Razem OW'!C60</f>
        <v>114861</v>
      </c>
      <c r="D81" s="7">
        <f>CENTRALA!D60+'Razem OW'!D60</f>
        <v>114861</v>
      </c>
      <c r="E81" s="7" t="str">
        <f t="shared" si="0"/>
        <v>-</v>
      </c>
      <c r="F81" s="42">
        <f t="shared" si="1"/>
        <v>1</v>
      </c>
      <c r="I81" s="89"/>
    </row>
    <row r="82" spans="1:9" ht="30.75" customHeight="1" x14ac:dyDescent="0.4">
      <c r="A82" s="96" t="s">
        <v>26</v>
      </c>
      <c r="B82" s="23" t="s">
        <v>27</v>
      </c>
      <c r="C82" s="7">
        <f>CENTRALA!C61+'Razem OW'!C61</f>
        <v>6798</v>
      </c>
      <c r="D82" s="7">
        <f>CENTRALA!D61+'Razem OW'!D61</f>
        <v>6798</v>
      </c>
      <c r="E82" s="7" t="str">
        <f t="shared" si="0"/>
        <v>-</v>
      </c>
      <c r="F82" s="42">
        <f t="shared" si="1"/>
        <v>1</v>
      </c>
      <c r="I82" s="89"/>
    </row>
    <row r="83" spans="1:9" s="10" customFormat="1" ht="33" customHeight="1" x14ac:dyDescent="0.4">
      <c r="A83" s="109" t="s">
        <v>131</v>
      </c>
      <c r="B83" s="78" t="s">
        <v>160</v>
      </c>
      <c r="C83" s="68">
        <v>439871</v>
      </c>
      <c r="D83" s="68">
        <f>C83</f>
        <v>439871</v>
      </c>
      <c r="E83" s="68" t="str">
        <f t="shared" si="0"/>
        <v>-</v>
      </c>
      <c r="F83" s="69">
        <f t="shared" si="1"/>
        <v>1</v>
      </c>
      <c r="I83" s="89"/>
    </row>
    <row r="84" spans="1:9" s="10" customFormat="1" ht="33" customHeight="1" x14ac:dyDescent="0.4">
      <c r="A84" s="109" t="s">
        <v>132</v>
      </c>
      <c r="B84" s="78" t="s">
        <v>171</v>
      </c>
      <c r="C84" s="68">
        <f>C85+C86+C87+C88</f>
        <v>230045</v>
      </c>
      <c r="D84" s="68">
        <f>D85+D86+D87+D88</f>
        <v>230045</v>
      </c>
      <c r="E84" s="68" t="str">
        <f t="shared" ref="E84:E94" si="2">IF(C84=D84,"-",D84-C84)</f>
        <v>-</v>
      </c>
      <c r="F84" s="69">
        <f t="shared" ref="F84:F95" si="3">IF(C84=0,"-",D84/C84)</f>
        <v>1</v>
      </c>
      <c r="I84" s="89"/>
    </row>
    <row r="85" spans="1:9" ht="47.25" customHeight="1" x14ac:dyDescent="0.4">
      <c r="A85" s="101" t="s">
        <v>99</v>
      </c>
      <c r="B85" s="24" t="s">
        <v>112</v>
      </c>
      <c r="C85" s="7">
        <f>CENTRALA!C63+'Razem OW'!C63</f>
        <v>1232</v>
      </c>
      <c r="D85" s="7">
        <f>CENTRALA!D63+'Razem OW'!D63</f>
        <v>1232</v>
      </c>
      <c r="E85" s="7" t="str">
        <f t="shared" si="2"/>
        <v>-</v>
      </c>
      <c r="F85" s="42">
        <f t="shared" si="3"/>
        <v>1</v>
      </c>
      <c r="I85" s="89"/>
    </row>
    <row r="86" spans="1:9" ht="33.75" customHeight="1" x14ac:dyDescent="0.4">
      <c r="A86" s="101" t="s">
        <v>28</v>
      </c>
      <c r="B86" s="24" t="s">
        <v>53</v>
      </c>
      <c r="C86" s="7">
        <f>CENTRALA!C64+'Razem OW'!C64</f>
        <v>97976</v>
      </c>
      <c r="D86" s="7">
        <f>CENTRALA!D64+'Razem OW'!D64</f>
        <v>97976</v>
      </c>
      <c r="E86" s="7" t="str">
        <f t="shared" si="2"/>
        <v>-</v>
      </c>
      <c r="F86" s="42">
        <f t="shared" si="3"/>
        <v>1</v>
      </c>
      <c r="I86" s="89"/>
    </row>
    <row r="87" spans="1:9" ht="30" customHeight="1" x14ac:dyDescent="0.4">
      <c r="A87" s="101" t="s">
        <v>29</v>
      </c>
      <c r="B87" s="24" t="s">
        <v>101</v>
      </c>
      <c r="C87" s="7">
        <f>CENTRALA!C65+'Razem OW'!C65</f>
        <v>0</v>
      </c>
      <c r="D87" s="7">
        <f>CENTRALA!D65+'Razem OW'!D65</f>
        <v>0</v>
      </c>
      <c r="E87" s="7" t="str">
        <f t="shared" si="2"/>
        <v>-</v>
      </c>
      <c r="F87" s="42" t="str">
        <f t="shared" si="3"/>
        <v>-</v>
      </c>
      <c r="I87" s="89"/>
    </row>
    <row r="88" spans="1:9" ht="30" customHeight="1" x14ac:dyDescent="0.4">
      <c r="A88" s="101" t="s">
        <v>100</v>
      </c>
      <c r="B88" s="25" t="s">
        <v>102</v>
      </c>
      <c r="C88" s="7">
        <f>CENTRALA!C66+'Razem OW'!C66</f>
        <v>130837</v>
      </c>
      <c r="D88" s="7">
        <f>CENTRALA!D66+'Razem OW'!D66</f>
        <v>130837</v>
      </c>
      <c r="E88" s="7" t="str">
        <f t="shared" si="2"/>
        <v>-</v>
      </c>
      <c r="F88" s="42">
        <f t="shared" si="3"/>
        <v>1</v>
      </c>
      <c r="I88" s="89"/>
    </row>
    <row r="89" spans="1:9" s="10" customFormat="1" ht="33" customHeight="1" x14ac:dyDescent="0.4">
      <c r="A89" s="109" t="s">
        <v>133</v>
      </c>
      <c r="B89" s="78" t="s">
        <v>172</v>
      </c>
      <c r="C89" s="68">
        <f>C90+C91</f>
        <v>62827</v>
      </c>
      <c r="D89" s="68">
        <f>D90+D91</f>
        <v>62827</v>
      </c>
      <c r="E89" s="68" t="str">
        <f t="shared" si="2"/>
        <v>-</v>
      </c>
      <c r="F89" s="69">
        <f t="shared" si="3"/>
        <v>1</v>
      </c>
      <c r="I89" s="89"/>
    </row>
    <row r="90" spans="1:9" ht="30" customHeight="1" x14ac:dyDescent="0.4">
      <c r="A90" s="101" t="s">
        <v>103</v>
      </c>
      <c r="B90" s="24" t="s">
        <v>104</v>
      </c>
      <c r="C90" s="7">
        <v>48589</v>
      </c>
      <c r="D90" s="7">
        <f t="shared" ref="D90:D91" si="4">C90</f>
        <v>48589</v>
      </c>
      <c r="E90" s="7" t="str">
        <f t="shared" si="2"/>
        <v>-</v>
      </c>
      <c r="F90" s="42">
        <f t="shared" si="3"/>
        <v>1</v>
      </c>
      <c r="I90" s="89"/>
    </row>
    <row r="91" spans="1:9" ht="30" customHeight="1" x14ac:dyDescent="0.4">
      <c r="A91" s="101" t="s">
        <v>105</v>
      </c>
      <c r="B91" s="25" t="s">
        <v>106</v>
      </c>
      <c r="C91" s="7">
        <v>14238</v>
      </c>
      <c r="D91" s="7">
        <f t="shared" si="4"/>
        <v>14238</v>
      </c>
      <c r="E91" s="7" t="str">
        <f t="shared" si="2"/>
        <v>-</v>
      </c>
      <c r="F91" s="42">
        <f t="shared" si="3"/>
        <v>1</v>
      </c>
      <c r="I91" s="89"/>
    </row>
    <row r="92" spans="1:9" s="10" customFormat="1" ht="39.75" customHeight="1" x14ac:dyDescent="0.4">
      <c r="A92" s="109" t="s">
        <v>134</v>
      </c>
      <c r="B92" s="78" t="s">
        <v>113</v>
      </c>
      <c r="C92" s="68">
        <f>CENTRALA!C67+'Razem OW'!C67</f>
        <v>58404</v>
      </c>
      <c r="D92" s="68">
        <f>CENTRALA!D67+'Razem OW'!D67</f>
        <v>58404</v>
      </c>
      <c r="E92" s="68" t="str">
        <f t="shared" si="2"/>
        <v>-</v>
      </c>
      <c r="F92" s="69">
        <f t="shared" si="3"/>
        <v>1</v>
      </c>
      <c r="I92" s="89"/>
    </row>
    <row r="93" spans="1:9" s="10" customFormat="1" ht="64.5" customHeight="1" x14ac:dyDescent="0.4">
      <c r="A93" s="110" t="s">
        <v>135</v>
      </c>
      <c r="B93" s="61" t="s">
        <v>189</v>
      </c>
      <c r="C93" s="58">
        <f>C61-C62+C83-C84+C89-C92</f>
        <v>-1700000</v>
      </c>
      <c r="D93" s="58">
        <f>D61-D62+D83-D84+D89-D92</f>
        <v>-1700000</v>
      </c>
      <c r="E93" s="58" t="str">
        <f>IF(C93=D93,"-",D93-C93)</f>
        <v>-</v>
      </c>
      <c r="F93" s="60">
        <f t="shared" si="3"/>
        <v>1</v>
      </c>
      <c r="I93" s="89"/>
    </row>
    <row r="94" spans="1:9" s="10" customFormat="1" ht="33" customHeight="1" x14ac:dyDescent="0.4">
      <c r="A94" s="100" t="s">
        <v>136</v>
      </c>
      <c r="B94" s="79" t="s">
        <v>191</v>
      </c>
      <c r="C94" s="80">
        <f>C6+C12+C20+C21+C22+C23+C83+C89-C18</f>
        <v>84140852</v>
      </c>
      <c r="D94" s="80">
        <f>D6+D12+D20+D21+D22+D23+D83+D89-D18</f>
        <v>84140852</v>
      </c>
      <c r="E94" s="80" t="str">
        <f t="shared" si="2"/>
        <v>-</v>
      </c>
      <c r="F94" s="81">
        <f t="shared" si="3"/>
        <v>1</v>
      </c>
      <c r="I94" s="89"/>
    </row>
    <row r="95" spans="1:9" s="10" customFormat="1" ht="33" customHeight="1" x14ac:dyDescent="0.4">
      <c r="A95" s="109" t="s">
        <v>137</v>
      </c>
      <c r="B95" s="82" t="s">
        <v>192</v>
      </c>
      <c r="C95" s="80">
        <f>C9+C15+C25+C26+C56+C57+C58+C62+C84+C92</f>
        <v>85840852</v>
      </c>
      <c r="D95" s="80">
        <f>D9+D15+D25+D26+D56+D57+D58+D62+D84+D92</f>
        <v>85840852</v>
      </c>
      <c r="E95" s="80" t="str">
        <f>IF(C95=D95,"-",D95-C95)</f>
        <v>-</v>
      </c>
      <c r="F95" s="81">
        <f t="shared" si="3"/>
        <v>1</v>
      </c>
      <c r="I95" s="89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  <row r="106" spans="3:3" ht="26.25" x14ac:dyDescent="0.2">
      <c r="C106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6" fitToHeight="2" orientation="portrait" r:id="rId1"/>
  <headerFooter alignWithMargins="0">
    <oddFooter>&amp;R&amp;20&amp;P</oddFooter>
  </headerFooter>
  <rowBreaks count="1" manualBreakCount="1">
    <brk id="6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88"/>
  <sheetViews>
    <sheetView showGridLines="0" view="pageBreakPreview" zoomScale="55" zoomScaleNormal="55" zoomScaleSheetLayoutView="55" workbookViewId="0">
      <pane xSplit="2" ySplit="6" topLeftCell="C5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65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11923453</v>
      </c>
      <c r="D6" s="83">
        <f>D7+D8+D9+D14+D15+D16+D17+D18+D19+D20+D21+D22+D23+D24+D28+D29+D31+D32+D33+D34+D35</f>
        <v>11923453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1607607</v>
      </c>
      <c r="D7" s="13">
        <f>C7+44000</f>
        <v>1651607</v>
      </c>
      <c r="E7" s="38">
        <f t="shared" ref="E7:E67" si="0">IF(C7=D7,"-",D7-C7)</f>
        <v>44000</v>
      </c>
      <c r="F7" s="39">
        <f t="shared" ref="F7:F67" si="1">IF(C7=0,"-",D7/C7)</f>
        <v>1.0274000000000001</v>
      </c>
    </row>
    <row r="8" spans="1:6" ht="33" customHeight="1" x14ac:dyDescent="0.2">
      <c r="A8" s="92" t="s">
        <v>2</v>
      </c>
      <c r="B8" s="14" t="s">
        <v>117</v>
      </c>
      <c r="C8" s="31">
        <v>603949</v>
      </c>
      <c r="D8" s="13">
        <f>C8-10978</f>
        <v>592971</v>
      </c>
      <c r="E8" s="38">
        <f t="shared" si="0"/>
        <v>-10978</v>
      </c>
      <c r="F8" s="39">
        <f t="shared" si="1"/>
        <v>0.98180000000000001</v>
      </c>
    </row>
    <row r="9" spans="1:6" ht="33" customHeight="1" x14ac:dyDescent="0.2">
      <c r="A9" s="92" t="s">
        <v>3</v>
      </c>
      <c r="B9" s="14" t="s">
        <v>114</v>
      </c>
      <c r="C9" s="31">
        <v>6599981</v>
      </c>
      <c r="D9" s="13">
        <f>C9+32531</f>
        <v>6632512</v>
      </c>
      <c r="E9" s="38">
        <f t="shared" si="0"/>
        <v>32531</v>
      </c>
      <c r="F9" s="39">
        <f t="shared" si="1"/>
        <v>1.0048999999999999</v>
      </c>
    </row>
    <row r="10" spans="1:6" ht="31.5" customHeight="1" x14ac:dyDescent="0.2">
      <c r="A10" s="93" t="s">
        <v>54</v>
      </c>
      <c r="B10" s="45" t="s">
        <v>198</v>
      </c>
      <c r="C10" s="31">
        <v>609550</v>
      </c>
      <c r="D10" s="13">
        <f>C10+30436</f>
        <v>639986</v>
      </c>
      <c r="E10" s="38">
        <f t="shared" si="0"/>
        <v>30436</v>
      </c>
      <c r="F10" s="39">
        <f t="shared" si="1"/>
        <v>1.0499000000000001</v>
      </c>
    </row>
    <row r="11" spans="1:6" ht="31.5" customHeight="1" x14ac:dyDescent="0.2">
      <c r="A11" s="93" t="s">
        <v>139</v>
      </c>
      <c r="B11" s="45" t="s">
        <v>142</v>
      </c>
      <c r="C11" s="31">
        <v>553810</v>
      </c>
      <c r="D11" s="13">
        <f>C11+20553</f>
        <v>574363</v>
      </c>
      <c r="E11" s="38">
        <f t="shared" si="0"/>
        <v>20553</v>
      </c>
      <c r="F11" s="39">
        <f t="shared" si="1"/>
        <v>1.0370999999999999</v>
      </c>
    </row>
    <row r="12" spans="1:6" ht="31.5" customHeight="1" x14ac:dyDescent="0.2">
      <c r="A12" s="93" t="s">
        <v>140</v>
      </c>
      <c r="B12" s="45" t="s">
        <v>143</v>
      </c>
      <c r="C12" s="31">
        <v>244985</v>
      </c>
      <c r="D12" s="13">
        <f>C12+19671</f>
        <v>264656</v>
      </c>
      <c r="E12" s="38">
        <f t="shared" si="0"/>
        <v>19671</v>
      </c>
      <c r="F12" s="39">
        <f t="shared" si="1"/>
        <v>1.0803</v>
      </c>
    </row>
    <row r="13" spans="1:6" ht="31.5" customHeight="1" x14ac:dyDescent="0.2">
      <c r="A13" s="93" t="s">
        <v>141</v>
      </c>
      <c r="B13" s="45" t="s">
        <v>144</v>
      </c>
      <c r="C13" s="31">
        <v>117110</v>
      </c>
      <c r="D13" s="13">
        <f>C13+3295</f>
        <v>120405</v>
      </c>
      <c r="E13" s="38">
        <f t="shared" si="0"/>
        <v>3295</v>
      </c>
      <c r="F13" s="39">
        <f t="shared" si="1"/>
        <v>1.0281</v>
      </c>
    </row>
    <row r="14" spans="1:6" ht="33" customHeight="1" x14ac:dyDescent="0.2">
      <c r="A14" s="92" t="s">
        <v>4</v>
      </c>
      <c r="B14" s="14" t="s">
        <v>122</v>
      </c>
      <c r="C14" s="31">
        <v>411410</v>
      </c>
      <c r="D14" s="13">
        <f>C14-3051</f>
        <v>408359</v>
      </c>
      <c r="E14" s="38">
        <f t="shared" si="0"/>
        <v>-3051</v>
      </c>
      <c r="F14" s="39">
        <f t="shared" si="1"/>
        <v>0.99260000000000004</v>
      </c>
    </row>
    <row r="15" spans="1:6" ht="33" customHeight="1" x14ac:dyDescent="0.2">
      <c r="A15" s="92" t="s">
        <v>5</v>
      </c>
      <c r="B15" s="14" t="s">
        <v>118</v>
      </c>
      <c r="C15" s="31">
        <v>459462</v>
      </c>
      <c r="D15" s="13">
        <f>C15-11473</f>
        <v>447989</v>
      </c>
      <c r="E15" s="38">
        <f t="shared" si="0"/>
        <v>-11473</v>
      </c>
      <c r="F15" s="39">
        <f t="shared" si="1"/>
        <v>0.97499999999999998</v>
      </c>
    </row>
    <row r="16" spans="1:6" ht="33" customHeight="1" x14ac:dyDescent="0.2">
      <c r="A16" s="92" t="s">
        <v>6</v>
      </c>
      <c r="B16" s="14" t="s">
        <v>124</v>
      </c>
      <c r="C16" s="31">
        <v>207449</v>
      </c>
      <c r="D16" s="13">
        <f>C16+2941</f>
        <v>210390</v>
      </c>
      <c r="E16" s="38">
        <f t="shared" si="0"/>
        <v>2941</v>
      </c>
      <c r="F16" s="39">
        <f t="shared" si="1"/>
        <v>1.0142</v>
      </c>
    </row>
    <row r="17" spans="1:6" ht="33" customHeight="1" x14ac:dyDescent="0.2">
      <c r="A17" s="92" t="s">
        <v>7</v>
      </c>
      <c r="B17" s="14" t="s">
        <v>123</v>
      </c>
      <c r="C17" s="31">
        <v>88371</v>
      </c>
      <c r="D17" s="13">
        <f>C17-1867</f>
        <v>86504</v>
      </c>
      <c r="E17" s="38">
        <f t="shared" si="0"/>
        <v>-1867</v>
      </c>
      <c r="F17" s="39">
        <f t="shared" si="1"/>
        <v>0.97889999999999999</v>
      </c>
    </row>
    <row r="18" spans="1:6" ht="33" customHeight="1" x14ac:dyDescent="0.2">
      <c r="A18" s="92" t="s">
        <v>8</v>
      </c>
      <c r="B18" s="14" t="s">
        <v>119</v>
      </c>
      <c r="C18" s="31">
        <v>220314</v>
      </c>
      <c r="D18" s="13">
        <f>C18-3955</f>
        <v>216359</v>
      </c>
      <c r="E18" s="38">
        <f t="shared" si="0"/>
        <v>-3955</v>
      </c>
      <c r="F18" s="39">
        <f t="shared" si="1"/>
        <v>0.98199999999999998</v>
      </c>
    </row>
    <row r="19" spans="1:6" ht="33" customHeight="1" x14ac:dyDescent="0.2">
      <c r="A19" s="92" t="s">
        <v>9</v>
      </c>
      <c r="B19" s="14" t="s">
        <v>120</v>
      </c>
      <c r="C19" s="31">
        <v>102936</v>
      </c>
      <c r="D19" s="13">
        <f>C19-6986</f>
        <v>95950</v>
      </c>
      <c r="E19" s="38">
        <f t="shared" si="0"/>
        <v>-6986</v>
      </c>
      <c r="F19" s="39">
        <f t="shared" si="1"/>
        <v>0.93210000000000004</v>
      </c>
    </row>
    <row r="20" spans="1:6" ht="33" customHeight="1" x14ac:dyDescent="0.2">
      <c r="A20" s="92" t="s">
        <v>10</v>
      </c>
      <c r="B20" s="14" t="s">
        <v>125</v>
      </c>
      <c r="C20" s="31">
        <v>8598</v>
      </c>
      <c r="D20" s="13">
        <f>C20</f>
        <v>8598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25496</v>
      </c>
      <c r="D21" s="13">
        <f>C21-2406</f>
        <v>23090</v>
      </c>
      <c r="E21" s="38">
        <f t="shared" si="0"/>
        <v>-2406</v>
      </c>
      <c r="F21" s="39">
        <f t="shared" si="1"/>
        <v>0.90559999999999996</v>
      </c>
    </row>
    <row r="22" spans="1:6" ht="33" customHeight="1" x14ac:dyDescent="0.2">
      <c r="A22" s="92" t="s">
        <v>12</v>
      </c>
      <c r="B22" s="14" t="s">
        <v>161</v>
      </c>
      <c r="C22" s="31">
        <v>231501</v>
      </c>
      <c r="D22" s="13">
        <f>C22+9083</f>
        <v>240584</v>
      </c>
      <c r="E22" s="38">
        <f t="shared" si="0"/>
        <v>9083</v>
      </c>
      <c r="F22" s="39">
        <f t="shared" si="1"/>
        <v>1.0391999999999999</v>
      </c>
    </row>
    <row r="23" spans="1:6" ht="33" customHeight="1" x14ac:dyDescent="0.2">
      <c r="A23" s="92" t="s">
        <v>13</v>
      </c>
      <c r="B23" s="14" t="s">
        <v>145</v>
      </c>
      <c r="C23" s="31">
        <v>180589</v>
      </c>
      <c r="D23" s="13">
        <f>C23-11141-30448</f>
        <v>139000</v>
      </c>
      <c r="E23" s="38">
        <f t="shared" si="0"/>
        <v>-41589</v>
      </c>
      <c r="F23" s="39">
        <f t="shared" si="1"/>
        <v>0.76970000000000005</v>
      </c>
    </row>
    <row r="24" spans="1:6" ht="33" customHeight="1" x14ac:dyDescent="0.2">
      <c r="A24" s="94" t="s">
        <v>14</v>
      </c>
      <c r="B24" s="30" t="s">
        <v>177</v>
      </c>
      <c r="C24" s="31">
        <v>1144581</v>
      </c>
      <c r="D24" s="13">
        <f>C24-23848+30448</f>
        <v>1151181</v>
      </c>
      <c r="E24" s="38">
        <f t="shared" si="0"/>
        <v>6600</v>
      </c>
      <c r="F24" s="39">
        <f t="shared" si="1"/>
        <v>1.0058</v>
      </c>
    </row>
    <row r="25" spans="1:6" ht="37.5" x14ac:dyDescent="0.2">
      <c r="A25" s="93" t="s">
        <v>126</v>
      </c>
      <c r="B25" s="45" t="s">
        <v>147</v>
      </c>
      <c r="C25" s="31">
        <v>1136975</v>
      </c>
      <c r="D25" s="13">
        <f>C25-23448+30448</f>
        <v>1143975</v>
      </c>
      <c r="E25" s="38">
        <f t="shared" si="0"/>
        <v>7000</v>
      </c>
      <c r="F25" s="39">
        <f t="shared" si="1"/>
        <v>1.0062</v>
      </c>
    </row>
    <row r="26" spans="1:6" ht="31.5" customHeight="1" x14ac:dyDescent="0.2">
      <c r="A26" s="93" t="s">
        <v>146</v>
      </c>
      <c r="B26" s="45" t="s">
        <v>149</v>
      </c>
      <c r="C26" s="31">
        <v>3058</v>
      </c>
      <c r="D26" s="13">
        <f>C26-600</f>
        <v>2458</v>
      </c>
      <c r="E26" s="38">
        <f t="shared" si="0"/>
        <v>-600</v>
      </c>
      <c r="F26" s="39">
        <f t="shared" si="1"/>
        <v>0.80379999999999996</v>
      </c>
    </row>
    <row r="27" spans="1:6" ht="37.5" x14ac:dyDescent="0.2">
      <c r="A27" s="93" t="s">
        <v>150</v>
      </c>
      <c r="B27" s="45" t="s">
        <v>148</v>
      </c>
      <c r="C27" s="31">
        <v>4548</v>
      </c>
      <c r="D27" s="13">
        <f>C27+200</f>
        <v>4748</v>
      </c>
      <c r="E27" s="38">
        <f t="shared" si="0"/>
        <v>200</v>
      </c>
      <c r="F27" s="39">
        <f t="shared" si="1"/>
        <v>1.044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ref="D28:D33" si="2">C28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0</v>
      </c>
      <c r="D32" s="13">
        <f>C32</f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1992</v>
      </c>
      <c r="D34" s="13">
        <f>C34-1764</f>
        <v>228</v>
      </c>
      <c r="E34" s="38">
        <f>IF(C34=D34,"-",D34-C34)</f>
        <v>-1764</v>
      </c>
      <c r="F34" s="39">
        <f>IF(C34=0,"-",D34/C34)</f>
        <v>0.1145</v>
      </c>
    </row>
    <row r="35" spans="1:6" ht="53.25" customHeight="1" x14ac:dyDescent="0.2">
      <c r="A35" s="95" t="s">
        <v>195</v>
      </c>
      <c r="B35" s="16" t="s">
        <v>196</v>
      </c>
      <c r="C35" s="31">
        <v>29217</v>
      </c>
      <c r="D35" s="13">
        <f>C35-11086</f>
        <v>18131</v>
      </c>
      <c r="E35" s="38">
        <f>IF(C35=D35,"-",D35-C35)</f>
        <v>-11086</v>
      </c>
      <c r="F35" s="39">
        <f>IF(C35=0,"-",D35/C35)</f>
        <v>0.62060000000000004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1237</v>
      </c>
      <c r="D36" s="37">
        <f>C36</f>
        <v>1237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254306</v>
      </c>
      <c r="D37" s="37">
        <f>C37</f>
        <v>254306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99910</v>
      </c>
      <c r="D38" s="37">
        <f>C38</f>
        <v>99910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1815501</v>
      </c>
      <c r="D40" s="32">
        <f>D11+D13+D24+D30</f>
        <v>1845949</v>
      </c>
      <c r="E40" s="7">
        <f>IF(C40=D40,"-",D40-C40)</f>
        <v>30448</v>
      </c>
      <c r="F40" s="40">
        <f t="shared" si="1"/>
        <v>1.0167999999999999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71880</v>
      </c>
      <c r="D41" s="71">
        <f>D42+D43+D44+D52+D54+D60+D61+D59</f>
        <v>71880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2073</v>
      </c>
      <c r="D42" s="33">
        <f>C42</f>
        <v>2073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12436</v>
      </c>
      <c r="D43" s="33">
        <f t="shared" ref="D43:D61" si="3">C43</f>
        <v>12436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238</v>
      </c>
      <c r="D44" s="33">
        <f>D45+D47+D48+D49+D50+D51</f>
        <v>238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20</v>
      </c>
      <c r="D45" s="33">
        <f t="shared" si="3"/>
        <v>20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20</v>
      </c>
      <c r="D46" s="33">
        <f t="shared" si="3"/>
        <v>20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12</v>
      </c>
      <c r="D47" s="33">
        <f t="shared" si="3"/>
        <v>12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203</v>
      </c>
      <c r="D50" s="33">
        <f t="shared" si="3"/>
        <v>203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3</v>
      </c>
      <c r="D51" s="33">
        <f t="shared" si="3"/>
        <v>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44273</v>
      </c>
      <c r="D52" s="33">
        <f t="shared" si="3"/>
        <v>44273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9917</v>
      </c>
      <c r="D54" s="29">
        <f>D55+D56+D57+D58</f>
        <v>9917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7602</v>
      </c>
      <c r="D55" s="33">
        <f t="shared" si="3"/>
        <v>7602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1085</v>
      </c>
      <c r="D56" s="33">
        <f t="shared" si="3"/>
        <v>1085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1230</v>
      </c>
      <c r="D58" s="33">
        <f t="shared" si="3"/>
        <v>1230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2539</v>
      </c>
      <c r="D60" s="33">
        <f t="shared" si="3"/>
        <v>2539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404</v>
      </c>
      <c r="D61" s="33">
        <f t="shared" si="3"/>
        <v>404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16689</v>
      </c>
      <c r="D62" s="87">
        <f>D63+D64+D65+D66</f>
        <v>16689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7050</v>
      </c>
      <c r="D64" s="33">
        <f>C64</f>
        <v>7050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9639</v>
      </c>
      <c r="D66" s="33">
        <f>C66</f>
        <v>9639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5400</v>
      </c>
      <c r="D67" s="87">
        <f>C67</f>
        <v>5400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49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66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1950694</v>
      </c>
      <c r="D6" s="83">
        <f>D7+D8+D9+D14+D15+D16+D17+D18+D19+D20+D21+D22+D23+D24+D28+D29+D31+D32+D33+D34+D35</f>
        <v>1950694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266146</v>
      </c>
      <c r="D7" s="13">
        <f>C7+100</f>
        <v>266246</v>
      </c>
      <c r="E7" s="38">
        <f t="shared" ref="E7:E67" si="0">IF(C7=D7,"-",D7-C7)</f>
        <v>100</v>
      </c>
      <c r="F7" s="39">
        <f t="shared" ref="F7:F67" si="1">IF(C7=0,"-",D7/C7)</f>
        <v>1.0004</v>
      </c>
    </row>
    <row r="8" spans="1:6" ht="33" customHeight="1" x14ac:dyDescent="0.2">
      <c r="A8" s="92" t="s">
        <v>2</v>
      </c>
      <c r="B8" s="14" t="s">
        <v>117</v>
      </c>
      <c r="C8" s="31">
        <v>101419</v>
      </c>
      <c r="D8" s="13">
        <f>C8-569</f>
        <v>100850</v>
      </c>
      <c r="E8" s="38">
        <f t="shared" si="0"/>
        <v>-569</v>
      </c>
      <c r="F8" s="39">
        <f t="shared" si="1"/>
        <v>0.99439999999999995</v>
      </c>
    </row>
    <row r="9" spans="1:6" ht="33" customHeight="1" x14ac:dyDescent="0.2">
      <c r="A9" s="92" t="s">
        <v>3</v>
      </c>
      <c r="B9" s="14" t="s">
        <v>114</v>
      </c>
      <c r="C9" s="31">
        <v>1020043</v>
      </c>
      <c r="D9" s="13">
        <f>C9-12958</f>
        <v>1007085</v>
      </c>
      <c r="E9" s="38">
        <f t="shared" si="0"/>
        <v>-12958</v>
      </c>
      <c r="F9" s="39">
        <f t="shared" si="1"/>
        <v>0.98729999999999996</v>
      </c>
    </row>
    <row r="10" spans="1:6" ht="31.5" customHeight="1" x14ac:dyDescent="0.2">
      <c r="A10" s="93" t="s">
        <v>54</v>
      </c>
      <c r="B10" s="45" t="s">
        <v>198</v>
      </c>
      <c r="C10" s="31">
        <v>85320</v>
      </c>
      <c r="D10" s="13">
        <f>C10-12272</f>
        <v>73048</v>
      </c>
      <c r="E10" s="38">
        <f t="shared" si="0"/>
        <v>-12272</v>
      </c>
      <c r="F10" s="39">
        <f t="shared" si="1"/>
        <v>0.85619999999999996</v>
      </c>
    </row>
    <row r="11" spans="1:6" ht="31.5" customHeight="1" x14ac:dyDescent="0.2">
      <c r="A11" s="93" t="s">
        <v>139</v>
      </c>
      <c r="B11" s="45" t="s">
        <v>142</v>
      </c>
      <c r="C11" s="31">
        <v>78268</v>
      </c>
      <c r="D11" s="13">
        <f>C11-12272</f>
        <v>65996</v>
      </c>
      <c r="E11" s="38">
        <f t="shared" si="0"/>
        <v>-12272</v>
      </c>
      <c r="F11" s="39">
        <f t="shared" si="1"/>
        <v>0.84319999999999995</v>
      </c>
    </row>
    <row r="12" spans="1:6" ht="31.5" customHeight="1" x14ac:dyDescent="0.2">
      <c r="A12" s="93" t="s">
        <v>140</v>
      </c>
      <c r="B12" s="45" t="s">
        <v>143</v>
      </c>
      <c r="C12" s="31">
        <v>33248</v>
      </c>
      <c r="D12" s="13">
        <f>C12-1997</f>
        <v>31251</v>
      </c>
      <c r="E12" s="38">
        <f t="shared" si="0"/>
        <v>-1997</v>
      </c>
      <c r="F12" s="39">
        <f t="shared" si="1"/>
        <v>0.93989999999999996</v>
      </c>
    </row>
    <row r="13" spans="1:6" ht="31.5" customHeight="1" x14ac:dyDescent="0.2">
      <c r="A13" s="93" t="s">
        <v>141</v>
      </c>
      <c r="B13" s="45" t="s">
        <v>144</v>
      </c>
      <c r="C13" s="31">
        <v>14948</v>
      </c>
      <c r="D13" s="13">
        <f>C13-1036</f>
        <v>13912</v>
      </c>
      <c r="E13" s="38">
        <f t="shared" si="0"/>
        <v>-1036</v>
      </c>
      <c r="F13" s="39">
        <f t="shared" si="1"/>
        <v>0.93069999999999997</v>
      </c>
    </row>
    <row r="14" spans="1:6" ht="33" customHeight="1" x14ac:dyDescent="0.2">
      <c r="A14" s="92" t="s">
        <v>4</v>
      </c>
      <c r="B14" s="14" t="s">
        <v>122</v>
      </c>
      <c r="C14" s="31">
        <v>73386</v>
      </c>
      <c r="D14" s="13">
        <f>C14+88</f>
        <v>73474</v>
      </c>
      <c r="E14" s="38">
        <f t="shared" si="0"/>
        <v>88</v>
      </c>
      <c r="F14" s="39">
        <f t="shared" si="1"/>
        <v>1.0012000000000001</v>
      </c>
    </row>
    <row r="15" spans="1:6" ht="33" customHeight="1" x14ac:dyDescent="0.2">
      <c r="A15" s="92" t="s">
        <v>5</v>
      </c>
      <c r="B15" s="14" t="s">
        <v>118</v>
      </c>
      <c r="C15" s="31">
        <v>58249</v>
      </c>
      <c r="D15" s="13">
        <f t="shared" ref="D15:D33" si="2">C15</f>
        <v>58249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60113</v>
      </c>
      <c r="D16" s="13">
        <f>C16+100</f>
        <v>60213</v>
      </c>
      <c r="E16" s="38">
        <f t="shared" si="0"/>
        <v>100</v>
      </c>
      <c r="F16" s="39">
        <f t="shared" si="1"/>
        <v>1.0017</v>
      </c>
    </row>
    <row r="17" spans="1:6" ht="33" customHeight="1" x14ac:dyDescent="0.2">
      <c r="A17" s="92" t="s">
        <v>7</v>
      </c>
      <c r="B17" s="14" t="s">
        <v>123</v>
      </c>
      <c r="C17" s="31">
        <v>21184</v>
      </c>
      <c r="D17" s="13">
        <f>C17+1000</f>
        <v>22184</v>
      </c>
      <c r="E17" s="38">
        <f t="shared" si="0"/>
        <v>1000</v>
      </c>
      <c r="F17" s="39">
        <f t="shared" si="1"/>
        <v>1.0471999999999999</v>
      </c>
    </row>
    <row r="18" spans="1:6" ht="33" customHeight="1" x14ac:dyDescent="0.2">
      <c r="A18" s="92" t="s">
        <v>8</v>
      </c>
      <c r="B18" s="14" t="s">
        <v>119</v>
      </c>
      <c r="C18" s="31">
        <v>42243</v>
      </c>
      <c r="D18" s="13">
        <f>C18-150</f>
        <v>42093</v>
      </c>
      <c r="E18" s="38">
        <f t="shared" si="0"/>
        <v>-150</v>
      </c>
      <c r="F18" s="39">
        <f t="shared" si="1"/>
        <v>0.99639999999999995</v>
      </c>
    </row>
    <row r="19" spans="1:6" ht="33" customHeight="1" x14ac:dyDescent="0.2">
      <c r="A19" s="92" t="s">
        <v>9</v>
      </c>
      <c r="B19" s="14" t="s">
        <v>120</v>
      </c>
      <c r="C19" s="31">
        <v>13000</v>
      </c>
      <c r="D19" s="13">
        <f>C19-331</f>
        <v>12669</v>
      </c>
      <c r="E19" s="38">
        <f t="shared" si="0"/>
        <v>-331</v>
      </c>
      <c r="F19" s="39">
        <f t="shared" si="1"/>
        <v>0.97450000000000003</v>
      </c>
    </row>
    <row r="20" spans="1:6" ht="33" customHeight="1" x14ac:dyDescent="0.2">
      <c r="A20" s="92" t="s">
        <v>10</v>
      </c>
      <c r="B20" s="14" t="s">
        <v>125</v>
      </c>
      <c r="C20" s="31">
        <v>1329</v>
      </c>
      <c r="D20" s="13">
        <f>C20-40</f>
        <v>1289</v>
      </c>
      <c r="E20" s="38">
        <f t="shared" si="0"/>
        <v>-40</v>
      </c>
      <c r="F20" s="39">
        <f t="shared" si="1"/>
        <v>0.96989999999999998</v>
      </c>
    </row>
    <row r="21" spans="1:6" ht="46.5" customHeight="1" x14ac:dyDescent="0.2">
      <c r="A21" s="92" t="s">
        <v>11</v>
      </c>
      <c r="B21" s="14" t="s">
        <v>121</v>
      </c>
      <c r="C21" s="31">
        <v>3869</v>
      </c>
      <c r="D21" s="13">
        <f>C21+100</f>
        <v>3969</v>
      </c>
      <c r="E21" s="38">
        <f t="shared" si="0"/>
        <v>100</v>
      </c>
      <c r="F21" s="39">
        <f t="shared" si="1"/>
        <v>1.0258</v>
      </c>
    </row>
    <row r="22" spans="1:6" ht="33" customHeight="1" x14ac:dyDescent="0.2">
      <c r="A22" s="92" t="s">
        <v>12</v>
      </c>
      <c r="B22" s="14" t="s">
        <v>161</v>
      </c>
      <c r="C22" s="31">
        <v>51603</v>
      </c>
      <c r="D22" s="13">
        <f>C22+2200</f>
        <v>53803</v>
      </c>
      <c r="E22" s="38">
        <f t="shared" si="0"/>
        <v>2200</v>
      </c>
      <c r="F22" s="39">
        <f t="shared" si="1"/>
        <v>1.0426</v>
      </c>
    </row>
    <row r="23" spans="1:6" ht="33" customHeight="1" x14ac:dyDescent="0.2">
      <c r="A23" s="92" t="s">
        <v>13</v>
      </c>
      <c r="B23" s="14" t="s">
        <v>145</v>
      </c>
      <c r="C23" s="31">
        <v>30300</v>
      </c>
      <c r="D23" s="13">
        <f>C23-1200</f>
        <v>29100</v>
      </c>
      <c r="E23" s="38">
        <f t="shared" si="0"/>
        <v>-1200</v>
      </c>
      <c r="F23" s="39">
        <f t="shared" si="1"/>
        <v>0.96040000000000003</v>
      </c>
    </row>
    <row r="24" spans="1:6" ht="33" customHeight="1" x14ac:dyDescent="0.2">
      <c r="A24" s="94" t="s">
        <v>14</v>
      </c>
      <c r="B24" s="30" t="s">
        <v>177</v>
      </c>
      <c r="C24" s="31">
        <v>193080</v>
      </c>
      <c r="D24" s="13">
        <f>C24+14800</f>
        <v>207880</v>
      </c>
      <c r="E24" s="38">
        <f t="shared" si="0"/>
        <v>14800</v>
      </c>
      <c r="F24" s="39">
        <f t="shared" si="1"/>
        <v>1.0767</v>
      </c>
    </row>
    <row r="25" spans="1:6" ht="37.5" x14ac:dyDescent="0.2">
      <c r="A25" s="93" t="s">
        <v>126</v>
      </c>
      <c r="B25" s="45" t="s">
        <v>147</v>
      </c>
      <c r="C25" s="31">
        <v>192210</v>
      </c>
      <c r="D25" s="13">
        <f>C25+15232</f>
        <v>207442</v>
      </c>
      <c r="E25" s="38">
        <f t="shared" si="0"/>
        <v>15232</v>
      </c>
      <c r="F25" s="39">
        <f t="shared" si="1"/>
        <v>1.0791999999999999</v>
      </c>
    </row>
    <row r="26" spans="1:6" ht="31.5" customHeight="1" x14ac:dyDescent="0.2">
      <c r="A26" s="93" t="s">
        <v>146</v>
      </c>
      <c r="B26" s="45" t="s">
        <v>149</v>
      </c>
      <c r="C26" s="31">
        <v>650</v>
      </c>
      <c r="D26" s="13">
        <f>C26-520</f>
        <v>130</v>
      </c>
      <c r="E26" s="38">
        <f t="shared" si="0"/>
        <v>-520</v>
      </c>
      <c r="F26" s="39">
        <f t="shared" si="1"/>
        <v>0.2</v>
      </c>
    </row>
    <row r="27" spans="1:6" ht="37.5" x14ac:dyDescent="0.2">
      <c r="A27" s="93" t="s">
        <v>150</v>
      </c>
      <c r="B27" s="45" t="s">
        <v>148</v>
      </c>
      <c r="C27" s="31">
        <v>220</v>
      </c>
      <c r="D27" s="13">
        <f>C27+88</f>
        <v>308</v>
      </c>
      <c r="E27" s="38">
        <f t="shared" si="0"/>
        <v>88</v>
      </c>
      <c r="F27" s="39">
        <f t="shared" si="1"/>
        <v>1.4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13152</v>
      </c>
      <c r="D32" s="13">
        <f>C32-2440</f>
        <v>10712</v>
      </c>
      <c r="E32" s="38">
        <f t="shared" si="0"/>
        <v>-2440</v>
      </c>
      <c r="F32" s="39">
        <f t="shared" si="1"/>
        <v>0.8145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498</v>
      </c>
      <c r="D34" s="13">
        <f>C34-50</f>
        <v>448</v>
      </c>
      <c r="E34" s="38">
        <f>IF(C34=D34,"-",D34-C34)</f>
        <v>-50</v>
      </c>
      <c r="F34" s="39">
        <f>IF(C34=0,"-",D34/C34)</f>
        <v>0.89959999999999996</v>
      </c>
    </row>
    <row r="35" spans="1:6" ht="53.25" customHeight="1" x14ac:dyDescent="0.2">
      <c r="A35" s="95" t="s">
        <v>195</v>
      </c>
      <c r="B35" s="16" t="s">
        <v>196</v>
      </c>
      <c r="C35" s="31">
        <v>1080</v>
      </c>
      <c r="D35" s="13">
        <f>C35-650</f>
        <v>430</v>
      </c>
      <c r="E35" s="38">
        <f>IF(C35=D35,"-",D35-C35)</f>
        <v>-650</v>
      </c>
      <c r="F35" s="39">
        <f>IF(C35=0,"-",D35/C35)</f>
        <v>0.39810000000000001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350</v>
      </c>
      <c r="D36" s="37">
        <f>C36</f>
        <v>350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57877</v>
      </c>
      <c r="D37" s="37">
        <f>C37</f>
        <v>57877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19152</v>
      </c>
      <c r="D38" s="37">
        <f>C38</f>
        <v>19152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286296</v>
      </c>
      <c r="D40" s="32">
        <f>D11+D13+D24+D30</f>
        <v>287788</v>
      </c>
      <c r="E40" s="7">
        <f t="shared" si="0"/>
        <v>1492</v>
      </c>
      <c r="F40" s="40">
        <f t="shared" si="1"/>
        <v>1.0052000000000001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17030</v>
      </c>
      <c r="D41" s="71">
        <f>D42+D43+D44+D52+D54+D60+D61+D59</f>
        <v>17030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845</v>
      </c>
      <c r="D42" s="33">
        <f>C42</f>
        <v>845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2400</v>
      </c>
      <c r="D43" s="33">
        <f t="shared" ref="D43:D61" si="3">C43</f>
        <v>2400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174</v>
      </c>
      <c r="D44" s="33">
        <f>D45+D47+D48+D49+D50+D51</f>
        <v>174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98" t="s">
        <v>38</v>
      </c>
      <c r="B46" s="47" t="s">
        <v>31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39</v>
      </c>
      <c r="B47" s="46" t="s">
        <v>32</v>
      </c>
      <c r="C47" s="31">
        <v>8</v>
      </c>
      <c r="D47" s="33">
        <f t="shared" si="3"/>
        <v>8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160</v>
      </c>
      <c r="D50" s="33">
        <f t="shared" si="3"/>
        <v>160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6</v>
      </c>
      <c r="D51" s="33">
        <f t="shared" si="3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9702</v>
      </c>
      <c r="D52" s="33">
        <f t="shared" si="3"/>
        <v>9702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12</v>
      </c>
      <c r="D53" s="33">
        <f t="shared" si="3"/>
        <v>12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2192</v>
      </c>
      <c r="D54" s="29">
        <f>D55+D56+D57+D58</f>
        <v>2192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1665</v>
      </c>
      <c r="D55" s="33">
        <f t="shared" si="3"/>
        <v>1665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233</v>
      </c>
      <c r="D56" s="33">
        <f t="shared" si="3"/>
        <v>233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294</v>
      </c>
      <c r="D58" s="33">
        <f t="shared" si="3"/>
        <v>294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1488</v>
      </c>
      <c r="D60" s="33">
        <f t="shared" si="3"/>
        <v>1488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229</v>
      </c>
      <c r="D61" s="33">
        <f t="shared" si="3"/>
        <v>229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2889</v>
      </c>
      <c r="D62" s="87">
        <f>D63+D64+D65+D66</f>
        <v>2889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563</v>
      </c>
      <c r="D64" s="33">
        <f>C64</f>
        <v>563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2326</v>
      </c>
      <c r="D66" s="33">
        <f>C66</f>
        <v>2326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194</v>
      </c>
      <c r="D67" s="87">
        <f>C67</f>
        <v>194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56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67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4302602</v>
      </c>
      <c r="D6" s="83">
        <f>D7+D8+D9+D14+D15+D16+D17+D18+D19+D20+D21+D22+D23+D24+D28+D29+D31+D32+D33+D34+D35</f>
        <v>4302602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586563</v>
      </c>
      <c r="D7" s="13">
        <f>C7+18000</f>
        <v>604563</v>
      </c>
      <c r="E7" s="38">
        <f t="shared" ref="E7:E67" si="0">IF(C7=D7,"-",D7-C7)</f>
        <v>18000</v>
      </c>
      <c r="F7" s="39">
        <f t="shared" ref="F7:F67" si="1">IF(C7=0,"-",D7/C7)</f>
        <v>1.0306999999999999</v>
      </c>
    </row>
    <row r="8" spans="1:6" ht="33" customHeight="1" x14ac:dyDescent="0.2">
      <c r="A8" s="92" t="s">
        <v>2</v>
      </c>
      <c r="B8" s="14" t="s">
        <v>117</v>
      </c>
      <c r="C8" s="31">
        <v>251643</v>
      </c>
      <c r="D8" s="13">
        <f>C8-10700</f>
        <v>240943</v>
      </c>
      <c r="E8" s="38">
        <f t="shared" si="0"/>
        <v>-10700</v>
      </c>
      <c r="F8" s="39">
        <f t="shared" si="1"/>
        <v>0.95750000000000002</v>
      </c>
    </row>
    <row r="9" spans="1:6" ht="33" customHeight="1" x14ac:dyDescent="0.2">
      <c r="A9" s="92" t="s">
        <v>3</v>
      </c>
      <c r="B9" s="14" t="s">
        <v>114</v>
      </c>
      <c r="C9" s="31">
        <v>2238135</v>
      </c>
      <c r="D9" s="13">
        <f>C9+1980</f>
        <v>2240115</v>
      </c>
      <c r="E9" s="38">
        <f t="shared" si="0"/>
        <v>1980</v>
      </c>
      <c r="F9" s="39">
        <f t="shared" si="1"/>
        <v>1.0008999999999999</v>
      </c>
    </row>
    <row r="10" spans="1:6" ht="31.5" customHeight="1" x14ac:dyDescent="0.2">
      <c r="A10" s="93" t="s">
        <v>54</v>
      </c>
      <c r="B10" s="45" t="s">
        <v>198</v>
      </c>
      <c r="C10" s="31">
        <v>190701</v>
      </c>
      <c r="D10" s="13">
        <f>C10+3000</f>
        <v>193701</v>
      </c>
      <c r="E10" s="38">
        <f t="shared" si="0"/>
        <v>3000</v>
      </c>
      <c r="F10" s="39">
        <f t="shared" si="1"/>
        <v>1.0157</v>
      </c>
    </row>
    <row r="11" spans="1:6" ht="31.5" customHeight="1" x14ac:dyDescent="0.2">
      <c r="A11" s="93" t="s">
        <v>139</v>
      </c>
      <c r="B11" s="45" t="s">
        <v>142</v>
      </c>
      <c r="C11" s="31">
        <v>173541</v>
      </c>
      <c r="D11" s="13">
        <f>C11+3000</f>
        <v>176541</v>
      </c>
      <c r="E11" s="38">
        <f t="shared" si="0"/>
        <v>3000</v>
      </c>
      <c r="F11" s="39">
        <f t="shared" si="1"/>
        <v>1.0173000000000001</v>
      </c>
    </row>
    <row r="12" spans="1:6" ht="31.5" customHeight="1" x14ac:dyDescent="0.2">
      <c r="A12" s="93" t="s">
        <v>140</v>
      </c>
      <c r="B12" s="45" t="s">
        <v>143</v>
      </c>
      <c r="C12" s="31">
        <v>79525</v>
      </c>
      <c r="D12" s="13">
        <f>C12-500</f>
        <v>79025</v>
      </c>
      <c r="E12" s="38">
        <f t="shared" si="0"/>
        <v>-500</v>
      </c>
      <c r="F12" s="39">
        <f t="shared" si="1"/>
        <v>0.99370000000000003</v>
      </c>
    </row>
    <row r="13" spans="1:6" ht="31.5" customHeight="1" x14ac:dyDescent="0.2">
      <c r="A13" s="93" t="s">
        <v>141</v>
      </c>
      <c r="B13" s="45" t="s">
        <v>144</v>
      </c>
      <c r="C13" s="31">
        <v>36036</v>
      </c>
      <c r="D13" s="13">
        <f>C13-500</f>
        <v>35536</v>
      </c>
      <c r="E13" s="38">
        <f t="shared" si="0"/>
        <v>-500</v>
      </c>
      <c r="F13" s="39">
        <f t="shared" si="1"/>
        <v>0.98609999999999998</v>
      </c>
    </row>
    <row r="14" spans="1:6" ht="33" customHeight="1" x14ac:dyDescent="0.2">
      <c r="A14" s="92" t="s">
        <v>4</v>
      </c>
      <c r="B14" s="14" t="s">
        <v>122</v>
      </c>
      <c r="C14" s="31">
        <v>134535</v>
      </c>
      <c r="D14" s="13">
        <f t="shared" ref="D14:D33" si="2">C14</f>
        <v>134535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v>166560</v>
      </c>
      <c r="D15" s="13">
        <f t="shared" si="2"/>
        <v>166560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128512</v>
      </c>
      <c r="D16" s="13">
        <f t="shared" si="2"/>
        <v>128512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48797</v>
      </c>
      <c r="D17" s="13">
        <f t="shared" si="2"/>
        <v>48797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118135</v>
      </c>
      <c r="D18" s="13">
        <f>C18-1500-2370</f>
        <v>114265</v>
      </c>
      <c r="E18" s="38">
        <f t="shared" si="0"/>
        <v>-3870</v>
      </c>
      <c r="F18" s="39">
        <f t="shared" si="1"/>
        <v>0.96719999999999995</v>
      </c>
    </row>
    <row r="19" spans="1:6" ht="33" customHeight="1" x14ac:dyDescent="0.2">
      <c r="A19" s="92" t="s">
        <v>9</v>
      </c>
      <c r="B19" s="14" t="s">
        <v>120</v>
      </c>
      <c r="C19" s="31">
        <v>37785</v>
      </c>
      <c r="D19" s="13">
        <f>C19-1940</f>
        <v>35845</v>
      </c>
      <c r="E19" s="38">
        <f t="shared" si="0"/>
        <v>-1940</v>
      </c>
      <c r="F19" s="39">
        <f t="shared" si="1"/>
        <v>0.94869999999999999</v>
      </c>
    </row>
    <row r="20" spans="1:6" ht="33" customHeight="1" x14ac:dyDescent="0.2">
      <c r="A20" s="92" t="s">
        <v>10</v>
      </c>
      <c r="B20" s="14" t="s">
        <v>125</v>
      </c>
      <c r="C20" s="31">
        <v>3286</v>
      </c>
      <c r="D20" s="13">
        <f>C20-80</f>
        <v>3206</v>
      </c>
      <c r="E20" s="38">
        <f t="shared" si="0"/>
        <v>-80</v>
      </c>
      <c r="F20" s="39">
        <f t="shared" si="1"/>
        <v>0.97570000000000001</v>
      </c>
    </row>
    <row r="21" spans="1:6" ht="46.5" customHeight="1" x14ac:dyDescent="0.2">
      <c r="A21" s="92" t="s">
        <v>11</v>
      </c>
      <c r="B21" s="14" t="s">
        <v>121</v>
      </c>
      <c r="C21" s="31">
        <v>8540</v>
      </c>
      <c r="D21" s="13">
        <f>C21-740</f>
        <v>7800</v>
      </c>
      <c r="E21" s="38">
        <f t="shared" si="0"/>
        <v>-740</v>
      </c>
      <c r="F21" s="39">
        <f t="shared" si="1"/>
        <v>0.9133</v>
      </c>
    </row>
    <row r="22" spans="1:6" ht="33" customHeight="1" x14ac:dyDescent="0.2">
      <c r="A22" s="92" t="s">
        <v>12</v>
      </c>
      <c r="B22" s="14" t="s">
        <v>161</v>
      </c>
      <c r="C22" s="31">
        <v>99574</v>
      </c>
      <c r="D22" s="13">
        <f>C22+1000</f>
        <v>100574</v>
      </c>
      <c r="E22" s="38">
        <f t="shared" si="0"/>
        <v>1000</v>
      </c>
      <c r="F22" s="39">
        <f t="shared" si="1"/>
        <v>1.01</v>
      </c>
    </row>
    <row r="23" spans="1:6" ht="33" customHeight="1" x14ac:dyDescent="0.2">
      <c r="A23" s="92" t="s">
        <v>13</v>
      </c>
      <c r="B23" s="14" t="s">
        <v>145</v>
      </c>
      <c r="C23" s="31">
        <v>61454</v>
      </c>
      <c r="D23" s="13">
        <f>C23-1800</f>
        <v>59654</v>
      </c>
      <c r="E23" s="38">
        <f t="shared" si="0"/>
        <v>-1800</v>
      </c>
      <c r="F23" s="39">
        <f t="shared" si="1"/>
        <v>0.97070000000000001</v>
      </c>
    </row>
    <row r="24" spans="1:6" ht="33" customHeight="1" x14ac:dyDescent="0.2">
      <c r="A24" s="94" t="s">
        <v>14</v>
      </c>
      <c r="B24" s="30" t="s">
        <v>177</v>
      </c>
      <c r="C24" s="31">
        <v>406610</v>
      </c>
      <c r="D24" s="13">
        <f>C24+1500-2500</f>
        <v>405610</v>
      </c>
      <c r="E24" s="38">
        <f t="shared" si="0"/>
        <v>-1000</v>
      </c>
      <c r="F24" s="39">
        <f t="shared" si="1"/>
        <v>0.99750000000000005</v>
      </c>
    </row>
    <row r="25" spans="1:6" ht="37.5" x14ac:dyDescent="0.2">
      <c r="A25" s="93" t="s">
        <v>126</v>
      </c>
      <c r="B25" s="45" t="s">
        <v>147</v>
      </c>
      <c r="C25" s="31">
        <v>402865</v>
      </c>
      <c r="D25" s="13">
        <f>C25+1500-1005</f>
        <v>403360</v>
      </c>
      <c r="E25" s="38">
        <f t="shared" si="0"/>
        <v>495</v>
      </c>
      <c r="F25" s="39">
        <f t="shared" si="1"/>
        <v>1.0012000000000001</v>
      </c>
    </row>
    <row r="26" spans="1:6" ht="31.5" customHeight="1" x14ac:dyDescent="0.2">
      <c r="A26" s="93" t="s">
        <v>146</v>
      </c>
      <c r="B26" s="45" t="s">
        <v>149</v>
      </c>
      <c r="C26" s="31">
        <v>2675</v>
      </c>
      <c r="D26" s="13">
        <f>C26-2125</f>
        <v>550</v>
      </c>
      <c r="E26" s="38">
        <f t="shared" si="0"/>
        <v>-2125</v>
      </c>
      <c r="F26" s="39">
        <f t="shared" si="1"/>
        <v>0.2056</v>
      </c>
    </row>
    <row r="27" spans="1:6" ht="37.5" x14ac:dyDescent="0.2">
      <c r="A27" s="93" t="s">
        <v>150</v>
      </c>
      <c r="B27" s="45" t="s">
        <v>148</v>
      </c>
      <c r="C27" s="31">
        <v>1070</v>
      </c>
      <c r="D27" s="13">
        <f>C27+630</f>
        <v>1700</v>
      </c>
      <c r="E27" s="38">
        <f t="shared" si="0"/>
        <v>630</v>
      </c>
      <c r="F27" s="39">
        <f t="shared" si="1"/>
        <v>1.5888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3791</v>
      </c>
      <c r="D32" s="13">
        <f>C32</f>
        <v>3791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200</v>
      </c>
      <c r="D34" s="13">
        <f>C34-100</f>
        <v>100</v>
      </c>
      <c r="E34" s="38">
        <f>IF(C34=D34,"-",D34-C34)</f>
        <v>-100</v>
      </c>
      <c r="F34" s="39">
        <f>IF(C34=0,"-",D34/C34)</f>
        <v>0.5</v>
      </c>
    </row>
    <row r="35" spans="1:6" ht="53.25" customHeight="1" x14ac:dyDescent="0.2">
      <c r="A35" s="95" t="s">
        <v>195</v>
      </c>
      <c r="B35" s="16" t="s">
        <v>196</v>
      </c>
      <c r="C35" s="31">
        <v>8482</v>
      </c>
      <c r="D35" s="13">
        <f>C35-750</f>
        <v>7732</v>
      </c>
      <c r="E35" s="38">
        <f>IF(C35=D35,"-",D35-C35)</f>
        <v>-750</v>
      </c>
      <c r="F35" s="39">
        <f>IF(C35=0,"-",D35/C35)</f>
        <v>0.91159999999999997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395</v>
      </c>
      <c r="D36" s="37">
        <f>C36</f>
        <v>395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119082</v>
      </c>
      <c r="D37" s="37">
        <f>C37</f>
        <v>119082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33791</v>
      </c>
      <c r="D38" s="37">
        <f>C38</f>
        <v>33791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616187</v>
      </c>
      <c r="D40" s="32">
        <f>D11+D13+D24+D30</f>
        <v>617687</v>
      </c>
      <c r="E40" s="7">
        <f t="shared" si="0"/>
        <v>1500</v>
      </c>
      <c r="F40" s="40">
        <f t="shared" si="1"/>
        <v>1.0024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26529</v>
      </c>
      <c r="D41" s="71">
        <f>D42+D43+D44+D52+D54+D60+D61+D59</f>
        <v>26529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1381</v>
      </c>
      <c r="D42" s="33">
        <f>C42</f>
        <v>1381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2881</v>
      </c>
      <c r="D43" s="33">
        <f t="shared" ref="D43:D61" si="3">C43</f>
        <v>2881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122</v>
      </c>
      <c r="D44" s="33">
        <f>D45+D47+D48+D49+D50+D51</f>
        <v>122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28</v>
      </c>
      <c r="D45" s="33">
        <f t="shared" si="3"/>
        <v>28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28</v>
      </c>
      <c r="D46" s="33">
        <f t="shared" si="3"/>
        <v>28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13</v>
      </c>
      <c r="D47" s="33">
        <f t="shared" si="3"/>
        <v>13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44</v>
      </c>
      <c r="D50" s="33">
        <f t="shared" si="3"/>
        <v>44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37</v>
      </c>
      <c r="D51" s="33">
        <f t="shared" si="3"/>
        <v>37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15007</v>
      </c>
      <c r="D52" s="33">
        <f t="shared" si="3"/>
        <v>15007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3365</v>
      </c>
      <c r="D54" s="29">
        <f>D55+D56+D57+D58</f>
        <v>3365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2576</v>
      </c>
      <c r="D55" s="33">
        <f t="shared" si="3"/>
        <v>2576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368</v>
      </c>
      <c r="D56" s="33">
        <f t="shared" si="3"/>
        <v>368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421</v>
      </c>
      <c r="D58" s="33">
        <f t="shared" si="3"/>
        <v>421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3500</v>
      </c>
      <c r="D60" s="33">
        <f t="shared" si="3"/>
        <v>3500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273</v>
      </c>
      <c r="D61" s="33">
        <f t="shared" si="3"/>
        <v>273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5923</v>
      </c>
      <c r="D62" s="87">
        <f>D63+D64+D65+D66</f>
        <v>5923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3923</v>
      </c>
      <c r="D66" s="33">
        <f>C66</f>
        <v>3923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200</v>
      </c>
      <c r="D67" s="87">
        <f>C67</f>
        <v>200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5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68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2433469</v>
      </c>
      <c r="D6" s="83">
        <f>D7+D8+D9+D14+D15+D16+D17+D18+D19+D20+D21+D22+D23+D24+D28+D29+D31+D32+D33+D34+D35</f>
        <v>2433469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333850</v>
      </c>
      <c r="D7" s="13">
        <f>C7</f>
        <v>333850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146937</v>
      </c>
      <c r="D8" s="13">
        <f>C8+450</f>
        <v>147387</v>
      </c>
      <c r="E8" s="38">
        <f t="shared" si="0"/>
        <v>450</v>
      </c>
      <c r="F8" s="39">
        <f t="shared" si="1"/>
        <v>1.0031000000000001</v>
      </c>
    </row>
    <row r="9" spans="1:6" ht="33" customHeight="1" x14ac:dyDescent="0.2">
      <c r="A9" s="92" t="s">
        <v>3</v>
      </c>
      <c r="B9" s="14" t="s">
        <v>114</v>
      </c>
      <c r="C9" s="31">
        <v>1294365</v>
      </c>
      <c r="D9" s="13">
        <f t="shared" ref="D9:D34" si="2">C9</f>
        <v>1294365</v>
      </c>
      <c r="E9" s="38" t="str">
        <f t="shared" si="0"/>
        <v>-</v>
      </c>
      <c r="F9" s="39">
        <f t="shared" si="1"/>
        <v>1</v>
      </c>
    </row>
    <row r="10" spans="1:6" ht="31.5" customHeight="1" x14ac:dyDescent="0.2">
      <c r="A10" s="93" t="s">
        <v>54</v>
      </c>
      <c r="B10" s="45" t="s">
        <v>198</v>
      </c>
      <c r="C10" s="31">
        <v>97049</v>
      </c>
      <c r="D10" s="13">
        <f t="shared" si="2"/>
        <v>97049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v>89050</v>
      </c>
      <c r="D11" s="13">
        <f t="shared" si="2"/>
        <v>89050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47160</v>
      </c>
      <c r="D12" s="13">
        <f t="shared" si="2"/>
        <v>47160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25450</v>
      </c>
      <c r="D13" s="13">
        <f t="shared" si="2"/>
        <v>25450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84814</v>
      </c>
      <c r="D14" s="13">
        <f t="shared" si="2"/>
        <v>84814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v>63525</v>
      </c>
      <c r="D15" s="13">
        <f t="shared" si="2"/>
        <v>63525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40722</v>
      </c>
      <c r="D16" s="13">
        <f t="shared" si="2"/>
        <v>40722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v>22818</v>
      </c>
      <c r="D17" s="13">
        <f t="shared" si="2"/>
        <v>22818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62666</v>
      </c>
      <c r="D18" s="13">
        <f t="shared" si="2"/>
        <v>62666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19862</v>
      </c>
      <c r="D19" s="13">
        <f>C19-380</f>
        <v>19482</v>
      </c>
      <c r="E19" s="38">
        <f t="shared" si="0"/>
        <v>-380</v>
      </c>
      <c r="F19" s="39">
        <f t="shared" si="1"/>
        <v>0.98089999999999999</v>
      </c>
    </row>
    <row r="20" spans="1:6" ht="33" customHeight="1" x14ac:dyDescent="0.2">
      <c r="A20" s="92" t="s">
        <v>10</v>
      </c>
      <c r="B20" s="14" t="s">
        <v>125</v>
      </c>
      <c r="C20" s="31">
        <v>1915</v>
      </c>
      <c r="D20" s="13">
        <f t="shared" si="2"/>
        <v>1915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4654</v>
      </c>
      <c r="D21" s="13">
        <f>C21+130</f>
        <v>4784</v>
      </c>
      <c r="E21" s="38">
        <f t="shared" si="0"/>
        <v>130</v>
      </c>
      <c r="F21" s="39">
        <f t="shared" si="1"/>
        <v>1.0279</v>
      </c>
    </row>
    <row r="22" spans="1:6" ht="33" customHeight="1" x14ac:dyDescent="0.2">
      <c r="A22" s="92" t="s">
        <v>12</v>
      </c>
      <c r="B22" s="14" t="s">
        <v>161</v>
      </c>
      <c r="C22" s="31">
        <v>69301</v>
      </c>
      <c r="D22" s="13">
        <f>C22+350</f>
        <v>69651</v>
      </c>
      <c r="E22" s="38">
        <f t="shared" si="0"/>
        <v>350</v>
      </c>
      <c r="F22" s="39">
        <f t="shared" si="1"/>
        <v>1.0051000000000001</v>
      </c>
    </row>
    <row r="23" spans="1:6" ht="33" customHeight="1" x14ac:dyDescent="0.2">
      <c r="A23" s="92" t="s">
        <v>13</v>
      </c>
      <c r="B23" s="14" t="s">
        <v>145</v>
      </c>
      <c r="C23" s="31">
        <v>33425</v>
      </c>
      <c r="D23" s="13">
        <f t="shared" si="2"/>
        <v>33425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235500</v>
      </c>
      <c r="D24" s="13">
        <f t="shared" si="2"/>
        <v>235500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233800</v>
      </c>
      <c r="D25" s="13">
        <f t="shared" si="2"/>
        <v>233800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700</v>
      </c>
      <c r="D26" s="13">
        <f t="shared" si="2"/>
        <v>700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3355</v>
      </c>
      <c r="D32" s="13">
        <f>C32-550</f>
        <v>2805</v>
      </c>
      <c r="E32" s="38">
        <f t="shared" si="0"/>
        <v>-550</v>
      </c>
      <c r="F32" s="39">
        <f t="shared" si="1"/>
        <v>0.83609999999999995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ht="53.25" customHeight="1" x14ac:dyDescent="0.2">
      <c r="A35" s="95" t="s">
        <v>195</v>
      </c>
      <c r="B35" s="16" t="s">
        <v>196</v>
      </c>
      <c r="C35" s="31">
        <v>15760</v>
      </c>
      <c r="D35" s="13">
        <f>C35</f>
        <v>15760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193</v>
      </c>
      <c r="D36" s="37">
        <f>C36</f>
        <v>193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76103</v>
      </c>
      <c r="D37" s="37">
        <f>C37</f>
        <v>76103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21534</v>
      </c>
      <c r="D38" s="37">
        <f>C38</f>
        <v>21534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350000</v>
      </c>
      <c r="D40" s="32">
        <f>D11+D13+D24+D30</f>
        <v>350000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17681</v>
      </c>
      <c r="D41" s="71">
        <f>D42+D43+D44+D52+D54+D60+D61+D59</f>
        <v>17681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573</v>
      </c>
      <c r="D42" s="33">
        <f>C42</f>
        <v>573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1272</v>
      </c>
      <c r="D43" s="33">
        <f t="shared" ref="D43:D61" si="3">C43</f>
        <v>1272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226</v>
      </c>
      <c r="D44" s="33">
        <f>D45+D47+D48+D49+D50+D51</f>
        <v>226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19</v>
      </c>
      <c r="D45" s="33">
        <f t="shared" si="3"/>
        <v>19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19</v>
      </c>
      <c r="D46" s="33">
        <f t="shared" si="3"/>
        <v>19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79</v>
      </c>
      <c r="D47" s="33">
        <f t="shared" si="3"/>
        <v>79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119</v>
      </c>
      <c r="D50" s="33">
        <f t="shared" si="3"/>
        <v>119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9</v>
      </c>
      <c r="D51" s="33">
        <f t="shared" si="3"/>
        <v>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10668</v>
      </c>
      <c r="D52" s="33">
        <f t="shared" si="3"/>
        <v>10668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2420</v>
      </c>
      <c r="D54" s="29">
        <f>D55+D56+D57+D58</f>
        <v>2420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1831</v>
      </c>
      <c r="D55" s="33">
        <f t="shared" si="3"/>
        <v>1831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256</v>
      </c>
      <c r="D56" s="33">
        <f t="shared" si="3"/>
        <v>256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333</v>
      </c>
      <c r="D58" s="33">
        <f t="shared" si="3"/>
        <v>333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2350</v>
      </c>
      <c r="D60" s="33">
        <f t="shared" si="3"/>
        <v>2350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172</v>
      </c>
      <c r="D61" s="33">
        <f t="shared" si="3"/>
        <v>172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3690</v>
      </c>
      <c r="D62" s="87">
        <f>D63+D64+D65+D66</f>
        <v>3690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400</v>
      </c>
      <c r="D64" s="33">
        <f>C64</f>
        <v>400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3290</v>
      </c>
      <c r="D66" s="33">
        <f>C66</f>
        <v>3290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384</v>
      </c>
      <c r="D67" s="87">
        <f>C67</f>
        <v>384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46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4717433</v>
      </c>
      <c r="D6" s="83">
        <f>D7+D8+D9+D14+D15+D16+D17+D18+D19+D20+D21+D22+D23+D24+D28+D29+D31+D32+D33+D34+D35</f>
        <v>4717433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674715</v>
      </c>
      <c r="D7" s="13">
        <f>C7+1300</f>
        <v>676015</v>
      </c>
      <c r="E7" s="38">
        <f t="shared" ref="E7:E67" si="0">IF(C7=D7,"-",D7-C7)</f>
        <v>1300</v>
      </c>
      <c r="F7" s="39">
        <f t="shared" ref="F7:F67" si="1">IF(C7=0,"-",D7/C7)</f>
        <v>1.0019</v>
      </c>
    </row>
    <row r="8" spans="1:6" ht="33" customHeight="1" x14ac:dyDescent="0.2">
      <c r="A8" s="92" t="s">
        <v>2</v>
      </c>
      <c r="B8" s="14" t="s">
        <v>117</v>
      </c>
      <c r="C8" s="31">
        <v>308295</v>
      </c>
      <c r="D8" s="13">
        <f>C8+1900</f>
        <v>310195</v>
      </c>
      <c r="E8" s="38">
        <f t="shared" si="0"/>
        <v>1900</v>
      </c>
      <c r="F8" s="39">
        <f t="shared" si="1"/>
        <v>1.0062</v>
      </c>
    </row>
    <row r="9" spans="1:6" ht="33" customHeight="1" x14ac:dyDescent="0.2">
      <c r="A9" s="92" t="s">
        <v>3</v>
      </c>
      <c r="B9" s="14" t="s">
        <v>114</v>
      </c>
      <c r="C9" s="31">
        <v>2418940</v>
      </c>
      <c r="D9" s="13">
        <f>C9+8730</f>
        <v>2427670</v>
      </c>
      <c r="E9" s="38">
        <f t="shared" si="0"/>
        <v>8730</v>
      </c>
      <c r="F9" s="39">
        <f t="shared" si="1"/>
        <v>1.0036</v>
      </c>
    </row>
    <row r="10" spans="1:6" ht="31.5" customHeight="1" x14ac:dyDescent="0.2">
      <c r="A10" s="93" t="s">
        <v>54</v>
      </c>
      <c r="B10" s="45" t="s">
        <v>198</v>
      </c>
      <c r="C10" s="31">
        <v>251018</v>
      </c>
      <c r="D10" s="13">
        <f>C10+500</f>
        <v>251518</v>
      </c>
      <c r="E10" s="38">
        <f t="shared" si="0"/>
        <v>500</v>
      </c>
      <c r="F10" s="39">
        <f t="shared" si="1"/>
        <v>1.002</v>
      </c>
    </row>
    <row r="11" spans="1:6" ht="31.5" customHeight="1" x14ac:dyDescent="0.2">
      <c r="A11" s="93" t="s">
        <v>139</v>
      </c>
      <c r="B11" s="45" t="s">
        <v>142</v>
      </c>
      <c r="C11" s="31">
        <v>230899</v>
      </c>
      <c r="D11" s="13">
        <f>C11+500</f>
        <v>231399</v>
      </c>
      <c r="E11" s="38">
        <f t="shared" si="0"/>
        <v>500</v>
      </c>
      <c r="F11" s="39">
        <f t="shared" si="1"/>
        <v>1.0022</v>
      </c>
    </row>
    <row r="12" spans="1:6" ht="31.5" customHeight="1" x14ac:dyDescent="0.2">
      <c r="A12" s="93" t="s">
        <v>140</v>
      </c>
      <c r="B12" s="45" t="s">
        <v>143</v>
      </c>
      <c r="C12" s="31">
        <v>88528</v>
      </c>
      <c r="D12" s="13">
        <f t="shared" ref="D12:D33" si="2">C12</f>
        <v>88528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v>50364</v>
      </c>
      <c r="D13" s="13">
        <f>C13+500</f>
        <v>50864</v>
      </c>
      <c r="E13" s="38">
        <f t="shared" si="0"/>
        <v>500</v>
      </c>
      <c r="F13" s="39">
        <f t="shared" si="1"/>
        <v>1.0099</v>
      </c>
    </row>
    <row r="14" spans="1:6" ht="33" customHeight="1" x14ac:dyDescent="0.2">
      <c r="A14" s="92" t="s">
        <v>4</v>
      </c>
      <c r="B14" s="14" t="s">
        <v>122</v>
      </c>
      <c r="C14" s="31">
        <v>181717</v>
      </c>
      <c r="D14" s="13">
        <f>C14-900</f>
        <v>180817</v>
      </c>
      <c r="E14" s="38">
        <f t="shared" si="0"/>
        <v>-900</v>
      </c>
      <c r="F14" s="39">
        <f t="shared" si="1"/>
        <v>0.995</v>
      </c>
    </row>
    <row r="15" spans="1:6" ht="33" customHeight="1" x14ac:dyDescent="0.2">
      <c r="A15" s="92" t="s">
        <v>5</v>
      </c>
      <c r="B15" s="14" t="s">
        <v>118</v>
      </c>
      <c r="C15" s="31">
        <v>132429</v>
      </c>
      <c r="D15" s="13">
        <f>C15+1000</f>
        <v>133429</v>
      </c>
      <c r="E15" s="38">
        <f t="shared" si="0"/>
        <v>1000</v>
      </c>
      <c r="F15" s="39">
        <f t="shared" si="1"/>
        <v>1.0076000000000001</v>
      </c>
    </row>
    <row r="16" spans="1:6" ht="33" customHeight="1" x14ac:dyDescent="0.2">
      <c r="A16" s="92" t="s">
        <v>6</v>
      </c>
      <c r="B16" s="14" t="s">
        <v>124</v>
      </c>
      <c r="C16" s="31">
        <v>60048</v>
      </c>
      <c r="D16" s="13">
        <f>C16+730</f>
        <v>60778</v>
      </c>
      <c r="E16" s="38">
        <f t="shared" si="0"/>
        <v>730</v>
      </c>
      <c r="F16" s="39">
        <f t="shared" si="1"/>
        <v>1.0122</v>
      </c>
    </row>
    <row r="17" spans="1:6" ht="33" customHeight="1" x14ac:dyDescent="0.2">
      <c r="A17" s="92" t="s">
        <v>7</v>
      </c>
      <c r="B17" s="14" t="s">
        <v>123</v>
      </c>
      <c r="C17" s="31">
        <v>47678</v>
      </c>
      <c r="D17" s="13">
        <f>C17</f>
        <v>47678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112266</v>
      </c>
      <c r="D18" s="13">
        <f>C18-330</f>
        <v>111936</v>
      </c>
      <c r="E18" s="38">
        <f t="shared" si="0"/>
        <v>-330</v>
      </c>
      <c r="F18" s="39">
        <f t="shared" si="1"/>
        <v>0.99709999999999999</v>
      </c>
    </row>
    <row r="19" spans="1:6" ht="33" customHeight="1" x14ac:dyDescent="0.2">
      <c r="A19" s="92" t="s">
        <v>9</v>
      </c>
      <c r="B19" s="14" t="s">
        <v>120</v>
      </c>
      <c r="C19" s="31">
        <v>32087</v>
      </c>
      <c r="D19" s="13">
        <f>C19-868</f>
        <v>31219</v>
      </c>
      <c r="E19" s="38">
        <f t="shared" si="0"/>
        <v>-868</v>
      </c>
      <c r="F19" s="39">
        <f t="shared" si="1"/>
        <v>0.97289999999999999</v>
      </c>
    </row>
    <row r="20" spans="1:6" ht="33" customHeight="1" x14ac:dyDescent="0.2">
      <c r="A20" s="92" t="s">
        <v>10</v>
      </c>
      <c r="B20" s="14" t="s">
        <v>125</v>
      </c>
      <c r="C20" s="31">
        <v>1739</v>
      </c>
      <c r="D20" s="13">
        <f>C20-146</f>
        <v>1593</v>
      </c>
      <c r="E20" s="38">
        <f t="shared" si="0"/>
        <v>-146</v>
      </c>
      <c r="F20" s="39">
        <f t="shared" si="1"/>
        <v>0.91600000000000004</v>
      </c>
    </row>
    <row r="21" spans="1:6" ht="46.5" customHeight="1" x14ac:dyDescent="0.2">
      <c r="A21" s="92" t="s">
        <v>11</v>
      </c>
      <c r="B21" s="14" t="s">
        <v>121</v>
      </c>
      <c r="C21" s="31">
        <v>11145</v>
      </c>
      <c r="D21" s="13">
        <f>C21-420</f>
        <v>10725</v>
      </c>
      <c r="E21" s="38">
        <f t="shared" si="0"/>
        <v>-420</v>
      </c>
      <c r="F21" s="39">
        <f t="shared" si="1"/>
        <v>0.96230000000000004</v>
      </c>
    </row>
    <row r="22" spans="1:6" ht="33" customHeight="1" x14ac:dyDescent="0.2">
      <c r="A22" s="92" t="s">
        <v>12</v>
      </c>
      <c r="B22" s="14" t="s">
        <v>161</v>
      </c>
      <c r="C22" s="31">
        <v>126494</v>
      </c>
      <c r="D22" s="13">
        <f>C22-1900</f>
        <v>124594</v>
      </c>
      <c r="E22" s="38">
        <f t="shared" si="0"/>
        <v>-1900</v>
      </c>
      <c r="F22" s="39">
        <f t="shared" si="1"/>
        <v>0.98499999999999999</v>
      </c>
    </row>
    <row r="23" spans="1:6" ht="33" customHeight="1" x14ac:dyDescent="0.2">
      <c r="A23" s="92" t="s">
        <v>13</v>
      </c>
      <c r="B23" s="14" t="s">
        <v>145</v>
      </c>
      <c r="C23" s="31">
        <v>63000</v>
      </c>
      <c r="D23" s="13">
        <f>C23-2300</f>
        <v>60700</v>
      </c>
      <c r="E23" s="38">
        <f t="shared" si="0"/>
        <v>-2300</v>
      </c>
      <c r="F23" s="39">
        <f t="shared" si="1"/>
        <v>0.96350000000000002</v>
      </c>
    </row>
    <row r="24" spans="1:6" ht="33" customHeight="1" x14ac:dyDescent="0.2">
      <c r="A24" s="94" t="s">
        <v>14</v>
      </c>
      <c r="B24" s="30" t="s">
        <v>177</v>
      </c>
      <c r="C24" s="31">
        <v>534668</v>
      </c>
      <c r="D24" s="13">
        <f>C24-2400</f>
        <v>532268</v>
      </c>
      <c r="E24" s="38">
        <f t="shared" si="0"/>
        <v>-2400</v>
      </c>
      <c r="F24" s="39">
        <f t="shared" si="1"/>
        <v>0.99550000000000005</v>
      </c>
    </row>
    <row r="25" spans="1:6" ht="37.5" x14ac:dyDescent="0.2">
      <c r="A25" s="93" t="s">
        <v>126</v>
      </c>
      <c r="B25" s="45" t="s">
        <v>147</v>
      </c>
      <c r="C25" s="31">
        <v>532971</v>
      </c>
      <c r="D25" s="13">
        <f>C25-2000</f>
        <v>530971</v>
      </c>
      <c r="E25" s="38">
        <f t="shared" si="0"/>
        <v>-2000</v>
      </c>
      <c r="F25" s="39">
        <f t="shared" si="1"/>
        <v>0.99619999999999997</v>
      </c>
    </row>
    <row r="26" spans="1:6" ht="31.5" customHeight="1" x14ac:dyDescent="0.2">
      <c r="A26" s="93" t="s">
        <v>146</v>
      </c>
      <c r="B26" s="45" t="s">
        <v>149</v>
      </c>
      <c r="C26" s="31">
        <v>931</v>
      </c>
      <c r="D26" s="13">
        <f>C26-300</f>
        <v>631</v>
      </c>
      <c r="E26" s="38">
        <f t="shared" si="0"/>
        <v>-300</v>
      </c>
      <c r="F26" s="39">
        <f t="shared" si="1"/>
        <v>0.67779999999999996</v>
      </c>
    </row>
    <row r="27" spans="1:6" ht="37.5" x14ac:dyDescent="0.2">
      <c r="A27" s="93" t="s">
        <v>150</v>
      </c>
      <c r="B27" s="45" t="s">
        <v>148</v>
      </c>
      <c r="C27" s="31">
        <v>766</v>
      </c>
      <c r="D27" s="13">
        <f>C27-100</f>
        <v>666</v>
      </c>
      <c r="E27" s="38">
        <f t="shared" si="0"/>
        <v>-100</v>
      </c>
      <c r="F27" s="39">
        <f t="shared" si="1"/>
        <v>0.86950000000000005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6008</v>
      </c>
      <c r="D32" s="13">
        <f>C32-2000</f>
        <v>4008</v>
      </c>
      <c r="E32" s="38">
        <f t="shared" si="0"/>
        <v>-2000</v>
      </c>
      <c r="F32" s="39">
        <f t="shared" si="1"/>
        <v>0.66710000000000003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50</v>
      </c>
      <c r="D34" s="13">
        <f>C34-1</f>
        <v>49</v>
      </c>
      <c r="E34" s="38">
        <f>IF(C34=D34,"-",D34-C34)</f>
        <v>-1</v>
      </c>
      <c r="F34" s="39">
        <f>IF(C34=0,"-",D34/C34)</f>
        <v>0.98</v>
      </c>
    </row>
    <row r="35" spans="1:6" ht="53.25" customHeight="1" x14ac:dyDescent="0.2">
      <c r="A35" s="95" t="s">
        <v>195</v>
      </c>
      <c r="B35" s="16" t="s">
        <v>196</v>
      </c>
      <c r="C35" s="31">
        <v>6154</v>
      </c>
      <c r="D35" s="13">
        <f>C35-2395</f>
        <v>3759</v>
      </c>
      <c r="E35" s="38">
        <f>IF(C35=D35,"-",D35-C35)</f>
        <v>-2395</v>
      </c>
      <c r="F35" s="39">
        <f>IF(C35=0,"-",D35/C35)</f>
        <v>0.61080000000000001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200</v>
      </c>
      <c r="D36" s="37">
        <f>C36</f>
        <v>200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115289</v>
      </c>
      <c r="D37" s="37">
        <f>C37</f>
        <v>115289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42131</v>
      </c>
      <c r="D38" s="37">
        <f>C38</f>
        <v>42131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815931</v>
      </c>
      <c r="D40" s="32">
        <f>D11+D13+D24+D30</f>
        <v>814531</v>
      </c>
      <c r="E40" s="7">
        <f t="shared" si="0"/>
        <v>-1400</v>
      </c>
      <c r="F40" s="40">
        <f t="shared" si="1"/>
        <v>0.99829999999999997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32653</v>
      </c>
      <c r="D41" s="71">
        <f>D42+D43+D44+D52+D54+D60+D61+D59</f>
        <v>32653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1530</v>
      </c>
      <c r="D42" s="33">
        <f>C42</f>
        <v>1530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3445</v>
      </c>
      <c r="D43" s="33">
        <f t="shared" ref="D43:D61" si="3">C43</f>
        <v>3445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149</v>
      </c>
      <c r="D44" s="33">
        <f>D45+D47+D48+D49+D50+D51</f>
        <v>149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45</v>
      </c>
      <c r="D45" s="33">
        <f t="shared" si="3"/>
        <v>45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45</v>
      </c>
      <c r="D46" s="33">
        <f t="shared" si="3"/>
        <v>45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39</v>
      </c>
      <c r="D47" s="33">
        <f t="shared" si="3"/>
        <v>39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43</v>
      </c>
      <c r="D50" s="33">
        <f t="shared" si="3"/>
        <v>43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22</v>
      </c>
      <c r="D51" s="33">
        <f t="shared" si="3"/>
        <v>22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20607</v>
      </c>
      <c r="D52" s="33">
        <f t="shared" si="3"/>
        <v>20607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76</v>
      </c>
      <c r="D53" s="33">
        <f t="shared" si="3"/>
        <v>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4641</v>
      </c>
      <c r="D54" s="29">
        <f>D55+D56+D57+D58</f>
        <v>4641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3538</v>
      </c>
      <c r="D55" s="33">
        <f t="shared" si="3"/>
        <v>3538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505</v>
      </c>
      <c r="D56" s="33">
        <f t="shared" si="3"/>
        <v>505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598</v>
      </c>
      <c r="D58" s="33">
        <f t="shared" si="3"/>
        <v>598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1999</v>
      </c>
      <c r="D60" s="33">
        <f t="shared" si="3"/>
        <v>1999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282</v>
      </c>
      <c r="D61" s="33">
        <f t="shared" si="3"/>
        <v>282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4441</v>
      </c>
      <c r="D62" s="87">
        <f>D63+D64+D65+D66</f>
        <v>4441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57</v>
      </c>
      <c r="D63" s="33">
        <f>C63</f>
        <v>57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v>1050</v>
      </c>
      <c r="D64" s="33">
        <f>C64</f>
        <v>1050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3334</v>
      </c>
      <c r="D66" s="33">
        <f>C66</f>
        <v>3334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950</v>
      </c>
      <c r="D67" s="87">
        <f>C67</f>
        <v>950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9859627</v>
      </c>
      <c r="D6" s="83">
        <f>D7+D8+D9+D14+D15+D16+D17+D18+D19+D20+D21+D22+D23+D24+D28+D29+D31+D32+D33+D34+D35</f>
        <v>9859627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1300391</v>
      </c>
      <c r="D7" s="13">
        <f>C7+32000</f>
        <v>1332391</v>
      </c>
      <c r="E7" s="38">
        <f t="shared" ref="E7:E67" si="0">IF(C7=D7,"-",D7-C7)</f>
        <v>32000</v>
      </c>
      <c r="F7" s="39">
        <f t="shared" ref="F7:F67" si="1">IF(C7=0,"-",D7/C7)</f>
        <v>1.0246</v>
      </c>
    </row>
    <row r="8" spans="1:6" ht="33" customHeight="1" x14ac:dyDescent="0.2">
      <c r="A8" s="92" t="s">
        <v>2</v>
      </c>
      <c r="B8" s="14" t="s">
        <v>117</v>
      </c>
      <c r="C8" s="31">
        <v>676712</v>
      </c>
      <c r="D8" s="13">
        <f>C8-4300</f>
        <v>672412</v>
      </c>
      <c r="E8" s="38">
        <f t="shared" si="0"/>
        <v>-4300</v>
      </c>
      <c r="F8" s="39">
        <f t="shared" si="1"/>
        <v>0.99360000000000004</v>
      </c>
    </row>
    <row r="9" spans="1:6" ht="33" customHeight="1" x14ac:dyDescent="0.2">
      <c r="A9" s="92" t="s">
        <v>3</v>
      </c>
      <c r="B9" s="14" t="s">
        <v>114</v>
      </c>
      <c r="C9" s="31">
        <v>5029658</v>
      </c>
      <c r="D9" s="13">
        <f>C9-3243</f>
        <v>5026415</v>
      </c>
      <c r="E9" s="38">
        <f t="shared" si="0"/>
        <v>-3243</v>
      </c>
      <c r="F9" s="39">
        <f t="shared" si="1"/>
        <v>0.99939999999999996</v>
      </c>
    </row>
    <row r="10" spans="1:6" ht="31.5" customHeight="1" x14ac:dyDescent="0.2">
      <c r="A10" s="93" t="s">
        <v>54</v>
      </c>
      <c r="B10" s="45" t="s">
        <v>198</v>
      </c>
      <c r="C10" s="31">
        <v>452946</v>
      </c>
      <c r="D10" s="13">
        <f>C10-2200</f>
        <v>450746</v>
      </c>
      <c r="E10" s="38">
        <f t="shared" si="0"/>
        <v>-2200</v>
      </c>
      <c r="F10" s="39">
        <f t="shared" si="1"/>
        <v>0.99509999999999998</v>
      </c>
    </row>
    <row r="11" spans="1:6" ht="31.5" customHeight="1" x14ac:dyDescent="0.2">
      <c r="A11" s="93" t="s">
        <v>139</v>
      </c>
      <c r="B11" s="45" t="s">
        <v>142</v>
      </c>
      <c r="C11" s="31">
        <v>404960</v>
      </c>
      <c r="D11" s="13">
        <f>C11-2200</f>
        <v>402760</v>
      </c>
      <c r="E11" s="38">
        <f t="shared" si="0"/>
        <v>-2200</v>
      </c>
      <c r="F11" s="39">
        <f t="shared" si="1"/>
        <v>0.99460000000000004</v>
      </c>
    </row>
    <row r="12" spans="1:6" ht="31.5" customHeight="1" x14ac:dyDescent="0.2">
      <c r="A12" s="93" t="s">
        <v>140</v>
      </c>
      <c r="B12" s="45" t="s">
        <v>143</v>
      </c>
      <c r="C12" s="31">
        <v>177079</v>
      </c>
      <c r="D12" s="13">
        <f>C12-2900</f>
        <v>174179</v>
      </c>
      <c r="E12" s="38">
        <f t="shared" si="0"/>
        <v>-2900</v>
      </c>
      <c r="F12" s="39">
        <f t="shared" si="1"/>
        <v>0.98360000000000003</v>
      </c>
    </row>
    <row r="13" spans="1:6" ht="31.5" customHeight="1" x14ac:dyDescent="0.2">
      <c r="A13" s="93" t="s">
        <v>141</v>
      </c>
      <c r="B13" s="45" t="s">
        <v>144</v>
      </c>
      <c r="C13" s="31">
        <v>81437</v>
      </c>
      <c r="D13" s="13">
        <f>C13-1500</f>
        <v>79937</v>
      </c>
      <c r="E13" s="38">
        <f t="shared" si="0"/>
        <v>-1500</v>
      </c>
      <c r="F13" s="39">
        <f t="shared" si="1"/>
        <v>0.98160000000000003</v>
      </c>
    </row>
    <row r="14" spans="1:6" ht="33" customHeight="1" x14ac:dyDescent="0.2">
      <c r="A14" s="92" t="s">
        <v>4</v>
      </c>
      <c r="B14" s="14" t="s">
        <v>122</v>
      </c>
      <c r="C14" s="31">
        <v>358448</v>
      </c>
      <c r="D14" s="13">
        <f t="shared" ref="D14:D33" si="2">C14</f>
        <v>358448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v>303319</v>
      </c>
      <c r="D15" s="13">
        <f>C15-3000</f>
        <v>300319</v>
      </c>
      <c r="E15" s="38">
        <f t="shared" si="0"/>
        <v>-3000</v>
      </c>
      <c r="F15" s="39">
        <f t="shared" si="1"/>
        <v>0.99009999999999998</v>
      </c>
    </row>
    <row r="16" spans="1:6" ht="33" customHeight="1" x14ac:dyDescent="0.2">
      <c r="A16" s="92" t="s">
        <v>6</v>
      </c>
      <c r="B16" s="14" t="s">
        <v>124</v>
      </c>
      <c r="C16" s="31">
        <v>277702</v>
      </c>
      <c r="D16" s="13">
        <f>C16+8500</f>
        <v>286202</v>
      </c>
      <c r="E16" s="38">
        <f t="shared" si="0"/>
        <v>8500</v>
      </c>
      <c r="F16" s="39">
        <f t="shared" si="1"/>
        <v>1.0306</v>
      </c>
    </row>
    <row r="17" spans="1:6" ht="33" customHeight="1" x14ac:dyDescent="0.2">
      <c r="A17" s="92" t="s">
        <v>7</v>
      </c>
      <c r="B17" s="14" t="s">
        <v>123</v>
      </c>
      <c r="C17" s="31">
        <v>88187</v>
      </c>
      <c r="D17" s="13">
        <f>C17+1500</f>
        <v>89687</v>
      </c>
      <c r="E17" s="38">
        <f t="shared" si="0"/>
        <v>1500</v>
      </c>
      <c r="F17" s="39">
        <f t="shared" si="1"/>
        <v>1.0169999999999999</v>
      </c>
    </row>
    <row r="18" spans="1:6" ht="33" customHeight="1" x14ac:dyDescent="0.2">
      <c r="A18" s="92" t="s">
        <v>8</v>
      </c>
      <c r="B18" s="14" t="s">
        <v>119</v>
      </c>
      <c r="C18" s="31">
        <v>204744</v>
      </c>
      <c r="D18" s="13">
        <f>C18-5350</f>
        <v>199394</v>
      </c>
      <c r="E18" s="38">
        <f t="shared" si="0"/>
        <v>-5350</v>
      </c>
      <c r="F18" s="39">
        <f t="shared" si="1"/>
        <v>0.97389999999999999</v>
      </c>
    </row>
    <row r="19" spans="1:6" ht="33" customHeight="1" x14ac:dyDescent="0.2">
      <c r="A19" s="92" t="s">
        <v>9</v>
      </c>
      <c r="B19" s="14" t="s">
        <v>120</v>
      </c>
      <c r="C19" s="31">
        <v>74115</v>
      </c>
      <c r="D19" s="13">
        <f>C19-3100</f>
        <v>71015</v>
      </c>
      <c r="E19" s="38">
        <f t="shared" si="0"/>
        <v>-3100</v>
      </c>
      <c r="F19" s="39">
        <f t="shared" si="1"/>
        <v>0.95820000000000005</v>
      </c>
    </row>
    <row r="20" spans="1:6" ht="33" customHeight="1" x14ac:dyDescent="0.2">
      <c r="A20" s="92" t="s">
        <v>10</v>
      </c>
      <c r="B20" s="14" t="s">
        <v>125</v>
      </c>
      <c r="C20" s="31">
        <v>6225</v>
      </c>
      <c r="D20" s="13">
        <f>C20-600</f>
        <v>5625</v>
      </c>
      <c r="E20" s="38">
        <f t="shared" si="0"/>
        <v>-600</v>
      </c>
      <c r="F20" s="39">
        <f t="shared" si="1"/>
        <v>0.90359999999999996</v>
      </c>
    </row>
    <row r="21" spans="1:6" ht="46.5" customHeight="1" x14ac:dyDescent="0.2">
      <c r="A21" s="92" t="s">
        <v>11</v>
      </c>
      <c r="B21" s="14" t="s">
        <v>121</v>
      </c>
      <c r="C21" s="31">
        <v>29868</v>
      </c>
      <c r="D21" s="13">
        <f>C21-1000</f>
        <v>28868</v>
      </c>
      <c r="E21" s="38">
        <f t="shared" si="0"/>
        <v>-1000</v>
      </c>
      <c r="F21" s="39">
        <f t="shared" si="1"/>
        <v>0.96650000000000003</v>
      </c>
    </row>
    <row r="22" spans="1:6" ht="33" customHeight="1" x14ac:dyDescent="0.2">
      <c r="A22" s="92" t="s">
        <v>12</v>
      </c>
      <c r="B22" s="14" t="s">
        <v>161</v>
      </c>
      <c r="C22" s="31">
        <v>247701</v>
      </c>
      <c r="D22" s="13">
        <f>C22-3000</f>
        <v>244701</v>
      </c>
      <c r="E22" s="38">
        <f t="shared" si="0"/>
        <v>-3000</v>
      </c>
      <c r="F22" s="39">
        <f t="shared" si="1"/>
        <v>0.9879</v>
      </c>
    </row>
    <row r="23" spans="1:6" ht="33" customHeight="1" x14ac:dyDescent="0.2">
      <c r="A23" s="92" t="s">
        <v>13</v>
      </c>
      <c r="B23" s="14" t="s">
        <v>145</v>
      </c>
      <c r="C23" s="31">
        <v>157534</v>
      </c>
      <c r="D23" s="13">
        <f>C23-7500</f>
        <v>150034</v>
      </c>
      <c r="E23" s="38">
        <f t="shared" si="0"/>
        <v>-7500</v>
      </c>
      <c r="F23" s="39">
        <f t="shared" si="1"/>
        <v>0.95240000000000002</v>
      </c>
    </row>
    <row r="24" spans="1:6" ht="33" customHeight="1" x14ac:dyDescent="0.2">
      <c r="A24" s="94" t="s">
        <v>14</v>
      </c>
      <c r="B24" s="30" t="s">
        <v>177</v>
      </c>
      <c r="C24" s="31">
        <v>1078053</v>
      </c>
      <c r="D24" s="13">
        <f>C24+3700</f>
        <v>1081753</v>
      </c>
      <c r="E24" s="38">
        <f t="shared" si="0"/>
        <v>3700</v>
      </c>
      <c r="F24" s="39">
        <f t="shared" si="1"/>
        <v>1.0034000000000001</v>
      </c>
    </row>
    <row r="25" spans="1:6" ht="37.5" x14ac:dyDescent="0.2">
      <c r="A25" s="93" t="s">
        <v>126</v>
      </c>
      <c r="B25" s="45" t="s">
        <v>147</v>
      </c>
      <c r="C25" s="31">
        <v>1074906</v>
      </c>
      <c r="D25" s="13">
        <f>C25+3350</f>
        <v>1078256</v>
      </c>
      <c r="E25" s="38">
        <f t="shared" si="0"/>
        <v>3350</v>
      </c>
      <c r="F25" s="39">
        <f t="shared" si="1"/>
        <v>1.0031000000000001</v>
      </c>
    </row>
    <row r="26" spans="1:6" ht="31.5" customHeight="1" x14ac:dyDescent="0.2">
      <c r="A26" s="93" t="s">
        <v>146</v>
      </c>
      <c r="B26" s="45" t="s">
        <v>149</v>
      </c>
      <c r="C26" s="31">
        <v>2237</v>
      </c>
      <c r="D26" s="13">
        <f>C26+200</f>
        <v>2437</v>
      </c>
      <c r="E26" s="38">
        <f t="shared" si="0"/>
        <v>200</v>
      </c>
      <c r="F26" s="39">
        <f t="shared" si="1"/>
        <v>1.0893999999999999</v>
      </c>
    </row>
    <row r="27" spans="1:6" ht="37.5" x14ac:dyDescent="0.2">
      <c r="A27" s="93" t="s">
        <v>150</v>
      </c>
      <c r="B27" s="45" t="s">
        <v>148</v>
      </c>
      <c r="C27" s="31">
        <v>910</v>
      </c>
      <c r="D27" s="13">
        <f>C27+150</f>
        <v>1060</v>
      </c>
      <c r="E27" s="38">
        <f t="shared" si="0"/>
        <v>150</v>
      </c>
      <c r="F27" s="39">
        <f t="shared" si="1"/>
        <v>1.1648000000000001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11057</v>
      </c>
      <c r="D32" s="13">
        <f>C32-11057</f>
        <v>0</v>
      </c>
      <c r="E32" s="38">
        <f t="shared" si="0"/>
        <v>-11057</v>
      </c>
      <c r="F32" s="39">
        <f t="shared" si="1"/>
        <v>0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1900</v>
      </c>
      <c r="D34" s="13">
        <f>C34-300</f>
        <v>1600</v>
      </c>
      <c r="E34" s="38">
        <f>IF(C34=D34,"-",D34-C34)</f>
        <v>-300</v>
      </c>
      <c r="F34" s="39">
        <f>IF(C34=0,"-",D34/C34)</f>
        <v>0.84209999999999996</v>
      </c>
    </row>
    <row r="35" spans="1:6" ht="53.25" customHeight="1" x14ac:dyDescent="0.2">
      <c r="A35" s="95" t="s">
        <v>195</v>
      </c>
      <c r="B35" s="16" t="s">
        <v>196</v>
      </c>
      <c r="C35" s="31">
        <v>14013</v>
      </c>
      <c r="D35" s="13">
        <f>C35-3250</f>
        <v>10763</v>
      </c>
      <c r="E35" s="38">
        <f>IF(C35=D35,"-",D35-C35)</f>
        <v>-3250</v>
      </c>
      <c r="F35" s="39">
        <f>IF(C35=0,"-",D35/C35)</f>
        <v>0.7681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395</v>
      </c>
      <c r="D36" s="37">
        <f>C36</f>
        <v>395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221739</v>
      </c>
      <c r="D37" s="37">
        <f>C37</f>
        <v>221739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85116</v>
      </c>
      <c r="D38" s="37">
        <f>C38</f>
        <v>85116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1564450</v>
      </c>
      <c r="D40" s="32">
        <f>D11+D13+D24+D30</f>
        <v>1564450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68771</v>
      </c>
      <c r="D41" s="71">
        <f>D42+D43+D44+D52+D54+D60+D61+D59</f>
        <v>68771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2479</v>
      </c>
      <c r="D42" s="33">
        <f>C42</f>
        <v>2479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9107</v>
      </c>
      <c r="D43" s="33">
        <f t="shared" ref="D43:D61" si="3">C43</f>
        <v>9107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475</v>
      </c>
      <c r="D44" s="33">
        <f>D45+D47+D48+D49+D50+D51</f>
        <v>475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130</v>
      </c>
      <c r="D45" s="33">
        <f t="shared" si="3"/>
        <v>130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130</v>
      </c>
      <c r="D46" s="33">
        <f t="shared" si="3"/>
        <v>130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10</v>
      </c>
      <c r="D47" s="33">
        <f t="shared" si="3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1</v>
      </c>
      <c r="D48" s="33">
        <f t="shared" si="3"/>
        <v>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310</v>
      </c>
      <c r="D50" s="33">
        <f t="shared" si="3"/>
        <v>310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40930</v>
      </c>
      <c r="D52" s="33">
        <f t="shared" si="3"/>
        <v>40930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223</v>
      </c>
      <c r="D53" s="33">
        <f t="shared" si="3"/>
        <v>223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9175</v>
      </c>
      <c r="D54" s="29">
        <f>D55+D56+D57+D58</f>
        <v>9175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7021</v>
      </c>
      <c r="D55" s="33">
        <f t="shared" si="3"/>
        <v>7021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1003</v>
      </c>
      <c r="D56" s="33">
        <f t="shared" si="3"/>
        <v>1003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1151</v>
      </c>
      <c r="D58" s="33">
        <f t="shared" si="3"/>
        <v>1151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6296</v>
      </c>
      <c r="D60" s="33">
        <f t="shared" si="3"/>
        <v>6296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309</v>
      </c>
      <c r="D61" s="33">
        <f t="shared" si="3"/>
        <v>309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16255</v>
      </c>
      <c r="D62" s="87">
        <f>D63+D64+D65+D66</f>
        <v>16255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250</v>
      </c>
      <c r="D63" s="33">
        <f>C63</f>
        <v>250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v>2600</v>
      </c>
      <c r="D64" s="33">
        <f>C64</f>
        <v>2600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13405</v>
      </c>
      <c r="D66" s="33">
        <f>C66</f>
        <v>13405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1550</v>
      </c>
      <c r="D67" s="87">
        <f>C67</f>
        <v>1550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88"/>
  <sheetViews>
    <sheetView showGridLines="0" tabSelected="1" view="pageBreakPreview" zoomScale="55" zoomScaleNormal="70" zoomScaleSheetLayoutView="55" workbookViewId="0">
      <pane ySplit="6" topLeftCell="A31" activePane="bottomLeft" state="frozen"/>
      <selection activeCell="D52" sqref="D52"/>
      <selection pane="bottomLef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2690596</v>
      </c>
      <c r="D6" s="83">
        <f>D7+D8+D9+D14+D15+D16+D17+D18+D19+D20+D21+D22+D23+D24+D28+D29+D31+D32+D33+D34+D35</f>
        <v>2690596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339979</v>
      </c>
      <c r="D7" s="13">
        <f>C7+13500</f>
        <v>353479</v>
      </c>
      <c r="E7" s="38">
        <f t="shared" ref="E7:E67" si="0">IF(C7=D7,"-",D7-C7)</f>
        <v>13500</v>
      </c>
      <c r="F7" s="39">
        <f t="shared" ref="F7:F67" si="1">IF(C7=0,"-",D7/C7)</f>
        <v>1.0397000000000001</v>
      </c>
    </row>
    <row r="8" spans="1:6" ht="33" customHeight="1" x14ac:dyDescent="0.2">
      <c r="A8" s="92" t="s">
        <v>2</v>
      </c>
      <c r="B8" s="14" t="s">
        <v>117</v>
      </c>
      <c r="C8" s="31">
        <v>162218</v>
      </c>
      <c r="D8" s="13">
        <f>C8-6000</f>
        <v>156218</v>
      </c>
      <c r="E8" s="38">
        <f t="shared" si="0"/>
        <v>-6000</v>
      </c>
      <c r="F8" s="39">
        <f t="shared" si="1"/>
        <v>0.96299999999999997</v>
      </c>
    </row>
    <row r="9" spans="1:6" ht="33" customHeight="1" x14ac:dyDescent="0.2">
      <c r="A9" s="92" t="s">
        <v>3</v>
      </c>
      <c r="B9" s="14" t="s">
        <v>114</v>
      </c>
      <c r="C9" s="31">
        <v>1433876</v>
      </c>
      <c r="D9" s="13">
        <f>C9+4800</f>
        <v>1438676</v>
      </c>
      <c r="E9" s="38">
        <f t="shared" si="0"/>
        <v>4800</v>
      </c>
      <c r="F9" s="39">
        <f t="shared" si="1"/>
        <v>1.0033000000000001</v>
      </c>
    </row>
    <row r="10" spans="1:6" ht="31.5" customHeight="1" x14ac:dyDescent="0.2">
      <c r="A10" s="93" t="s">
        <v>54</v>
      </c>
      <c r="B10" s="45" t="s">
        <v>198</v>
      </c>
      <c r="C10" s="31">
        <v>123552</v>
      </c>
      <c r="D10" s="13">
        <f>C10-3000</f>
        <v>120552</v>
      </c>
      <c r="E10" s="38">
        <f t="shared" si="0"/>
        <v>-3000</v>
      </c>
      <c r="F10" s="39">
        <f t="shared" si="1"/>
        <v>0.97570000000000001</v>
      </c>
    </row>
    <row r="11" spans="1:6" ht="31.5" customHeight="1" x14ac:dyDescent="0.2">
      <c r="A11" s="93" t="s">
        <v>139</v>
      </c>
      <c r="B11" s="45" t="s">
        <v>142</v>
      </c>
      <c r="C11" s="31">
        <v>110152</v>
      </c>
      <c r="D11" s="13">
        <f>C11-2000</f>
        <v>108152</v>
      </c>
      <c r="E11" s="38">
        <f t="shared" si="0"/>
        <v>-2000</v>
      </c>
      <c r="F11" s="39">
        <f t="shared" si="1"/>
        <v>0.98180000000000001</v>
      </c>
    </row>
    <row r="12" spans="1:6" ht="31.5" customHeight="1" x14ac:dyDescent="0.2">
      <c r="A12" s="93" t="s">
        <v>140</v>
      </c>
      <c r="B12" s="45" t="s">
        <v>143</v>
      </c>
      <c r="C12" s="31">
        <v>58603</v>
      </c>
      <c r="D12" s="13">
        <f>C12-2500</f>
        <v>56103</v>
      </c>
      <c r="E12" s="38">
        <f t="shared" si="0"/>
        <v>-2500</v>
      </c>
      <c r="F12" s="39">
        <f t="shared" si="1"/>
        <v>0.95730000000000004</v>
      </c>
    </row>
    <row r="13" spans="1:6" ht="31.5" customHeight="1" x14ac:dyDescent="0.2">
      <c r="A13" s="93" t="s">
        <v>141</v>
      </c>
      <c r="B13" s="45" t="s">
        <v>144</v>
      </c>
      <c r="C13" s="31">
        <v>27103</v>
      </c>
      <c r="D13" s="13">
        <f>C13-500</f>
        <v>26603</v>
      </c>
      <c r="E13" s="38">
        <f t="shared" si="0"/>
        <v>-500</v>
      </c>
      <c r="F13" s="39">
        <f t="shared" si="1"/>
        <v>0.98160000000000003</v>
      </c>
    </row>
    <row r="14" spans="1:6" ht="33" customHeight="1" x14ac:dyDescent="0.2">
      <c r="A14" s="92" t="s">
        <v>4</v>
      </c>
      <c r="B14" s="14" t="s">
        <v>122</v>
      </c>
      <c r="C14" s="31">
        <v>90014</v>
      </c>
      <c r="D14" s="13">
        <f>C14+800</f>
        <v>90814</v>
      </c>
      <c r="E14" s="38">
        <f t="shared" si="0"/>
        <v>800</v>
      </c>
      <c r="F14" s="39">
        <f t="shared" si="1"/>
        <v>1.0088999999999999</v>
      </c>
    </row>
    <row r="15" spans="1:6" ht="33" customHeight="1" x14ac:dyDescent="0.2">
      <c r="A15" s="92" t="s">
        <v>5</v>
      </c>
      <c r="B15" s="14" t="s">
        <v>118</v>
      </c>
      <c r="C15" s="31">
        <v>90205</v>
      </c>
      <c r="D15" s="13">
        <f>C15-3300</f>
        <v>86905</v>
      </c>
      <c r="E15" s="38">
        <f t="shared" si="0"/>
        <v>-3300</v>
      </c>
      <c r="F15" s="39">
        <f t="shared" si="1"/>
        <v>0.96340000000000003</v>
      </c>
    </row>
    <row r="16" spans="1:6" ht="33" customHeight="1" x14ac:dyDescent="0.2">
      <c r="A16" s="92" t="s">
        <v>6</v>
      </c>
      <c r="B16" s="14" t="s">
        <v>124</v>
      </c>
      <c r="C16" s="31">
        <v>60430</v>
      </c>
      <c r="D16" s="13">
        <f>C16-800</f>
        <v>59630</v>
      </c>
      <c r="E16" s="38">
        <f t="shared" si="0"/>
        <v>-800</v>
      </c>
      <c r="F16" s="39">
        <f t="shared" si="1"/>
        <v>0.98680000000000001</v>
      </c>
    </row>
    <row r="17" spans="1:6" ht="33" customHeight="1" x14ac:dyDescent="0.2">
      <c r="A17" s="92" t="s">
        <v>7</v>
      </c>
      <c r="B17" s="14" t="s">
        <v>123</v>
      </c>
      <c r="C17" s="31">
        <v>31985</v>
      </c>
      <c r="D17" s="13">
        <f t="shared" ref="D17:D34" si="2">C17</f>
        <v>31985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67048</v>
      </c>
      <c r="D18" s="13">
        <f t="shared" si="2"/>
        <v>67048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27079</v>
      </c>
      <c r="D19" s="13">
        <f>C19-800</f>
        <v>26279</v>
      </c>
      <c r="E19" s="38">
        <f t="shared" si="0"/>
        <v>-800</v>
      </c>
      <c r="F19" s="39">
        <f t="shared" si="1"/>
        <v>0.97050000000000003</v>
      </c>
    </row>
    <row r="20" spans="1:6" ht="33" customHeight="1" x14ac:dyDescent="0.2">
      <c r="A20" s="92" t="s">
        <v>10</v>
      </c>
      <c r="B20" s="14" t="s">
        <v>125</v>
      </c>
      <c r="C20" s="31">
        <v>1660</v>
      </c>
      <c r="D20" s="13">
        <f t="shared" si="2"/>
        <v>1660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6079</v>
      </c>
      <c r="D21" s="13">
        <f>C21-200</f>
        <v>5879</v>
      </c>
      <c r="E21" s="38">
        <f t="shared" si="0"/>
        <v>-200</v>
      </c>
      <c r="F21" s="39">
        <f t="shared" si="1"/>
        <v>0.96709999999999996</v>
      </c>
    </row>
    <row r="22" spans="1:6" ht="33" customHeight="1" x14ac:dyDescent="0.2">
      <c r="A22" s="92" t="s">
        <v>12</v>
      </c>
      <c r="B22" s="14" t="s">
        <v>161</v>
      </c>
      <c r="C22" s="31">
        <v>63302</v>
      </c>
      <c r="D22" s="13">
        <f>C22-5000</f>
        <v>58302</v>
      </c>
      <c r="E22" s="38">
        <f t="shared" si="0"/>
        <v>-5000</v>
      </c>
      <c r="F22" s="39">
        <f t="shared" si="1"/>
        <v>0.92100000000000004</v>
      </c>
    </row>
    <row r="23" spans="1:6" ht="33" customHeight="1" x14ac:dyDescent="0.2">
      <c r="A23" s="92" t="s">
        <v>13</v>
      </c>
      <c r="B23" s="14" t="s">
        <v>145</v>
      </c>
      <c r="C23" s="31">
        <v>38940</v>
      </c>
      <c r="D23" s="13">
        <f>C23-1000</f>
        <v>37940</v>
      </c>
      <c r="E23" s="38">
        <f t="shared" si="0"/>
        <v>-1000</v>
      </c>
      <c r="F23" s="39">
        <f t="shared" si="1"/>
        <v>0.97430000000000005</v>
      </c>
    </row>
    <row r="24" spans="1:6" ht="33" customHeight="1" x14ac:dyDescent="0.2">
      <c r="A24" s="94" t="s">
        <v>14</v>
      </c>
      <c r="B24" s="30" t="s">
        <v>177</v>
      </c>
      <c r="C24" s="31">
        <v>265706</v>
      </c>
      <c r="D24" s="13">
        <f>C24+5000</f>
        <v>270706</v>
      </c>
      <c r="E24" s="38">
        <f t="shared" si="0"/>
        <v>5000</v>
      </c>
      <c r="F24" s="39">
        <f t="shared" si="1"/>
        <v>1.0187999999999999</v>
      </c>
    </row>
    <row r="25" spans="1:6" ht="37.5" x14ac:dyDescent="0.2">
      <c r="A25" s="93" t="s">
        <v>126</v>
      </c>
      <c r="B25" s="45" t="s">
        <v>147</v>
      </c>
      <c r="C25" s="31">
        <v>264916</v>
      </c>
      <c r="D25" s="13">
        <f>C25+5000</f>
        <v>269916</v>
      </c>
      <c r="E25" s="38">
        <f t="shared" si="0"/>
        <v>5000</v>
      </c>
      <c r="F25" s="39">
        <f t="shared" si="1"/>
        <v>1.0188999999999999</v>
      </c>
    </row>
    <row r="26" spans="1:6" ht="31.5" customHeight="1" x14ac:dyDescent="0.2">
      <c r="A26" s="93" t="s">
        <v>146</v>
      </c>
      <c r="B26" s="45" t="s">
        <v>149</v>
      </c>
      <c r="C26" s="31">
        <v>590</v>
      </c>
      <c r="D26" s="13">
        <f>C26-70</f>
        <v>520</v>
      </c>
      <c r="E26" s="38">
        <f t="shared" si="0"/>
        <v>-70</v>
      </c>
      <c r="F26" s="39">
        <f t="shared" si="1"/>
        <v>0.88139999999999996</v>
      </c>
    </row>
    <row r="27" spans="1:6" ht="37.5" x14ac:dyDescent="0.2">
      <c r="A27" s="93" t="s">
        <v>150</v>
      </c>
      <c r="B27" s="45" t="s">
        <v>148</v>
      </c>
      <c r="C27" s="31">
        <v>200</v>
      </c>
      <c r="D27" s="13">
        <f>C27+70</f>
        <v>270</v>
      </c>
      <c r="E27" s="38">
        <f t="shared" si="0"/>
        <v>70</v>
      </c>
      <c r="F27" s="39">
        <f t="shared" si="1"/>
        <v>1.35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7180</v>
      </c>
      <c r="D32" s="13">
        <f>C32-7000</f>
        <v>180</v>
      </c>
      <c r="E32" s="38">
        <f t="shared" si="0"/>
        <v>-7000</v>
      </c>
      <c r="F32" s="39">
        <f t="shared" si="1"/>
        <v>2.5100000000000001E-2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4366</v>
      </c>
      <c r="D35" s="13">
        <f>C35</f>
        <v>4366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395</v>
      </c>
      <c r="D36" s="37">
        <f>C36</f>
        <v>395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62812</v>
      </c>
      <c r="D37" s="37">
        <f>C37</f>
        <v>62812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24015</v>
      </c>
      <c r="D38" s="37">
        <f>C38</f>
        <v>24015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402961</v>
      </c>
      <c r="D40" s="32">
        <f>D11+D13+D24+D30</f>
        <v>405461</v>
      </c>
      <c r="E40" s="7">
        <f t="shared" si="0"/>
        <v>2500</v>
      </c>
      <c r="F40" s="40">
        <f t="shared" si="1"/>
        <v>1.0062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18007</v>
      </c>
      <c r="D41" s="71">
        <f>D42+D43+D44+D52+D54+D60+D61+D59</f>
        <v>18007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632</v>
      </c>
      <c r="D42" s="33">
        <f>C42</f>
        <v>632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2075</v>
      </c>
      <c r="D43" s="33">
        <f t="shared" ref="D43:D61" si="3">C43</f>
        <v>2075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61</v>
      </c>
      <c r="D44" s="33">
        <f>D45+D47+D48+D49+D50+D51</f>
        <v>61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7</v>
      </c>
      <c r="D45" s="33">
        <f t="shared" si="3"/>
        <v>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7</v>
      </c>
      <c r="D46" s="33">
        <f t="shared" si="3"/>
        <v>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17</v>
      </c>
      <c r="D47" s="33">
        <f t="shared" si="3"/>
        <v>17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15</v>
      </c>
      <c r="D50" s="33">
        <f t="shared" si="3"/>
        <v>15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22</v>
      </c>
      <c r="D51" s="33">
        <f t="shared" si="3"/>
        <v>22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11601</v>
      </c>
      <c r="D52" s="33">
        <f t="shared" si="3"/>
        <v>11601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36</v>
      </c>
      <c r="D53" s="33">
        <f t="shared" si="3"/>
        <v>36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2603</v>
      </c>
      <c r="D54" s="29">
        <f>D55+D56+D57+D58</f>
        <v>2603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1992</v>
      </c>
      <c r="D55" s="33">
        <f t="shared" si="3"/>
        <v>1992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285</v>
      </c>
      <c r="D56" s="33">
        <f t="shared" si="3"/>
        <v>285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326</v>
      </c>
      <c r="D58" s="33">
        <f t="shared" si="3"/>
        <v>326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850</v>
      </c>
      <c r="D60" s="33">
        <f t="shared" si="3"/>
        <v>850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185</v>
      </c>
      <c r="D61" s="33">
        <f t="shared" si="3"/>
        <v>185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12102</v>
      </c>
      <c r="D62" s="87">
        <f>D63+D64+D65+D66</f>
        <v>12102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7466</v>
      </c>
      <c r="D64" s="33">
        <f>C64</f>
        <v>7466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4636</v>
      </c>
      <c r="D66" s="33">
        <f>C66</f>
        <v>4636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1712</v>
      </c>
      <c r="D67" s="87">
        <f>C67</f>
        <v>1712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2814860</v>
      </c>
      <c r="D6" s="83">
        <f>D7+D8+D9+D14+D15+D16+D17+D18+D19+D20+D21+D22+D23+D24+D28+D29+D31+D32+D33+D34+D35</f>
        <v>2814860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375244</v>
      </c>
      <c r="D7" s="13">
        <f>C7+11050</f>
        <v>386294</v>
      </c>
      <c r="E7" s="38">
        <f t="shared" ref="E7:E67" si="0">IF(C7=D7,"-",D7-C7)</f>
        <v>11050</v>
      </c>
      <c r="F7" s="39">
        <f t="shared" ref="F7:F67" si="1">IF(C7=0,"-",D7/C7)</f>
        <v>1.0294000000000001</v>
      </c>
    </row>
    <row r="8" spans="1:6" ht="33" customHeight="1" x14ac:dyDescent="0.2">
      <c r="A8" s="92" t="s">
        <v>2</v>
      </c>
      <c r="B8" s="14" t="s">
        <v>117</v>
      </c>
      <c r="C8" s="31">
        <v>167751</v>
      </c>
      <c r="D8" s="13">
        <f>C8-2200</f>
        <v>165551</v>
      </c>
      <c r="E8" s="38">
        <f t="shared" si="0"/>
        <v>-2200</v>
      </c>
      <c r="F8" s="39">
        <f t="shared" si="1"/>
        <v>0.9869</v>
      </c>
    </row>
    <row r="9" spans="1:6" ht="33" customHeight="1" x14ac:dyDescent="0.2">
      <c r="A9" s="92" t="s">
        <v>3</v>
      </c>
      <c r="B9" s="14" t="s">
        <v>114</v>
      </c>
      <c r="C9" s="31">
        <v>1480106</v>
      </c>
      <c r="D9" s="13">
        <f>C9-1680</f>
        <v>1478426</v>
      </c>
      <c r="E9" s="38">
        <f t="shared" si="0"/>
        <v>-1680</v>
      </c>
      <c r="F9" s="39">
        <f t="shared" si="1"/>
        <v>0.99890000000000001</v>
      </c>
    </row>
    <row r="10" spans="1:6" ht="31.5" customHeight="1" x14ac:dyDescent="0.2">
      <c r="A10" s="93" t="s">
        <v>54</v>
      </c>
      <c r="B10" s="45" t="s">
        <v>198</v>
      </c>
      <c r="C10" s="31">
        <v>111144</v>
      </c>
      <c r="D10" s="13">
        <f>C10+700</f>
        <v>111844</v>
      </c>
      <c r="E10" s="38">
        <f t="shared" si="0"/>
        <v>700</v>
      </c>
      <c r="F10" s="39">
        <f t="shared" si="1"/>
        <v>1.0063</v>
      </c>
    </row>
    <row r="11" spans="1:6" ht="31.5" customHeight="1" x14ac:dyDescent="0.2">
      <c r="A11" s="93" t="s">
        <v>139</v>
      </c>
      <c r="B11" s="45" t="s">
        <v>142</v>
      </c>
      <c r="C11" s="31">
        <v>100519</v>
      </c>
      <c r="D11" s="13">
        <f>C11+800</f>
        <v>101319</v>
      </c>
      <c r="E11" s="38">
        <f t="shared" si="0"/>
        <v>800</v>
      </c>
      <c r="F11" s="39">
        <f t="shared" si="1"/>
        <v>1.008</v>
      </c>
    </row>
    <row r="12" spans="1:6" ht="31.5" customHeight="1" x14ac:dyDescent="0.2">
      <c r="A12" s="93" t="s">
        <v>140</v>
      </c>
      <c r="B12" s="45" t="s">
        <v>143</v>
      </c>
      <c r="C12" s="31">
        <v>47395</v>
      </c>
      <c r="D12" s="13">
        <f>C12-380</f>
        <v>47015</v>
      </c>
      <c r="E12" s="38">
        <f t="shared" si="0"/>
        <v>-380</v>
      </c>
      <c r="F12" s="39">
        <f t="shared" si="1"/>
        <v>0.99199999999999999</v>
      </c>
    </row>
    <row r="13" spans="1:6" ht="31.5" customHeight="1" x14ac:dyDescent="0.2">
      <c r="A13" s="93" t="s">
        <v>141</v>
      </c>
      <c r="B13" s="45" t="s">
        <v>144</v>
      </c>
      <c r="C13" s="31">
        <v>21530</v>
      </c>
      <c r="D13" s="13">
        <f>C13-200</f>
        <v>21330</v>
      </c>
      <c r="E13" s="38">
        <f t="shared" si="0"/>
        <v>-200</v>
      </c>
      <c r="F13" s="39">
        <f t="shared" si="1"/>
        <v>0.99070000000000003</v>
      </c>
    </row>
    <row r="14" spans="1:6" ht="33" customHeight="1" x14ac:dyDescent="0.2">
      <c r="A14" s="92" t="s">
        <v>4</v>
      </c>
      <c r="B14" s="14" t="s">
        <v>122</v>
      </c>
      <c r="C14" s="31">
        <v>104451</v>
      </c>
      <c r="D14" s="13">
        <f>C14-650</f>
        <v>103801</v>
      </c>
      <c r="E14" s="38">
        <f t="shared" si="0"/>
        <v>-650</v>
      </c>
      <c r="F14" s="39">
        <f t="shared" si="1"/>
        <v>0.99380000000000002</v>
      </c>
    </row>
    <row r="15" spans="1:6" ht="33" customHeight="1" x14ac:dyDescent="0.2">
      <c r="A15" s="92" t="s">
        <v>5</v>
      </c>
      <c r="B15" s="14" t="s">
        <v>118</v>
      </c>
      <c r="C15" s="31">
        <v>80321</v>
      </c>
      <c r="D15" s="13">
        <f>C15-1200</f>
        <v>79121</v>
      </c>
      <c r="E15" s="38">
        <f t="shared" si="0"/>
        <v>-1200</v>
      </c>
      <c r="F15" s="39">
        <f t="shared" si="1"/>
        <v>0.98509999999999998</v>
      </c>
    </row>
    <row r="16" spans="1:6" ht="33" customHeight="1" x14ac:dyDescent="0.2">
      <c r="A16" s="92" t="s">
        <v>6</v>
      </c>
      <c r="B16" s="14" t="s">
        <v>124</v>
      </c>
      <c r="C16" s="31">
        <v>46811</v>
      </c>
      <c r="D16" s="13">
        <f>C16-300</f>
        <v>46511</v>
      </c>
      <c r="E16" s="38">
        <f t="shared" si="0"/>
        <v>-300</v>
      </c>
      <c r="F16" s="39">
        <f t="shared" si="1"/>
        <v>0.99360000000000004</v>
      </c>
    </row>
    <row r="17" spans="1:6" ht="33" customHeight="1" x14ac:dyDescent="0.2">
      <c r="A17" s="92" t="s">
        <v>7</v>
      </c>
      <c r="B17" s="14" t="s">
        <v>123</v>
      </c>
      <c r="C17" s="31">
        <v>23580</v>
      </c>
      <c r="D17" s="13">
        <f>C17-200</f>
        <v>23380</v>
      </c>
      <c r="E17" s="38">
        <f t="shared" si="0"/>
        <v>-200</v>
      </c>
      <c r="F17" s="39">
        <f t="shared" si="1"/>
        <v>0.99150000000000005</v>
      </c>
    </row>
    <row r="18" spans="1:6" ht="33" customHeight="1" x14ac:dyDescent="0.2">
      <c r="A18" s="92" t="s">
        <v>8</v>
      </c>
      <c r="B18" s="14" t="s">
        <v>119</v>
      </c>
      <c r="C18" s="31">
        <v>80445</v>
      </c>
      <c r="D18" s="13">
        <f>C18-500</f>
        <v>79945</v>
      </c>
      <c r="E18" s="38">
        <f t="shared" si="0"/>
        <v>-500</v>
      </c>
      <c r="F18" s="39">
        <f t="shared" si="1"/>
        <v>0.99380000000000002</v>
      </c>
    </row>
    <row r="19" spans="1:6" ht="33" customHeight="1" x14ac:dyDescent="0.2">
      <c r="A19" s="92" t="s">
        <v>9</v>
      </c>
      <c r="B19" s="14" t="s">
        <v>120</v>
      </c>
      <c r="C19" s="31">
        <v>21214</v>
      </c>
      <c r="D19" s="13">
        <f>C19-450</f>
        <v>20764</v>
      </c>
      <c r="E19" s="38">
        <f t="shared" si="0"/>
        <v>-450</v>
      </c>
      <c r="F19" s="39">
        <f t="shared" si="1"/>
        <v>0.9788</v>
      </c>
    </row>
    <row r="20" spans="1:6" ht="33" customHeight="1" x14ac:dyDescent="0.2">
      <c r="A20" s="92" t="s">
        <v>10</v>
      </c>
      <c r="B20" s="14" t="s">
        <v>125</v>
      </c>
      <c r="C20" s="31">
        <v>3007</v>
      </c>
      <c r="D20" s="13">
        <f>C20-30</f>
        <v>2977</v>
      </c>
      <c r="E20" s="38">
        <f t="shared" si="0"/>
        <v>-30</v>
      </c>
      <c r="F20" s="39">
        <f t="shared" si="1"/>
        <v>0.99</v>
      </c>
    </row>
    <row r="21" spans="1:6" ht="46.5" customHeight="1" x14ac:dyDescent="0.2">
      <c r="A21" s="92" t="s">
        <v>11</v>
      </c>
      <c r="B21" s="14" t="s">
        <v>121</v>
      </c>
      <c r="C21" s="31">
        <v>6004</v>
      </c>
      <c r="D21" s="13">
        <f>C21-190</f>
        <v>5814</v>
      </c>
      <c r="E21" s="38">
        <f t="shared" si="0"/>
        <v>-190</v>
      </c>
      <c r="F21" s="39">
        <f t="shared" si="1"/>
        <v>0.96840000000000004</v>
      </c>
    </row>
    <row r="22" spans="1:6" ht="33" customHeight="1" x14ac:dyDescent="0.2">
      <c r="A22" s="92" t="s">
        <v>12</v>
      </c>
      <c r="B22" s="14" t="s">
        <v>161</v>
      </c>
      <c r="C22" s="31">
        <v>67285</v>
      </c>
      <c r="D22" s="13">
        <f>C22-1650</f>
        <v>65635</v>
      </c>
      <c r="E22" s="38">
        <f t="shared" si="0"/>
        <v>-1650</v>
      </c>
      <c r="F22" s="39">
        <f t="shared" si="1"/>
        <v>0.97550000000000003</v>
      </c>
    </row>
    <row r="23" spans="1:6" ht="33" customHeight="1" x14ac:dyDescent="0.2">
      <c r="A23" s="92" t="s">
        <v>13</v>
      </c>
      <c r="B23" s="14" t="s">
        <v>145</v>
      </c>
      <c r="C23" s="31">
        <v>39486</v>
      </c>
      <c r="D23" s="13">
        <f>C23-1400</f>
        <v>38086</v>
      </c>
      <c r="E23" s="38">
        <f t="shared" si="0"/>
        <v>-1400</v>
      </c>
      <c r="F23" s="39">
        <f t="shared" si="1"/>
        <v>0.96450000000000002</v>
      </c>
    </row>
    <row r="24" spans="1:6" ht="33" customHeight="1" x14ac:dyDescent="0.2">
      <c r="A24" s="94" t="s">
        <v>14</v>
      </c>
      <c r="B24" s="30" t="s">
        <v>177</v>
      </c>
      <c r="C24" s="31">
        <v>297325</v>
      </c>
      <c r="D24" s="13">
        <f>C24-600</f>
        <v>296725</v>
      </c>
      <c r="E24" s="38">
        <f t="shared" si="0"/>
        <v>-600</v>
      </c>
      <c r="F24" s="39">
        <f t="shared" si="1"/>
        <v>0.998</v>
      </c>
    </row>
    <row r="25" spans="1:6" ht="37.5" x14ac:dyDescent="0.2">
      <c r="A25" s="93" t="s">
        <v>126</v>
      </c>
      <c r="B25" s="45" t="s">
        <v>147</v>
      </c>
      <c r="C25" s="31">
        <v>295555</v>
      </c>
      <c r="D25" s="13">
        <f t="shared" ref="D25:D34" si="2">C25</f>
        <v>295555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1520</v>
      </c>
      <c r="D26" s="13">
        <f>C26-660</f>
        <v>860</v>
      </c>
      <c r="E26" s="38">
        <f t="shared" si="0"/>
        <v>-660</v>
      </c>
      <c r="F26" s="39">
        <f t="shared" si="1"/>
        <v>0.56579999999999997</v>
      </c>
    </row>
    <row r="27" spans="1:6" ht="37.5" x14ac:dyDescent="0.2">
      <c r="A27" s="93" t="s">
        <v>150</v>
      </c>
      <c r="B27" s="45" t="s">
        <v>148</v>
      </c>
      <c r="C27" s="31">
        <v>250</v>
      </c>
      <c r="D27" s="13">
        <f>C27+60</f>
        <v>310</v>
      </c>
      <c r="E27" s="38">
        <f t="shared" si="0"/>
        <v>60</v>
      </c>
      <c r="F27" s="39">
        <f t="shared" si="1"/>
        <v>1.24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15057</v>
      </c>
      <c r="D32" s="13">
        <f>C32</f>
        <v>15057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208</v>
      </c>
      <c r="D34" s="13">
        <f t="shared" si="2"/>
        <v>208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6565</v>
      </c>
      <c r="D35" s="13">
        <f>C35</f>
        <v>6565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102236</v>
      </c>
      <c r="D37" s="37">
        <f>C37</f>
        <v>102236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23574</v>
      </c>
      <c r="D38" s="37">
        <f>C38</f>
        <v>23574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419374</v>
      </c>
      <c r="D40" s="32">
        <f>D11+D13+D24+D30</f>
        <v>419374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20944</v>
      </c>
      <c r="D41" s="71">
        <f>D42+D43+D44+D52+D54+D60+D61+D59</f>
        <v>20944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629</v>
      </c>
      <c r="D42" s="33">
        <f>C42</f>
        <v>629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3099</v>
      </c>
      <c r="D43" s="33">
        <f t="shared" ref="D43:D61" si="3">C43</f>
        <v>3099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171</v>
      </c>
      <c r="D44" s="33">
        <f>D45+D47+D48+D49+D50+D51</f>
        <v>171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31</v>
      </c>
      <c r="D45" s="33">
        <f t="shared" si="3"/>
        <v>31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28</v>
      </c>
      <c r="D46" s="33">
        <f t="shared" si="3"/>
        <v>28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11</v>
      </c>
      <c r="D47" s="33">
        <f t="shared" si="3"/>
        <v>11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126</v>
      </c>
      <c r="D50" s="33">
        <f t="shared" si="3"/>
        <v>126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3</v>
      </c>
      <c r="D51" s="33">
        <f t="shared" si="3"/>
        <v>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12333</v>
      </c>
      <c r="D52" s="33">
        <f t="shared" si="3"/>
        <v>12333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30</v>
      </c>
      <c r="D53" s="33">
        <f t="shared" si="3"/>
        <v>30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2751</v>
      </c>
      <c r="D54" s="29">
        <f>D55+D56+D57+D58</f>
        <v>2751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2119</v>
      </c>
      <c r="D55" s="33">
        <f t="shared" si="3"/>
        <v>2119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302</v>
      </c>
      <c r="D56" s="33">
        <f t="shared" si="3"/>
        <v>302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330</v>
      </c>
      <c r="D58" s="33">
        <f t="shared" si="3"/>
        <v>330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1822</v>
      </c>
      <c r="D60" s="33">
        <f t="shared" si="3"/>
        <v>1822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139</v>
      </c>
      <c r="D61" s="33">
        <f t="shared" si="3"/>
        <v>139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5891</v>
      </c>
      <c r="D62" s="87">
        <f>D63+D64+D65+D66</f>
        <v>5891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3924</v>
      </c>
      <c r="D64" s="33">
        <f>C64</f>
        <v>3924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1967</v>
      </c>
      <c r="D66" s="33">
        <f>C66</f>
        <v>1967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342</v>
      </c>
      <c r="D67" s="87">
        <f>C67</f>
        <v>342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7274965</v>
      </c>
      <c r="D6" s="83">
        <f>D7+D8+D9+D14+D15+D16+D17+D18+D19+D20+D21+D22+D23+D24+D28+D29+D31+D32+D33+D34+D35</f>
        <v>7274965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1005978</v>
      </c>
      <c r="D7" s="13">
        <f>C7+23522</f>
        <v>1029500</v>
      </c>
      <c r="E7" s="38">
        <f t="shared" ref="E7:E67" si="0">IF(C7=D7,"-",D7-C7)</f>
        <v>23522</v>
      </c>
      <c r="F7" s="39">
        <f t="shared" ref="F7:F67" si="1">IF(C7=0,"-",D7/C7)</f>
        <v>1.0234000000000001</v>
      </c>
    </row>
    <row r="8" spans="1:6" ht="33" customHeight="1" x14ac:dyDescent="0.2">
      <c r="A8" s="92" t="s">
        <v>2</v>
      </c>
      <c r="B8" s="14" t="s">
        <v>117</v>
      </c>
      <c r="C8" s="31">
        <v>491159</v>
      </c>
      <c r="D8" s="13">
        <f>C8-5000</f>
        <v>486159</v>
      </c>
      <c r="E8" s="38">
        <f t="shared" si="0"/>
        <v>-5000</v>
      </c>
      <c r="F8" s="39">
        <f t="shared" si="1"/>
        <v>0.98980000000000001</v>
      </c>
    </row>
    <row r="9" spans="1:6" ht="33" customHeight="1" x14ac:dyDescent="0.2">
      <c r="A9" s="92" t="s">
        <v>3</v>
      </c>
      <c r="B9" s="14" t="s">
        <v>114</v>
      </c>
      <c r="C9" s="31">
        <v>3764371</v>
      </c>
      <c r="D9" s="13">
        <f>C9-18985</f>
        <v>3745386</v>
      </c>
      <c r="E9" s="38">
        <f t="shared" si="0"/>
        <v>-18985</v>
      </c>
      <c r="F9" s="39">
        <f t="shared" si="1"/>
        <v>0.995</v>
      </c>
    </row>
    <row r="10" spans="1:6" ht="31.5" customHeight="1" x14ac:dyDescent="0.2">
      <c r="A10" s="93" t="s">
        <v>54</v>
      </c>
      <c r="B10" s="45" t="s">
        <v>198</v>
      </c>
      <c r="C10" s="31">
        <v>381099</v>
      </c>
      <c r="D10" s="13">
        <f>C10-5000</f>
        <v>376099</v>
      </c>
      <c r="E10" s="38">
        <f t="shared" si="0"/>
        <v>-5000</v>
      </c>
      <c r="F10" s="39">
        <f t="shared" si="1"/>
        <v>0.9869</v>
      </c>
    </row>
    <row r="11" spans="1:6" ht="31.5" customHeight="1" x14ac:dyDescent="0.2">
      <c r="A11" s="93" t="s">
        <v>139</v>
      </c>
      <c r="B11" s="45" t="s">
        <v>142</v>
      </c>
      <c r="C11" s="31">
        <v>348189</v>
      </c>
      <c r="D11" s="13">
        <f>C11-6000</f>
        <v>342189</v>
      </c>
      <c r="E11" s="38">
        <f t="shared" si="0"/>
        <v>-6000</v>
      </c>
      <c r="F11" s="39">
        <f t="shared" si="1"/>
        <v>0.98280000000000001</v>
      </c>
    </row>
    <row r="12" spans="1:6" ht="31.5" customHeight="1" x14ac:dyDescent="0.2">
      <c r="A12" s="93" t="s">
        <v>140</v>
      </c>
      <c r="B12" s="45" t="s">
        <v>143</v>
      </c>
      <c r="C12" s="31">
        <v>139738</v>
      </c>
      <c r="D12" s="13">
        <f>C12+6000</f>
        <v>145738</v>
      </c>
      <c r="E12" s="38">
        <f t="shared" si="0"/>
        <v>6000</v>
      </c>
      <c r="F12" s="39">
        <f t="shared" si="1"/>
        <v>1.0428999999999999</v>
      </c>
    </row>
    <row r="13" spans="1:6" ht="31.5" customHeight="1" x14ac:dyDescent="0.2">
      <c r="A13" s="93" t="s">
        <v>141</v>
      </c>
      <c r="B13" s="45" t="s">
        <v>144</v>
      </c>
      <c r="C13" s="31">
        <v>65734</v>
      </c>
      <c r="D13" s="13">
        <f>C13+6000</f>
        <v>71734</v>
      </c>
      <c r="E13" s="38">
        <f t="shared" si="0"/>
        <v>6000</v>
      </c>
      <c r="F13" s="39">
        <f t="shared" si="1"/>
        <v>1.0912999999999999</v>
      </c>
    </row>
    <row r="14" spans="1:6" ht="33" customHeight="1" x14ac:dyDescent="0.2">
      <c r="A14" s="92" t="s">
        <v>4</v>
      </c>
      <c r="B14" s="14" t="s">
        <v>122</v>
      </c>
      <c r="C14" s="31">
        <v>250186</v>
      </c>
      <c r="D14" s="13">
        <f>C14+3814</f>
        <v>254000</v>
      </c>
      <c r="E14" s="38">
        <f t="shared" si="0"/>
        <v>3814</v>
      </c>
      <c r="F14" s="39">
        <f t="shared" si="1"/>
        <v>1.0152000000000001</v>
      </c>
    </row>
    <row r="15" spans="1:6" ht="33" customHeight="1" x14ac:dyDescent="0.2">
      <c r="A15" s="92" t="s">
        <v>5</v>
      </c>
      <c r="B15" s="14" t="s">
        <v>118</v>
      </c>
      <c r="C15" s="31">
        <v>204535</v>
      </c>
      <c r="D15" s="13">
        <f t="shared" ref="D15:D34" si="2">C15</f>
        <v>204535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v>97421</v>
      </c>
      <c r="D16" s="13">
        <f>C16+6079</f>
        <v>103500</v>
      </c>
      <c r="E16" s="38">
        <f t="shared" si="0"/>
        <v>6079</v>
      </c>
      <c r="F16" s="39">
        <f t="shared" si="1"/>
        <v>1.0624</v>
      </c>
    </row>
    <row r="17" spans="1:6" ht="33" customHeight="1" x14ac:dyDescent="0.2">
      <c r="A17" s="92" t="s">
        <v>7</v>
      </c>
      <c r="B17" s="14" t="s">
        <v>123</v>
      </c>
      <c r="C17" s="31">
        <v>67162</v>
      </c>
      <c r="D17" s="13">
        <f>C17+4038</f>
        <v>71200</v>
      </c>
      <c r="E17" s="38">
        <f t="shared" si="0"/>
        <v>4038</v>
      </c>
      <c r="F17" s="39">
        <f t="shared" si="1"/>
        <v>1.0601</v>
      </c>
    </row>
    <row r="18" spans="1:6" ht="33" customHeight="1" x14ac:dyDescent="0.2">
      <c r="A18" s="92" t="s">
        <v>8</v>
      </c>
      <c r="B18" s="14" t="s">
        <v>119</v>
      </c>
      <c r="C18" s="31">
        <v>153815</v>
      </c>
      <c r="D18" s="13">
        <f t="shared" si="2"/>
        <v>153815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92" t="s">
        <v>9</v>
      </c>
      <c r="B19" s="14" t="s">
        <v>120</v>
      </c>
      <c r="C19" s="31">
        <v>68200</v>
      </c>
      <c r="D19" s="13">
        <f>C19-2520</f>
        <v>65680</v>
      </c>
      <c r="E19" s="38">
        <f t="shared" si="0"/>
        <v>-2520</v>
      </c>
      <c r="F19" s="39">
        <f t="shared" si="1"/>
        <v>0.96299999999999997</v>
      </c>
    </row>
    <row r="20" spans="1:6" ht="33" customHeight="1" x14ac:dyDescent="0.2">
      <c r="A20" s="92" t="s">
        <v>10</v>
      </c>
      <c r="B20" s="14" t="s">
        <v>125</v>
      </c>
      <c r="C20" s="31">
        <v>3809</v>
      </c>
      <c r="D20" s="13">
        <f t="shared" si="2"/>
        <v>3809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19263</v>
      </c>
      <c r="D21" s="13">
        <f>C21-1763</f>
        <v>17500</v>
      </c>
      <c r="E21" s="38">
        <f t="shared" si="0"/>
        <v>-1763</v>
      </c>
      <c r="F21" s="39">
        <f t="shared" si="1"/>
        <v>0.90849999999999997</v>
      </c>
    </row>
    <row r="22" spans="1:6" ht="33" customHeight="1" x14ac:dyDescent="0.2">
      <c r="A22" s="92" t="s">
        <v>12</v>
      </c>
      <c r="B22" s="14" t="s">
        <v>161</v>
      </c>
      <c r="C22" s="31">
        <v>214054</v>
      </c>
      <c r="D22" s="13">
        <f>C22-4054</f>
        <v>210000</v>
      </c>
      <c r="E22" s="38">
        <f t="shared" si="0"/>
        <v>-4054</v>
      </c>
      <c r="F22" s="39">
        <f t="shared" si="1"/>
        <v>0.98109999999999997</v>
      </c>
    </row>
    <row r="23" spans="1:6" ht="33" customHeight="1" x14ac:dyDescent="0.2">
      <c r="A23" s="92" t="s">
        <v>13</v>
      </c>
      <c r="B23" s="14" t="s">
        <v>145</v>
      </c>
      <c r="C23" s="31">
        <v>104021</v>
      </c>
      <c r="D23" s="13">
        <f>C23-4521</f>
        <v>99500</v>
      </c>
      <c r="E23" s="38">
        <f t="shared" si="0"/>
        <v>-4521</v>
      </c>
      <c r="F23" s="39">
        <f t="shared" si="1"/>
        <v>0.95650000000000002</v>
      </c>
    </row>
    <row r="24" spans="1:6" ht="33" customHeight="1" x14ac:dyDescent="0.2">
      <c r="A24" s="94" t="s">
        <v>14</v>
      </c>
      <c r="B24" s="30" t="s">
        <v>177</v>
      </c>
      <c r="C24" s="31">
        <v>815134</v>
      </c>
      <c r="D24" s="13">
        <f t="shared" si="2"/>
        <v>815134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v>812134</v>
      </c>
      <c r="D25" s="13">
        <f>C25-1000</f>
        <v>811134</v>
      </c>
      <c r="E25" s="38">
        <f t="shared" si="0"/>
        <v>-1000</v>
      </c>
      <c r="F25" s="39">
        <f t="shared" si="1"/>
        <v>0.99880000000000002</v>
      </c>
    </row>
    <row r="26" spans="1:6" ht="31.5" customHeight="1" x14ac:dyDescent="0.2">
      <c r="A26" s="93" t="s">
        <v>146</v>
      </c>
      <c r="B26" s="45" t="s">
        <v>149</v>
      </c>
      <c r="C26" s="31">
        <v>1500</v>
      </c>
      <c r="D26" s="13">
        <f>C26+500</f>
        <v>2000</v>
      </c>
      <c r="E26" s="38">
        <f t="shared" si="0"/>
        <v>500</v>
      </c>
      <c r="F26" s="39">
        <f t="shared" si="1"/>
        <v>1.3332999999999999</v>
      </c>
    </row>
    <row r="27" spans="1:6" ht="37.5" x14ac:dyDescent="0.2">
      <c r="A27" s="93" t="s">
        <v>150</v>
      </c>
      <c r="B27" s="45" t="s">
        <v>148</v>
      </c>
      <c r="C27" s="31">
        <v>1500</v>
      </c>
      <c r="D27" s="13">
        <f>C27+500</f>
        <v>2000</v>
      </c>
      <c r="E27" s="38">
        <f t="shared" si="0"/>
        <v>500</v>
      </c>
      <c r="F27" s="39">
        <f t="shared" si="1"/>
        <v>1.3332999999999999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10310</v>
      </c>
      <c r="D32" s="13">
        <f>C32+690</f>
        <v>11000</v>
      </c>
      <c r="E32" s="38">
        <f t="shared" si="0"/>
        <v>690</v>
      </c>
      <c r="F32" s="39">
        <f t="shared" si="1"/>
        <v>1.0669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75</v>
      </c>
      <c r="D34" s="13">
        <f t="shared" si="2"/>
        <v>75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5472</v>
      </c>
      <c r="D35" s="13">
        <f>C35-1300</f>
        <v>4172</v>
      </c>
      <c r="E35" s="38">
        <f>IF(C35=D35,"-",D35-C35)</f>
        <v>-1300</v>
      </c>
      <c r="F35" s="39">
        <f>IF(C35=0,"-",D35/C35)</f>
        <v>0.76239999999999997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334</v>
      </c>
      <c r="D36" s="37">
        <f>C36</f>
        <v>334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160576</v>
      </c>
      <c r="D37" s="37">
        <f>C37</f>
        <v>160576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56754</v>
      </c>
      <c r="D38" s="37">
        <f>C38</f>
        <v>56754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1229057</v>
      </c>
      <c r="D40" s="32">
        <f>D11+D13+D24+D30</f>
        <v>1229057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46907</v>
      </c>
      <c r="D41" s="71">
        <f>D42+D43+D44+D52+D54+D60+D61+D59</f>
        <v>46907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2414</v>
      </c>
      <c r="D42" s="33">
        <f>C42</f>
        <v>2414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8149</v>
      </c>
      <c r="D43" s="33">
        <f t="shared" ref="D43:D61" si="3">C43</f>
        <v>8149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567</v>
      </c>
      <c r="D44" s="33">
        <f>D45+D47+D48+D49+D50+D51</f>
        <v>567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53</v>
      </c>
      <c r="D45" s="33">
        <f t="shared" si="3"/>
        <v>53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53</v>
      </c>
      <c r="D46" s="33">
        <f t="shared" si="3"/>
        <v>53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246</v>
      </c>
      <c r="D47" s="33">
        <f t="shared" si="3"/>
        <v>246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262</v>
      </c>
      <c r="D50" s="33">
        <f t="shared" si="3"/>
        <v>262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6</v>
      </c>
      <c r="D51" s="33">
        <f t="shared" si="3"/>
        <v>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24868</v>
      </c>
      <c r="D52" s="33">
        <f t="shared" si="3"/>
        <v>24868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123</v>
      </c>
      <c r="D53" s="33">
        <f t="shared" si="3"/>
        <v>123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5576</v>
      </c>
      <c r="D54" s="29">
        <f>D55+D56+D57+D58</f>
        <v>5576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4270</v>
      </c>
      <c r="D55" s="33">
        <f t="shared" si="3"/>
        <v>4270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609</v>
      </c>
      <c r="D56" s="33">
        <f t="shared" si="3"/>
        <v>609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697</v>
      </c>
      <c r="D58" s="33">
        <f t="shared" si="3"/>
        <v>697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4803</v>
      </c>
      <c r="D60" s="33">
        <f t="shared" si="3"/>
        <v>4803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530</v>
      </c>
      <c r="D61" s="33">
        <f t="shared" si="3"/>
        <v>530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17088</v>
      </c>
      <c r="D62" s="87">
        <f>D63+D64+D65+D66</f>
        <v>17088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50</v>
      </c>
      <c r="D63" s="33">
        <f>C63</f>
        <v>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v>13490</v>
      </c>
      <c r="D64" s="33">
        <f>C64</f>
        <v>13490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3548</v>
      </c>
      <c r="D66" s="33">
        <f>C66</f>
        <v>3548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5886</v>
      </c>
      <c r="D67" s="87">
        <f>C67</f>
        <v>5886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2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74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3512082</v>
      </c>
      <c r="D6" s="83">
        <f>D7+D8+D9+D14+D15+D16+D17+D18+D19+D20+D21+D22+D23+D24+D28+D29+D31+D32+D33+D34+D35</f>
        <v>3512082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469417</v>
      </c>
      <c r="D7" s="13">
        <f>C7+11500</f>
        <v>480917</v>
      </c>
      <c r="E7" s="38">
        <f t="shared" ref="E7:E67" si="0">IF(C7=D7,"-",D7-C7)</f>
        <v>11500</v>
      </c>
      <c r="F7" s="39">
        <f t="shared" ref="F7:F67" si="1">IF(C7=0,"-",D7/C7)</f>
        <v>1.0245</v>
      </c>
    </row>
    <row r="8" spans="1:6" ht="33" customHeight="1" x14ac:dyDescent="0.2">
      <c r="A8" s="92" t="s">
        <v>2</v>
      </c>
      <c r="B8" s="14" t="s">
        <v>117</v>
      </c>
      <c r="C8" s="31">
        <v>201843</v>
      </c>
      <c r="D8" s="13">
        <f>C8-6000</f>
        <v>195843</v>
      </c>
      <c r="E8" s="38">
        <f t="shared" si="0"/>
        <v>-6000</v>
      </c>
      <c r="F8" s="39">
        <f t="shared" si="1"/>
        <v>0.97030000000000005</v>
      </c>
    </row>
    <row r="9" spans="1:6" ht="33" customHeight="1" x14ac:dyDescent="0.2">
      <c r="A9" s="92" t="s">
        <v>3</v>
      </c>
      <c r="B9" s="14" t="s">
        <v>114</v>
      </c>
      <c r="C9" s="31">
        <v>1842992</v>
      </c>
      <c r="D9" s="13">
        <f>C9+12192</f>
        <v>1855184</v>
      </c>
      <c r="E9" s="38">
        <f t="shared" si="0"/>
        <v>12192</v>
      </c>
      <c r="F9" s="39">
        <f t="shared" si="1"/>
        <v>1.0065999999999999</v>
      </c>
    </row>
    <row r="10" spans="1:6" ht="31.5" customHeight="1" x14ac:dyDescent="0.2">
      <c r="A10" s="93" t="s">
        <v>54</v>
      </c>
      <c r="B10" s="45" t="s">
        <v>198</v>
      </c>
      <c r="C10" s="31">
        <v>141008</v>
      </c>
      <c r="D10" s="13">
        <f>C10+5000</f>
        <v>146008</v>
      </c>
      <c r="E10" s="38">
        <f t="shared" si="0"/>
        <v>5000</v>
      </c>
      <c r="F10" s="39">
        <f t="shared" si="1"/>
        <v>1.0355000000000001</v>
      </c>
    </row>
    <row r="11" spans="1:6" ht="31.5" customHeight="1" x14ac:dyDescent="0.2">
      <c r="A11" s="93" t="s">
        <v>139</v>
      </c>
      <c r="B11" s="45" t="s">
        <v>142</v>
      </c>
      <c r="C11" s="31">
        <v>126808</v>
      </c>
      <c r="D11" s="13">
        <f>C11+3800</f>
        <v>130608</v>
      </c>
      <c r="E11" s="38">
        <f t="shared" si="0"/>
        <v>3800</v>
      </c>
      <c r="F11" s="39">
        <f t="shared" si="1"/>
        <v>1.03</v>
      </c>
    </row>
    <row r="12" spans="1:6" ht="31.5" customHeight="1" x14ac:dyDescent="0.2">
      <c r="A12" s="93" t="s">
        <v>140</v>
      </c>
      <c r="B12" s="45" t="s">
        <v>143</v>
      </c>
      <c r="C12" s="31">
        <v>62650</v>
      </c>
      <c r="D12" s="13">
        <f>C12+3000</f>
        <v>65650</v>
      </c>
      <c r="E12" s="38">
        <f t="shared" si="0"/>
        <v>3000</v>
      </c>
      <c r="F12" s="39">
        <f t="shared" si="1"/>
        <v>1.0479000000000001</v>
      </c>
    </row>
    <row r="13" spans="1:6" ht="31.5" customHeight="1" x14ac:dyDescent="0.2">
      <c r="A13" s="93" t="s">
        <v>141</v>
      </c>
      <c r="B13" s="45" t="s">
        <v>144</v>
      </c>
      <c r="C13" s="31">
        <v>28150</v>
      </c>
      <c r="D13" s="13">
        <f>C13+700</f>
        <v>28850</v>
      </c>
      <c r="E13" s="38">
        <f t="shared" si="0"/>
        <v>700</v>
      </c>
      <c r="F13" s="39">
        <f t="shared" si="1"/>
        <v>1.0248999999999999</v>
      </c>
    </row>
    <row r="14" spans="1:6" ht="33" customHeight="1" x14ac:dyDescent="0.2">
      <c r="A14" s="92" t="s">
        <v>4</v>
      </c>
      <c r="B14" s="14" t="s">
        <v>122</v>
      </c>
      <c r="C14" s="31">
        <v>109266</v>
      </c>
      <c r="D14" s="13">
        <f>C14+500</f>
        <v>109766</v>
      </c>
      <c r="E14" s="38">
        <f t="shared" si="0"/>
        <v>500</v>
      </c>
      <c r="F14" s="39">
        <f t="shared" si="1"/>
        <v>1.0045999999999999</v>
      </c>
    </row>
    <row r="15" spans="1:6" ht="33" customHeight="1" x14ac:dyDescent="0.2">
      <c r="A15" s="92" t="s">
        <v>5</v>
      </c>
      <c r="B15" s="14" t="s">
        <v>118</v>
      </c>
      <c r="C15" s="31">
        <v>90167</v>
      </c>
      <c r="D15" s="13">
        <f>C15-4000</f>
        <v>86167</v>
      </c>
      <c r="E15" s="38">
        <f t="shared" si="0"/>
        <v>-4000</v>
      </c>
      <c r="F15" s="39">
        <f t="shared" si="1"/>
        <v>0.9556</v>
      </c>
    </row>
    <row r="16" spans="1:6" ht="33" customHeight="1" x14ac:dyDescent="0.2">
      <c r="A16" s="92" t="s">
        <v>6</v>
      </c>
      <c r="B16" s="14" t="s">
        <v>124</v>
      </c>
      <c r="C16" s="31">
        <v>52376</v>
      </c>
      <c r="D16" s="13">
        <f>C16-600</f>
        <v>51776</v>
      </c>
      <c r="E16" s="38">
        <f t="shared" si="0"/>
        <v>-600</v>
      </c>
      <c r="F16" s="39">
        <f t="shared" si="1"/>
        <v>0.98850000000000005</v>
      </c>
    </row>
    <row r="17" spans="1:6" ht="33" customHeight="1" x14ac:dyDescent="0.2">
      <c r="A17" s="92" t="s">
        <v>7</v>
      </c>
      <c r="B17" s="14" t="s">
        <v>123</v>
      </c>
      <c r="C17" s="31">
        <v>19761</v>
      </c>
      <c r="D17" s="13">
        <f t="shared" ref="D17:D33" si="2">C17</f>
        <v>19761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85194</v>
      </c>
      <c r="D18" s="13">
        <f>C18-1700</f>
        <v>83494</v>
      </c>
      <c r="E18" s="38">
        <f t="shared" si="0"/>
        <v>-1700</v>
      </c>
      <c r="F18" s="39">
        <f t="shared" si="1"/>
        <v>0.98</v>
      </c>
    </row>
    <row r="19" spans="1:6" ht="33" customHeight="1" x14ac:dyDescent="0.2">
      <c r="A19" s="92" t="s">
        <v>9</v>
      </c>
      <c r="B19" s="14" t="s">
        <v>120</v>
      </c>
      <c r="C19" s="31">
        <v>30392</v>
      </c>
      <c r="D19" s="13">
        <f>C19-1350</f>
        <v>29042</v>
      </c>
      <c r="E19" s="38">
        <f t="shared" si="0"/>
        <v>-1350</v>
      </c>
      <c r="F19" s="39">
        <f t="shared" si="1"/>
        <v>0.9556</v>
      </c>
    </row>
    <row r="20" spans="1:6" ht="33" customHeight="1" x14ac:dyDescent="0.2">
      <c r="A20" s="92" t="s">
        <v>10</v>
      </c>
      <c r="B20" s="14" t="s">
        <v>125</v>
      </c>
      <c r="C20" s="31">
        <v>2588</v>
      </c>
      <c r="D20" s="13">
        <f t="shared" si="2"/>
        <v>2588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8433</v>
      </c>
      <c r="D21" s="13">
        <f>C21-600</f>
        <v>7833</v>
      </c>
      <c r="E21" s="38">
        <f t="shared" si="0"/>
        <v>-600</v>
      </c>
      <c r="F21" s="39">
        <f t="shared" si="1"/>
        <v>0.92889999999999995</v>
      </c>
    </row>
    <row r="22" spans="1:6" ht="33" customHeight="1" x14ac:dyDescent="0.2">
      <c r="A22" s="92" t="s">
        <v>12</v>
      </c>
      <c r="B22" s="14" t="s">
        <v>161</v>
      </c>
      <c r="C22" s="31">
        <v>162329</v>
      </c>
      <c r="D22" s="13">
        <f>C22-4700</f>
        <v>157629</v>
      </c>
      <c r="E22" s="38">
        <f t="shared" si="0"/>
        <v>-4700</v>
      </c>
      <c r="F22" s="39">
        <f t="shared" si="1"/>
        <v>0.97099999999999997</v>
      </c>
    </row>
    <row r="23" spans="1:6" ht="33" customHeight="1" x14ac:dyDescent="0.2">
      <c r="A23" s="92" t="s">
        <v>13</v>
      </c>
      <c r="B23" s="14" t="s">
        <v>145</v>
      </c>
      <c r="C23" s="31">
        <v>49662</v>
      </c>
      <c r="D23" s="13">
        <f>C23-3000</f>
        <v>46662</v>
      </c>
      <c r="E23" s="38">
        <f t="shared" si="0"/>
        <v>-3000</v>
      </c>
      <c r="F23" s="39">
        <f t="shared" si="1"/>
        <v>0.93959999999999999</v>
      </c>
    </row>
    <row r="24" spans="1:6" ht="33" customHeight="1" x14ac:dyDescent="0.2">
      <c r="A24" s="94" t="s">
        <v>14</v>
      </c>
      <c r="B24" s="30" t="s">
        <v>177</v>
      </c>
      <c r="C24" s="31">
        <v>381398</v>
      </c>
      <c r="D24" s="13">
        <f>C24+4000-4500</f>
        <v>380898</v>
      </c>
      <c r="E24" s="38">
        <f t="shared" si="0"/>
        <v>-500</v>
      </c>
      <c r="F24" s="39">
        <f t="shared" si="1"/>
        <v>0.99870000000000003</v>
      </c>
    </row>
    <row r="25" spans="1:6" ht="37.5" x14ac:dyDescent="0.2">
      <c r="A25" s="93" t="s">
        <v>126</v>
      </c>
      <c r="B25" s="45" t="s">
        <v>147</v>
      </c>
      <c r="C25" s="31">
        <v>380601</v>
      </c>
      <c r="D25" s="13">
        <f>C25+4000-4340</f>
        <v>380261</v>
      </c>
      <c r="E25" s="38">
        <f t="shared" si="0"/>
        <v>-340</v>
      </c>
      <c r="F25" s="39">
        <f t="shared" si="1"/>
        <v>0.99909999999999999</v>
      </c>
    </row>
    <row r="26" spans="1:6" ht="31.5" customHeight="1" x14ac:dyDescent="0.2">
      <c r="A26" s="93" t="s">
        <v>146</v>
      </c>
      <c r="B26" s="45" t="s">
        <v>149</v>
      </c>
      <c r="C26" s="31">
        <v>430</v>
      </c>
      <c r="D26" s="13">
        <f>C26-170</f>
        <v>260</v>
      </c>
      <c r="E26" s="38">
        <f t="shared" si="0"/>
        <v>-170</v>
      </c>
      <c r="F26" s="39">
        <f t="shared" si="1"/>
        <v>0.60470000000000002</v>
      </c>
    </row>
    <row r="27" spans="1:6" ht="37.5" x14ac:dyDescent="0.2">
      <c r="A27" s="93" t="s">
        <v>150</v>
      </c>
      <c r="B27" s="45" t="s">
        <v>148</v>
      </c>
      <c r="C27" s="31">
        <v>367</v>
      </c>
      <c r="D27" s="13">
        <f>C27+10</f>
        <v>377</v>
      </c>
      <c r="E27" s="38">
        <f t="shared" si="0"/>
        <v>10</v>
      </c>
      <c r="F27" s="39">
        <f t="shared" si="1"/>
        <v>1.0271999999999999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0</v>
      </c>
      <c r="D32" s="13">
        <f>C32</f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2000</v>
      </c>
      <c r="D34" s="13">
        <f>C34-1827</f>
        <v>173</v>
      </c>
      <c r="E34" s="38">
        <f>IF(C34=D34,"-",D34-C34)</f>
        <v>-1827</v>
      </c>
      <c r="F34" s="39">
        <f>IF(C34=0,"-",D34/C34)</f>
        <v>8.6499999999999994E-2</v>
      </c>
    </row>
    <row r="35" spans="1:6" ht="53.25" customHeight="1" x14ac:dyDescent="0.2">
      <c r="A35" s="95" t="s">
        <v>195</v>
      </c>
      <c r="B35" s="16" t="s">
        <v>196</v>
      </c>
      <c r="C35" s="31">
        <v>4264</v>
      </c>
      <c r="D35" s="13">
        <f>C35+85</f>
        <v>4349</v>
      </c>
      <c r="E35" s="38">
        <f>IF(C35=D35,"-",D35-C35)</f>
        <v>85</v>
      </c>
      <c r="F35" s="39">
        <f>IF(C35=0,"-",D35/C35)</f>
        <v>1.0199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395</v>
      </c>
      <c r="D36" s="37">
        <f>C36</f>
        <v>395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110764</v>
      </c>
      <c r="D37" s="37">
        <f>C37</f>
        <v>110764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29330</v>
      </c>
      <c r="D38" s="37">
        <f>C38</f>
        <v>29330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536356</v>
      </c>
      <c r="D40" s="32">
        <f>D11+D13+D24+D30</f>
        <v>540356</v>
      </c>
      <c r="E40" s="7">
        <f t="shared" si="0"/>
        <v>4000</v>
      </c>
      <c r="F40" s="40">
        <f t="shared" si="1"/>
        <v>1.0075000000000001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22973</v>
      </c>
      <c r="D41" s="71">
        <f>D42+D43+D44+D52+D54+D60+D61+D59</f>
        <v>22973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1034</v>
      </c>
      <c r="D42" s="33">
        <f>C42</f>
        <v>1034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2820</v>
      </c>
      <c r="D43" s="33">
        <f t="shared" ref="D43:D61" si="3">C43</f>
        <v>2820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261</v>
      </c>
      <c r="D44" s="33">
        <f>D45+D47+D48+D49+D50+D51</f>
        <v>261</v>
      </c>
      <c r="E44" s="38" t="str">
        <f t="shared" si="0"/>
        <v>-</v>
      </c>
      <c r="F44" s="39">
        <f t="shared" si="1"/>
        <v>1</v>
      </c>
    </row>
    <row r="45" spans="1:6" ht="23.25" customHeight="1" x14ac:dyDescent="0.2">
      <c r="A45" s="98" t="s">
        <v>37</v>
      </c>
      <c r="B45" s="46" t="s">
        <v>30</v>
      </c>
      <c r="C45" s="31"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26</v>
      </c>
      <c r="D46" s="33">
        <f t="shared" si="3"/>
        <v>26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24</v>
      </c>
      <c r="D47" s="33">
        <f t="shared" si="3"/>
        <v>24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172</v>
      </c>
      <c r="D50" s="33">
        <f t="shared" si="3"/>
        <v>172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39</v>
      </c>
      <c r="D51" s="33">
        <f t="shared" si="3"/>
        <v>39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14250</v>
      </c>
      <c r="D52" s="33">
        <f t="shared" si="3"/>
        <v>14250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33</v>
      </c>
      <c r="D53" s="33">
        <f t="shared" si="3"/>
        <v>33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3185</v>
      </c>
      <c r="D54" s="29">
        <f>D55+D56+D57+D58</f>
        <v>3185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2445</v>
      </c>
      <c r="D55" s="33">
        <f t="shared" si="3"/>
        <v>2445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349</v>
      </c>
      <c r="D56" s="33">
        <f t="shared" si="3"/>
        <v>349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391</v>
      </c>
      <c r="D58" s="33">
        <f t="shared" si="3"/>
        <v>391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1263</v>
      </c>
      <c r="D60" s="33">
        <f t="shared" si="3"/>
        <v>1263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160</v>
      </c>
      <c r="D61" s="33">
        <f t="shared" si="3"/>
        <v>160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2682</v>
      </c>
      <c r="D62" s="87">
        <f>D63+D64+D65+D66</f>
        <v>2682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2682</v>
      </c>
      <c r="D66" s="33">
        <f>C66</f>
        <v>2682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60</v>
      </c>
      <c r="D67" s="87">
        <f>C67</f>
        <v>60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6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view="pageBreakPreview" zoomScale="55" zoomScaleNormal="70" zoomScaleSheetLayoutView="55" workbookViewId="0">
      <pane xSplit="2" ySplit="6" topLeftCell="C34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9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9" s="22" customFormat="1" ht="33" customHeight="1" x14ac:dyDescent="0.2">
      <c r="A2" s="54" t="s">
        <v>165</v>
      </c>
      <c r="B2" s="54"/>
      <c r="C2" s="55"/>
    </row>
    <row r="3" spans="1:9" ht="33" customHeight="1" x14ac:dyDescent="0.25">
      <c r="A3" s="90"/>
      <c r="B3" s="5"/>
      <c r="C3" s="35"/>
      <c r="D3" s="35"/>
      <c r="E3" s="35" t="s">
        <v>138</v>
      </c>
      <c r="F3" s="6"/>
    </row>
    <row r="4" spans="1:9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9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743390</v>
      </c>
      <c r="D6" s="83">
        <f>D7+D8+D9+D14+D15+D16+D17+D18+D19+D20+D21+D22+D23+D24+D28+D29+D31+D32+D33+D34+D35</f>
        <v>743390</v>
      </c>
      <c r="E6" s="68" t="str">
        <f>IF(C6=D6,"-",D6-C6)</f>
        <v>-</v>
      </c>
      <c r="F6" s="84">
        <f>IF(C6=0,"-",D6/C6)</f>
        <v>1</v>
      </c>
      <c r="I6" s="34"/>
    </row>
    <row r="7" spans="1:9" ht="33" customHeight="1" x14ac:dyDescent="0.2">
      <c r="A7" s="92" t="s">
        <v>1</v>
      </c>
      <c r="B7" s="14" t="s">
        <v>116</v>
      </c>
      <c r="C7" s="31">
        <v>0</v>
      </c>
      <c r="D7" s="13">
        <f>C7</f>
        <v>0</v>
      </c>
      <c r="E7" s="38" t="str">
        <f t="shared" ref="E7:E67" si="0">IF(C7=D7,"-",D7-C7)</f>
        <v>-</v>
      </c>
      <c r="F7" s="39" t="str">
        <f t="shared" ref="F7:F67" si="1">IF(C7=0,"-",D7/C7)</f>
        <v>-</v>
      </c>
      <c r="I7" s="34"/>
    </row>
    <row r="8" spans="1:9" ht="33" customHeight="1" x14ac:dyDescent="0.2">
      <c r="A8" s="92" t="s">
        <v>2</v>
      </c>
      <c r="B8" s="14" t="s">
        <v>117</v>
      </c>
      <c r="C8" s="31"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  <c r="I8" s="34"/>
    </row>
    <row r="9" spans="1:9" ht="33" customHeight="1" x14ac:dyDescent="0.2">
      <c r="A9" s="92" t="s">
        <v>3</v>
      </c>
      <c r="B9" s="14" t="s">
        <v>114</v>
      </c>
      <c r="C9" s="31"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  <c r="I9" s="34"/>
    </row>
    <row r="10" spans="1:9" ht="31.5" customHeight="1" x14ac:dyDescent="0.2">
      <c r="A10" s="93" t="s">
        <v>54</v>
      </c>
      <c r="B10" s="45" t="s">
        <v>198</v>
      </c>
      <c r="C10" s="31"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  <c r="I10" s="34"/>
    </row>
    <row r="11" spans="1:9" ht="31.5" customHeight="1" x14ac:dyDescent="0.2">
      <c r="A11" s="93" t="s">
        <v>139</v>
      </c>
      <c r="B11" s="45" t="s">
        <v>142</v>
      </c>
      <c r="C11" s="31"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  <c r="I11" s="34"/>
    </row>
    <row r="12" spans="1:9" ht="31.5" customHeight="1" x14ac:dyDescent="0.2">
      <c r="A12" s="93" t="s">
        <v>140</v>
      </c>
      <c r="B12" s="45" t="s">
        <v>143</v>
      </c>
      <c r="C12" s="31"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  <c r="I12" s="34"/>
    </row>
    <row r="13" spans="1:9" ht="31.5" customHeight="1" x14ac:dyDescent="0.2">
      <c r="A13" s="93" t="s">
        <v>141</v>
      </c>
      <c r="B13" s="45" t="s">
        <v>144</v>
      </c>
      <c r="C13" s="31"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  <c r="I13" s="34"/>
    </row>
    <row r="14" spans="1:9" ht="33" customHeight="1" x14ac:dyDescent="0.2">
      <c r="A14" s="92" t="s">
        <v>4</v>
      </c>
      <c r="B14" s="14" t="s">
        <v>122</v>
      </c>
      <c r="C14" s="31"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  <c r="I14" s="34"/>
    </row>
    <row r="15" spans="1:9" ht="33" customHeight="1" x14ac:dyDescent="0.2">
      <c r="A15" s="92" t="s">
        <v>5</v>
      </c>
      <c r="B15" s="14" t="s">
        <v>118</v>
      </c>
      <c r="C15" s="31"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  <c r="I15" s="34"/>
    </row>
    <row r="16" spans="1:9" ht="33" customHeight="1" x14ac:dyDescent="0.2">
      <c r="A16" s="92" t="s">
        <v>6</v>
      </c>
      <c r="B16" s="14" t="s">
        <v>124</v>
      </c>
      <c r="C16" s="31"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  <c r="I16" s="34"/>
    </row>
    <row r="17" spans="1:9" ht="33" customHeight="1" x14ac:dyDescent="0.2">
      <c r="A17" s="92" t="s">
        <v>7</v>
      </c>
      <c r="B17" s="14" t="s">
        <v>123</v>
      </c>
      <c r="C17" s="31"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  <c r="I17" s="34"/>
    </row>
    <row r="18" spans="1:9" ht="33" customHeight="1" x14ac:dyDescent="0.2">
      <c r="A18" s="92" t="s">
        <v>8</v>
      </c>
      <c r="B18" s="14" t="s">
        <v>119</v>
      </c>
      <c r="C18" s="31"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  <c r="I18" s="34"/>
    </row>
    <row r="19" spans="1:9" ht="33" customHeight="1" x14ac:dyDescent="0.2">
      <c r="A19" s="92" t="s">
        <v>9</v>
      </c>
      <c r="B19" s="14" t="s">
        <v>120</v>
      </c>
      <c r="C19" s="31"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  <c r="I19" s="34"/>
    </row>
    <row r="20" spans="1:9" ht="33" customHeight="1" x14ac:dyDescent="0.2">
      <c r="A20" s="92" t="s">
        <v>10</v>
      </c>
      <c r="B20" s="14" t="s">
        <v>125</v>
      </c>
      <c r="C20" s="31"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  <c r="I20" s="34"/>
    </row>
    <row r="21" spans="1:9" ht="46.5" customHeight="1" x14ac:dyDescent="0.2">
      <c r="A21" s="92" t="s">
        <v>11</v>
      </c>
      <c r="B21" s="14" t="s">
        <v>121</v>
      </c>
      <c r="C21" s="31"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  <c r="I21" s="34"/>
    </row>
    <row r="22" spans="1:9" ht="33" customHeight="1" x14ac:dyDescent="0.2">
      <c r="A22" s="92" t="s">
        <v>12</v>
      </c>
      <c r="B22" s="14" t="s">
        <v>161</v>
      </c>
      <c r="C22" s="31"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  <c r="I22" s="34"/>
    </row>
    <row r="23" spans="1:9" ht="33" customHeight="1" x14ac:dyDescent="0.2">
      <c r="A23" s="92" t="s">
        <v>13</v>
      </c>
      <c r="B23" s="14" t="s">
        <v>145</v>
      </c>
      <c r="C23" s="31"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  <c r="I23" s="34"/>
    </row>
    <row r="24" spans="1:9" ht="33" customHeight="1" x14ac:dyDescent="0.2">
      <c r="A24" s="94" t="s">
        <v>14</v>
      </c>
      <c r="B24" s="30" t="s">
        <v>177</v>
      </c>
      <c r="C24" s="31"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  <c r="I24" s="34"/>
    </row>
    <row r="25" spans="1:9" ht="37.5" x14ac:dyDescent="0.2">
      <c r="A25" s="93" t="s">
        <v>126</v>
      </c>
      <c r="B25" s="45" t="s">
        <v>147</v>
      </c>
      <c r="C25" s="31"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  <c r="I25" s="34"/>
    </row>
    <row r="26" spans="1:9" ht="31.5" customHeight="1" x14ac:dyDescent="0.2">
      <c r="A26" s="93" t="s">
        <v>146</v>
      </c>
      <c r="B26" s="45" t="s">
        <v>149</v>
      </c>
      <c r="C26" s="31"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  <c r="I26" s="34"/>
    </row>
    <row r="27" spans="1:9" ht="37.5" x14ac:dyDescent="0.2">
      <c r="A27" s="93" t="s">
        <v>150</v>
      </c>
      <c r="B27" s="45" t="s">
        <v>148</v>
      </c>
      <c r="C27" s="31"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  <c r="I27" s="34"/>
    </row>
    <row r="28" spans="1:9" ht="33" customHeight="1" x14ac:dyDescent="0.2">
      <c r="A28" s="95" t="s">
        <v>15</v>
      </c>
      <c r="B28" s="15" t="s">
        <v>110</v>
      </c>
      <c r="C28" s="31">
        <v>668390</v>
      </c>
      <c r="D28" s="13">
        <f t="shared" si="2"/>
        <v>668390</v>
      </c>
      <c r="E28" s="38" t="str">
        <f t="shared" si="0"/>
        <v>-</v>
      </c>
      <c r="F28" s="39">
        <f t="shared" si="1"/>
        <v>1</v>
      </c>
      <c r="I28" s="34"/>
    </row>
    <row r="29" spans="1:9" ht="33" customHeight="1" x14ac:dyDescent="0.2">
      <c r="A29" s="95" t="s">
        <v>107</v>
      </c>
      <c r="B29" s="16" t="s">
        <v>151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  <c r="I29" s="34"/>
    </row>
    <row r="30" spans="1:9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  <c r="I30" s="34"/>
    </row>
    <row r="31" spans="1:9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  <c r="I31" s="34"/>
    </row>
    <row r="32" spans="1:9" ht="33" customHeight="1" x14ac:dyDescent="0.2">
      <c r="A32" s="95" t="s">
        <v>109</v>
      </c>
      <c r="B32" s="16" t="s">
        <v>162</v>
      </c>
      <c r="C32" s="31">
        <v>0</v>
      </c>
      <c r="D32" s="13">
        <f>C32</f>
        <v>0</v>
      </c>
      <c r="E32" s="38" t="str">
        <f t="shared" si="0"/>
        <v>-</v>
      </c>
      <c r="F32" s="39" t="str">
        <f t="shared" si="1"/>
        <v>-</v>
      </c>
      <c r="I32" s="34"/>
    </row>
    <row r="33" spans="1:9" ht="42.75" customHeight="1" x14ac:dyDescent="0.2">
      <c r="A33" s="95" t="s">
        <v>178</v>
      </c>
      <c r="B33" s="16" t="s">
        <v>179</v>
      </c>
      <c r="C33" s="31">
        <v>75000</v>
      </c>
      <c r="D33" s="13">
        <f t="shared" si="2"/>
        <v>75000</v>
      </c>
      <c r="E33" s="38" t="str">
        <f>IF(C33=D33,"-",D33-C33)</f>
        <v>-</v>
      </c>
      <c r="F33" s="39">
        <f>IF(C33=0,"-",D33/C33)</f>
        <v>1</v>
      </c>
      <c r="I33" s="34"/>
    </row>
    <row r="34" spans="1:9" ht="33" customHeight="1" x14ac:dyDescent="0.2">
      <c r="A34" s="95" t="s">
        <v>185</v>
      </c>
      <c r="B34" s="16" t="s">
        <v>186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  <c r="I34" s="34"/>
    </row>
    <row r="35" spans="1:9" ht="53.25" customHeight="1" x14ac:dyDescent="0.2">
      <c r="A35" s="95" t="s">
        <v>195</v>
      </c>
      <c r="B35" s="16" t="s">
        <v>196</v>
      </c>
      <c r="C35" s="31">
        <v>0</v>
      </c>
      <c r="D35" s="13">
        <f>C35</f>
        <v>0</v>
      </c>
      <c r="E35" s="38" t="str">
        <f>IF(C35=D35,"-",D35-C35)</f>
        <v>-</v>
      </c>
      <c r="F35" s="39" t="str">
        <f>IF(C35=0,"-",D35/C35)</f>
        <v>-</v>
      </c>
      <c r="I35" s="34"/>
    </row>
    <row r="36" spans="1:9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  <c r="I36" s="34"/>
    </row>
    <row r="37" spans="1:9" s="2" customFormat="1" ht="31.5" customHeight="1" x14ac:dyDescent="0.2">
      <c r="A37" s="96" t="s">
        <v>55</v>
      </c>
      <c r="B37" s="17" t="s">
        <v>58</v>
      </c>
      <c r="C37" s="32"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  <c r="I37" s="34"/>
    </row>
    <row r="38" spans="1:9" s="2" customFormat="1" ht="60.75" x14ac:dyDescent="0.2">
      <c r="A38" s="96" t="s">
        <v>187</v>
      </c>
      <c r="B38" s="17" t="s">
        <v>188</v>
      </c>
      <c r="C38" s="32">
        <v>0</v>
      </c>
      <c r="D38" s="37">
        <f>C38</f>
        <v>0</v>
      </c>
      <c r="E38" s="7" t="str">
        <f t="shared" si="0"/>
        <v>-</v>
      </c>
      <c r="F38" s="40" t="str">
        <f t="shared" si="1"/>
        <v>-</v>
      </c>
      <c r="I38" s="34"/>
    </row>
    <row r="39" spans="1:9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  <c r="I39" s="34"/>
    </row>
    <row r="40" spans="1:9" s="2" customFormat="1" ht="42.75" customHeight="1" x14ac:dyDescent="0.2">
      <c r="A40" s="96" t="s">
        <v>153</v>
      </c>
      <c r="B40" s="17" t="s">
        <v>154</v>
      </c>
      <c r="C40" s="32">
        <f>C11+C13+C24+C30</f>
        <v>0</v>
      </c>
      <c r="D40" s="32">
        <f>D11+D13+D24+D30</f>
        <v>0</v>
      </c>
      <c r="E40" s="7" t="str">
        <f t="shared" si="0"/>
        <v>-</v>
      </c>
      <c r="F40" s="40" t="str">
        <f t="shared" si="1"/>
        <v>-</v>
      </c>
      <c r="I40" s="34"/>
    </row>
    <row r="41" spans="1:9" ht="30" customHeight="1" x14ac:dyDescent="0.2">
      <c r="A41" s="97" t="s">
        <v>130</v>
      </c>
      <c r="B41" s="85" t="s">
        <v>183</v>
      </c>
      <c r="C41" s="71">
        <f>C42+C43+C44+C52+C54+C60+C61+C59</f>
        <v>248902</v>
      </c>
      <c r="D41" s="71">
        <f>D42+D43+D44+D52+D54+D60+D61+D59</f>
        <v>248902</v>
      </c>
      <c r="E41" s="68" t="str">
        <f t="shared" si="0"/>
        <v>-</v>
      </c>
      <c r="F41" s="86">
        <f t="shared" si="1"/>
        <v>1</v>
      </c>
      <c r="I41" s="34"/>
    </row>
    <row r="42" spans="1:9" ht="28.5" customHeight="1" x14ac:dyDescent="0.2">
      <c r="A42" s="95" t="s">
        <v>16</v>
      </c>
      <c r="B42" s="18" t="s">
        <v>17</v>
      </c>
      <c r="C42" s="31">
        <v>4019</v>
      </c>
      <c r="D42" s="33">
        <f>C42</f>
        <v>4019</v>
      </c>
      <c r="E42" s="38" t="str">
        <f t="shared" si="0"/>
        <v>-</v>
      </c>
      <c r="F42" s="39">
        <f t="shared" si="1"/>
        <v>1</v>
      </c>
      <c r="I42" s="34"/>
    </row>
    <row r="43" spans="1:9" ht="28.5" customHeight="1" x14ac:dyDescent="0.2">
      <c r="A43" s="95" t="s">
        <v>18</v>
      </c>
      <c r="B43" s="18" t="s">
        <v>19</v>
      </c>
      <c r="C43" s="31">
        <v>118915</v>
      </c>
      <c r="D43" s="33">
        <f t="shared" ref="D43:D61" si="3">C43</f>
        <v>118915</v>
      </c>
      <c r="E43" s="38" t="str">
        <f t="shared" si="0"/>
        <v>-</v>
      </c>
      <c r="F43" s="39">
        <f t="shared" si="1"/>
        <v>1</v>
      </c>
      <c r="I43" s="34"/>
    </row>
    <row r="44" spans="1:9" ht="28.5" customHeight="1" x14ac:dyDescent="0.2">
      <c r="A44" s="95" t="s">
        <v>20</v>
      </c>
      <c r="B44" s="19" t="s">
        <v>184</v>
      </c>
      <c r="C44" s="33">
        <f>C45+C47+C48+C49+C50+C51</f>
        <v>1024</v>
      </c>
      <c r="D44" s="33">
        <f>D45+D47+D48+D49+D50+D51</f>
        <v>1024</v>
      </c>
      <c r="E44" s="38" t="str">
        <f t="shared" si="0"/>
        <v>-</v>
      </c>
      <c r="F44" s="39">
        <f t="shared" si="1"/>
        <v>1</v>
      </c>
      <c r="I44" s="34"/>
    </row>
    <row r="45" spans="1:9" ht="28.5" customHeight="1" x14ac:dyDescent="0.2">
      <c r="A45" s="98" t="s">
        <v>37</v>
      </c>
      <c r="B45" s="46" t="s">
        <v>30</v>
      </c>
      <c r="C45" s="31">
        <v>100</v>
      </c>
      <c r="D45" s="33">
        <f t="shared" si="3"/>
        <v>100</v>
      </c>
      <c r="E45" s="38" t="str">
        <f t="shared" si="0"/>
        <v>-</v>
      </c>
      <c r="F45" s="39">
        <f t="shared" si="1"/>
        <v>1</v>
      </c>
      <c r="I45" s="34"/>
    </row>
    <row r="46" spans="1:9" ht="28.5" customHeight="1" x14ac:dyDescent="0.2">
      <c r="A46" s="98" t="s">
        <v>38</v>
      </c>
      <c r="B46" s="47" t="s">
        <v>31</v>
      </c>
      <c r="C46" s="31">
        <v>100</v>
      </c>
      <c r="D46" s="33">
        <f t="shared" si="3"/>
        <v>100</v>
      </c>
      <c r="E46" s="38" t="str">
        <f t="shared" si="0"/>
        <v>-</v>
      </c>
      <c r="F46" s="39">
        <f t="shared" si="1"/>
        <v>1</v>
      </c>
      <c r="I46" s="34"/>
    </row>
    <row r="47" spans="1:9" ht="28.5" customHeight="1" x14ac:dyDescent="0.2">
      <c r="A47" s="98" t="s">
        <v>39</v>
      </c>
      <c r="B47" s="46" t="s">
        <v>32</v>
      </c>
      <c r="C47" s="31">
        <v>94</v>
      </c>
      <c r="D47" s="33">
        <f t="shared" si="3"/>
        <v>94</v>
      </c>
      <c r="E47" s="38" t="str">
        <f t="shared" si="0"/>
        <v>-</v>
      </c>
      <c r="F47" s="39">
        <f t="shared" si="1"/>
        <v>1</v>
      </c>
      <c r="I47" s="34"/>
    </row>
    <row r="48" spans="1:9" ht="28.5" customHeight="1" x14ac:dyDescent="0.2">
      <c r="A48" s="98" t="s">
        <v>40</v>
      </c>
      <c r="B48" s="46" t="s">
        <v>33</v>
      </c>
      <c r="C48" s="31">
        <v>17</v>
      </c>
      <c r="D48" s="33">
        <f t="shared" si="3"/>
        <v>17</v>
      </c>
      <c r="E48" s="38" t="str">
        <f t="shared" si="0"/>
        <v>-</v>
      </c>
      <c r="F48" s="39">
        <f t="shared" si="1"/>
        <v>1</v>
      </c>
      <c r="I48" s="34"/>
    </row>
    <row r="49" spans="1:9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  <c r="I49" s="34"/>
    </row>
    <row r="50" spans="1:9" ht="28.5" customHeight="1" x14ac:dyDescent="0.2">
      <c r="A50" s="98" t="s">
        <v>42</v>
      </c>
      <c r="B50" s="46" t="s">
        <v>35</v>
      </c>
      <c r="C50" s="31">
        <v>452</v>
      </c>
      <c r="D50" s="33">
        <f t="shared" si="3"/>
        <v>452</v>
      </c>
      <c r="E50" s="38" t="str">
        <f t="shared" si="0"/>
        <v>-</v>
      </c>
      <c r="F50" s="39">
        <f t="shared" si="1"/>
        <v>1</v>
      </c>
      <c r="I50" s="34"/>
    </row>
    <row r="51" spans="1:9" ht="28.5" customHeight="1" x14ac:dyDescent="0.2">
      <c r="A51" s="98" t="s">
        <v>43</v>
      </c>
      <c r="B51" s="46" t="s">
        <v>36</v>
      </c>
      <c r="C51" s="31">
        <v>361</v>
      </c>
      <c r="D51" s="33">
        <f t="shared" si="3"/>
        <v>361</v>
      </c>
      <c r="E51" s="38" t="str">
        <f t="shared" si="0"/>
        <v>-</v>
      </c>
      <c r="F51" s="39">
        <f t="shared" si="1"/>
        <v>1</v>
      </c>
      <c r="I51" s="34"/>
    </row>
    <row r="52" spans="1:9" ht="28.5" customHeight="1" x14ac:dyDescent="0.2">
      <c r="A52" s="95" t="s">
        <v>21</v>
      </c>
      <c r="B52" s="18" t="s">
        <v>155</v>
      </c>
      <c r="C52" s="31">
        <v>46585</v>
      </c>
      <c r="D52" s="33">
        <f t="shared" si="3"/>
        <v>46585</v>
      </c>
      <c r="E52" s="38" t="str">
        <f t="shared" si="0"/>
        <v>-</v>
      </c>
      <c r="F52" s="39">
        <f t="shared" si="1"/>
        <v>1</v>
      </c>
      <c r="I52" s="34"/>
    </row>
    <row r="53" spans="1:9" ht="28.5" customHeight="1" x14ac:dyDescent="0.2">
      <c r="A53" s="98" t="s">
        <v>156</v>
      </c>
      <c r="B53" s="46" t="s">
        <v>157</v>
      </c>
      <c r="C53" s="31">
        <v>444</v>
      </c>
      <c r="D53" s="33">
        <f t="shared" si="3"/>
        <v>444</v>
      </c>
      <c r="E53" s="38" t="str">
        <f t="shared" si="0"/>
        <v>-</v>
      </c>
      <c r="F53" s="39">
        <f t="shared" si="1"/>
        <v>1</v>
      </c>
      <c r="I53" s="34"/>
    </row>
    <row r="54" spans="1:9" ht="28.5" customHeight="1" x14ac:dyDescent="0.2">
      <c r="A54" s="95" t="s">
        <v>22</v>
      </c>
      <c r="B54" s="19" t="s">
        <v>182</v>
      </c>
      <c r="C54" s="29">
        <f>C55+C56+C57+C58</f>
        <v>11230</v>
      </c>
      <c r="D54" s="29">
        <f>D55+D56+D57+D58</f>
        <v>11230</v>
      </c>
      <c r="E54" s="38" t="str">
        <f t="shared" si="0"/>
        <v>-</v>
      </c>
      <c r="F54" s="39">
        <f t="shared" si="1"/>
        <v>1</v>
      </c>
      <c r="I54" s="34"/>
    </row>
    <row r="55" spans="1:9" ht="28.5" customHeight="1" x14ac:dyDescent="0.2">
      <c r="A55" s="98" t="s">
        <v>48</v>
      </c>
      <c r="B55" s="46" t="s">
        <v>44</v>
      </c>
      <c r="C55" s="31">
        <v>8008</v>
      </c>
      <c r="D55" s="33">
        <f t="shared" si="3"/>
        <v>8008</v>
      </c>
      <c r="E55" s="38" t="str">
        <f t="shared" si="0"/>
        <v>-</v>
      </c>
      <c r="F55" s="39">
        <f t="shared" si="1"/>
        <v>1</v>
      </c>
      <c r="I55" s="34"/>
    </row>
    <row r="56" spans="1:9" ht="28.5" customHeight="1" x14ac:dyDescent="0.2">
      <c r="A56" s="98" t="s">
        <v>49</v>
      </c>
      <c r="B56" s="46" t="s">
        <v>45</v>
      </c>
      <c r="C56" s="31">
        <v>1143</v>
      </c>
      <c r="D56" s="33">
        <f t="shared" si="3"/>
        <v>1143</v>
      </c>
      <c r="E56" s="38" t="str">
        <f t="shared" si="0"/>
        <v>-</v>
      </c>
      <c r="F56" s="39">
        <f t="shared" si="1"/>
        <v>1</v>
      </c>
      <c r="I56" s="34"/>
    </row>
    <row r="57" spans="1:9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  <c r="I57" s="34"/>
    </row>
    <row r="58" spans="1:9" ht="28.5" customHeight="1" x14ac:dyDescent="0.2">
      <c r="A58" s="98" t="s">
        <v>51</v>
      </c>
      <c r="B58" s="46" t="s">
        <v>47</v>
      </c>
      <c r="C58" s="31">
        <v>2079</v>
      </c>
      <c r="D58" s="33">
        <f t="shared" si="3"/>
        <v>2079</v>
      </c>
      <c r="E58" s="38" t="str">
        <f t="shared" si="0"/>
        <v>-</v>
      </c>
      <c r="F58" s="39">
        <f t="shared" si="1"/>
        <v>1</v>
      </c>
      <c r="I58" s="34"/>
    </row>
    <row r="59" spans="1:9" ht="28.5" customHeight="1" x14ac:dyDescent="0.2">
      <c r="A59" s="95" t="s">
        <v>23</v>
      </c>
      <c r="B59" s="18" t="s">
        <v>24</v>
      </c>
      <c r="C59" s="31">
        <v>50</v>
      </c>
      <c r="D59" s="33">
        <f t="shared" si="3"/>
        <v>50</v>
      </c>
      <c r="E59" s="38" t="str">
        <f t="shared" si="0"/>
        <v>-</v>
      </c>
      <c r="F59" s="39">
        <f t="shared" si="1"/>
        <v>1</v>
      </c>
      <c r="I59" s="34"/>
    </row>
    <row r="60" spans="1:9" ht="28.5" customHeight="1" x14ac:dyDescent="0.2">
      <c r="A60" s="95" t="s">
        <v>25</v>
      </c>
      <c r="B60" s="18" t="s">
        <v>158</v>
      </c>
      <c r="C60" s="31">
        <v>64708</v>
      </c>
      <c r="D60" s="33">
        <f t="shared" si="3"/>
        <v>64708</v>
      </c>
      <c r="E60" s="38" t="str">
        <f t="shared" si="0"/>
        <v>-</v>
      </c>
      <c r="F60" s="41">
        <f t="shared" si="1"/>
        <v>1</v>
      </c>
      <c r="I60" s="34"/>
    </row>
    <row r="61" spans="1:9" ht="28.5" customHeight="1" x14ac:dyDescent="0.2">
      <c r="A61" s="95" t="s">
        <v>26</v>
      </c>
      <c r="B61" s="18" t="s">
        <v>27</v>
      </c>
      <c r="C61" s="31">
        <v>2371</v>
      </c>
      <c r="D61" s="33">
        <f t="shared" si="3"/>
        <v>2371</v>
      </c>
      <c r="E61" s="38" t="str">
        <f t="shared" si="0"/>
        <v>-</v>
      </c>
      <c r="F61" s="39">
        <f t="shared" si="1"/>
        <v>1</v>
      </c>
      <c r="I61" s="34"/>
    </row>
    <row r="62" spans="1:9" ht="30" customHeight="1" x14ac:dyDescent="0.2">
      <c r="A62" s="99" t="s">
        <v>132</v>
      </c>
      <c r="B62" s="77" t="s">
        <v>159</v>
      </c>
      <c r="C62" s="87">
        <f>C63+C64+C65+C66</f>
        <v>48682</v>
      </c>
      <c r="D62" s="87">
        <f>D63+D64+D65+D66</f>
        <v>48682</v>
      </c>
      <c r="E62" s="68" t="str">
        <f t="shared" si="0"/>
        <v>-</v>
      </c>
      <c r="F62" s="88">
        <f t="shared" si="1"/>
        <v>1</v>
      </c>
      <c r="I62" s="34"/>
    </row>
    <row r="63" spans="1:9" ht="42" customHeight="1" x14ac:dyDescent="0.2">
      <c r="A63" s="95" t="s">
        <v>99</v>
      </c>
      <c r="B63" s="18" t="s">
        <v>112</v>
      </c>
      <c r="C63" s="31">
        <v>875</v>
      </c>
      <c r="D63" s="33">
        <f>C63</f>
        <v>875</v>
      </c>
      <c r="E63" s="29" t="str">
        <f t="shared" si="0"/>
        <v>-</v>
      </c>
      <c r="F63" s="39">
        <f t="shared" si="1"/>
        <v>1</v>
      </c>
      <c r="I63" s="34"/>
    </row>
    <row r="64" spans="1:9" ht="31.5" customHeight="1" x14ac:dyDescent="0.2">
      <c r="A64" s="95" t="s">
        <v>28</v>
      </c>
      <c r="B64" s="18" t="s">
        <v>53</v>
      </c>
      <c r="C64" s="31">
        <v>1180</v>
      </c>
      <c r="D64" s="33">
        <f>C64</f>
        <v>1180</v>
      </c>
      <c r="E64" s="29" t="str">
        <f t="shared" si="0"/>
        <v>-</v>
      </c>
      <c r="F64" s="39">
        <f t="shared" si="1"/>
        <v>1</v>
      </c>
      <c r="I64" s="34"/>
    </row>
    <row r="65" spans="1:9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  <c r="I65" s="34"/>
    </row>
    <row r="66" spans="1:9" ht="31.5" customHeight="1" x14ac:dyDescent="0.2">
      <c r="A66" s="95" t="s">
        <v>100</v>
      </c>
      <c r="B66" s="18" t="s">
        <v>102</v>
      </c>
      <c r="C66" s="31">
        <v>46627</v>
      </c>
      <c r="D66" s="33">
        <f>C66</f>
        <v>46627</v>
      </c>
      <c r="E66" s="29" t="str">
        <f t="shared" si="0"/>
        <v>-</v>
      </c>
      <c r="F66" s="39">
        <f t="shared" si="1"/>
        <v>1</v>
      </c>
      <c r="I66" s="34"/>
    </row>
    <row r="67" spans="1:9" ht="32.25" customHeight="1" x14ac:dyDescent="0.2">
      <c r="A67" s="99" t="s">
        <v>134</v>
      </c>
      <c r="B67" s="77" t="s">
        <v>113</v>
      </c>
      <c r="C67" s="87">
        <v>19950</v>
      </c>
      <c r="D67" s="87">
        <f>C67</f>
        <v>19950</v>
      </c>
      <c r="E67" s="68" t="str">
        <f t="shared" si="0"/>
        <v>-</v>
      </c>
      <c r="F67" s="88">
        <f t="shared" si="1"/>
        <v>1</v>
      </c>
      <c r="I67" s="34"/>
    </row>
    <row r="73" spans="1:9" x14ac:dyDescent="0.2">
      <c r="C73" s="34"/>
    </row>
    <row r="88" spans="4:4" x14ac:dyDescent="0.2">
      <c r="D88" s="34">
        <f>CENTRALA!D66+'Razem OW'!D66</f>
        <v>130837</v>
      </c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zoomScale="55" zoomScaleNormal="60" zoomScaleSheetLayoutView="55" workbookViewId="0">
      <pane xSplit="2" ySplit="6" topLeftCell="C2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166</v>
      </c>
      <c r="B2" s="54"/>
      <c r="C2" s="54"/>
    </row>
    <row r="3" spans="1:6" ht="33" customHeight="1" x14ac:dyDescent="0.25">
      <c r="A3" s="90"/>
      <c r="B3" s="5"/>
      <c r="C3" s="35"/>
      <c r="D3" s="43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81120647</v>
      </c>
      <c r="D6" s="83">
        <f>D7+D8+D9+D14+D15+D16+D17+D18+D19+D20+D21+D22+D23+D24+D28+D29+D31+D32+D33+D34+D35</f>
        <v>81120647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10954904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11166056</v>
      </c>
      <c r="E7" s="38">
        <f t="shared" ref="E7:E67" si="0">IF(C7=D7,"-",D7-C7)</f>
        <v>211152</v>
      </c>
      <c r="F7" s="39">
        <f t="shared" ref="F7:F67" si="1">IF(C7=0,"-",D7/C7)</f>
        <v>1.0193000000000001</v>
      </c>
    </row>
    <row r="8" spans="1:6" ht="33" customHeight="1" x14ac:dyDescent="0.2">
      <c r="A8" s="92" t="s">
        <v>2</v>
      </c>
      <c r="B8" s="14" t="s">
        <v>117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4783183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4712293</v>
      </c>
      <c r="E8" s="38">
        <f t="shared" si="0"/>
        <v>-70890</v>
      </c>
      <c r="F8" s="39">
        <f t="shared" si="1"/>
        <v>0.98519999999999996</v>
      </c>
    </row>
    <row r="9" spans="1:6" ht="33" customHeight="1" x14ac:dyDescent="0.2">
      <c r="A9" s="92" t="s">
        <v>3</v>
      </c>
      <c r="B9" s="14" t="s">
        <v>114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42660304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42715390</v>
      </c>
      <c r="E9" s="38">
        <f t="shared" si="0"/>
        <v>55086</v>
      </c>
      <c r="F9" s="39">
        <f t="shared" si="1"/>
        <v>1.0013000000000001</v>
      </c>
    </row>
    <row r="10" spans="1:6" ht="31.5" customHeight="1" x14ac:dyDescent="0.2">
      <c r="A10" s="93" t="s">
        <v>54</v>
      </c>
      <c r="B10" s="45" t="s">
        <v>198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3846896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3873729</v>
      </c>
      <c r="E10" s="38">
        <f t="shared" si="0"/>
        <v>26833</v>
      </c>
      <c r="F10" s="39">
        <f t="shared" si="1"/>
        <v>1.0069999999999999</v>
      </c>
    </row>
    <row r="11" spans="1:6" ht="31.5" customHeight="1" x14ac:dyDescent="0.2">
      <c r="A11" s="93" t="s">
        <v>139</v>
      </c>
      <c r="B11" s="45" t="s">
        <v>142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3489061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3496385</v>
      </c>
      <c r="E11" s="38">
        <f t="shared" si="0"/>
        <v>7324</v>
      </c>
      <c r="F11" s="39">
        <f t="shared" si="1"/>
        <v>1.0021</v>
      </c>
    </row>
    <row r="12" spans="1:6" ht="31.5" customHeight="1" x14ac:dyDescent="0.2">
      <c r="A12" s="93" t="s">
        <v>140</v>
      </c>
      <c r="B12" s="45" t="s">
        <v>143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1507555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1533479</v>
      </c>
      <c r="E12" s="38">
        <f t="shared" si="0"/>
        <v>25924</v>
      </c>
      <c r="F12" s="39">
        <f t="shared" si="1"/>
        <v>1.0172000000000001</v>
      </c>
    </row>
    <row r="13" spans="1:6" ht="31.5" customHeight="1" x14ac:dyDescent="0.2">
      <c r="A13" s="93" t="s">
        <v>141</v>
      </c>
      <c r="B13" s="45" t="s">
        <v>144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714556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719882</v>
      </c>
      <c r="E13" s="38">
        <f t="shared" si="0"/>
        <v>5326</v>
      </c>
      <c r="F13" s="39">
        <f t="shared" si="1"/>
        <v>1.0075000000000001</v>
      </c>
    </row>
    <row r="14" spans="1:6" ht="33" customHeight="1" x14ac:dyDescent="0.2">
      <c r="A14" s="92" t="s">
        <v>4</v>
      </c>
      <c r="B14" s="14" t="s">
        <v>122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2881196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2867443</v>
      </c>
      <c r="E14" s="38">
        <f t="shared" si="0"/>
        <v>-13753</v>
      </c>
      <c r="F14" s="39">
        <f t="shared" si="1"/>
        <v>0.99519999999999997</v>
      </c>
    </row>
    <row r="15" spans="1:6" ht="33" customHeight="1" x14ac:dyDescent="0.2">
      <c r="A15" s="92" t="s">
        <v>5</v>
      </c>
      <c r="B15" s="14" t="s">
        <v>118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2553267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2516280</v>
      </c>
      <c r="E15" s="38">
        <f t="shared" si="0"/>
        <v>-36987</v>
      </c>
      <c r="F15" s="39">
        <f t="shared" si="1"/>
        <v>0.98550000000000004</v>
      </c>
    </row>
    <row r="16" spans="1:6" ht="33" customHeight="1" x14ac:dyDescent="0.2">
      <c r="A16" s="92" t="s">
        <v>6</v>
      </c>
      <c r="B16" s="14" t="s">
        <v>124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1635394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1641633</v>
      </c>
      <c r="E16" s="38">
        <f t="shared" si="0"/>
        <v>6239</v>
      </c>
      <c r="F16" s="39">
        <f t="shared" si="1"/>
        <v>1.0038</v>
      </c>
    </row>
    <row r="17" spans="1:6" ht="33" customHeight="1" x14ac:dyDescent="0.2">
      <c r="A17" s="92" t="s">
        <v>7</v>
      </c>
      <c r="B17" s="14" t="s">
        <v>123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742975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742061</v>
      </c>
      <c r="E17" s="38">
        <f t="shared" si="0"/>
        <v>-914</v>
      </c>
      <c r="F17" s="39">
        <f t="shared" si="1"/>
        <v>0.99880000000000002</v>
      </c>
    </row>
    <row r="18" spans="1:6" ht="33" customHeight="1" x14ac:dyDescent="0.2">
      <c r="A18" s="92" t="s">
        <v>8</v>
      </c>
      <c r="B18" s="14" t="s">
        <v>119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1867239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1838693</v>
      </c>
      <c r="E18" s="38">
        <f t="shared" si="0"/>
        <v>-28546</v>
      </c>
      <c r="F18" s="39">
        <f t="shared" si="1"/>
        <v>0.98470000000000002</v>
      </c>
    </row>
    <row r="19" spans="1:6" ht="33" customHeight="1" x14ac:dyDescent="0.2">
      <c r="A19" s="92" t="s">
        <v>9</v>
      </c>
      <c r="B19" s="14" t="s">
        <v>120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689747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662945</v>
      </c>
      <c r="E19" s="38">
        <f t="shared" si="0"/>
        <v>-26802</v>
      </c>
      <c r="F19" s="39">
        <f t="shared" si="1"/>
        <v>0.96109999999999995</v>
      </c>
    </row>
    <row r="20" spans="1:6" ht="33" customHeight="1" x14ac:dyDescent="0.2">
      <c r="A20" s="92" t="s">
        <v>10</v>
      </c>
      <c r="B20" s="14" t="s">
        <v>125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51696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50220</v>
      </c>
      <c r="E20" s="38">
        <f t="shared" si="0"/>
        <v>-1476</v>
      </c>
      <c r="F20" s="39">
        <f t="shared" si="1"/>
        <v>0.97140000000000004</v>
      </c>
    </row>
    <row r="21" spans="1:6" ht="46.5" customHeight="1" x14ac:dyDescent="0.2">
      <c r="A21" s="92" t="s">
        <v>11</v>
      </c>
      <c r="B21" s="14" t="s">
        <v>121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193196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181697</v>
      </c>
      <c r="E21" s="38">
        <f t="shared" si="0"/>
        <v>-11499</v>
      </c>
      <c r="F21" s="39">
        <f t="shared" si="1"/>
        <v>0.9405</v>
      </c>
    </row>
    <row r="22" spans="1:6" ht="33" customHeight="1" x14ac:dyDescent="0.2">
      <c r="A22" s="92" t="s">
        <v>12</v>
      </c>
      <c r="B22" s="14" t="s">
        <v>161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2162850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2144781</v>
      </c>
      <c r="E22" s="38">
        <f t="shared" si="0"/>
        <v>-18069</v>
      </c>
      <c r="F22" s="39">
        <f t="shared" si="1"/>
        <v>0.99160000000000004</v>
      </c>
    </row>
    <row r="23" spans="1:6" ht="33" customHeight="1" x14ac:dyDescent="0.2">
      <c r="A23" s="92" t="s">
        <v>13</v>
      </c>
      <c r="B23" s="14" t="s">
        <v>145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1175448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1099601</v>
      </c>
      <c r="E23" s="38">
        <f t="shared" si="0"/>
        <v>-75847</v>
      </c>
      <c r="F23" s="39">
        <f t="shared" si="1"/>
        <v>0.9355</v>
      </c>
    </row>
    <row r="24" spans="1:6" ht="33" customHeight="1" x14ac:dyDescent="0.2">
      <c r="A24" s="94" t="s">
        <v>14</v>
      </c>
      <c r="B24" s="30" t="s">
        <v>177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8490234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8556239</v>
      </c>
      <c r="E24" s="38">
        <f t="shared" si="0"/>
        <v>66005</v>
      </c>
      <c r="F24" s="39">
        <f t="shared" si="1"/>
        <v>1.0078</v>
      </c>
    </row>
    <row r="25" spans="1:6" ht="37.5" x14ac:dyDescent="0.2">
      <c r="A25" s="93" t="s">
        <v>126</v>
      </c>
      <c r="B25" s="45" t="s">
        <v>147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8452816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8523698</v>
      </c>
      <c r="E25" s="38">
        <f t="shared" si="0"/>
        <v>70882</v>
      </c>
      <c r="F25" s="39">
        <f t="shared" si="1"/>
        <v>1.0084</v>
      </c>
    </row>
    <row r="26" spans="1:6" ht="31.5" customHeight="1" x14ac:dyDescent="0.2">
      <c r="A26" s="93" t="s">
        <v>146</v>
      </c>
      <c r="B26" s="45" t="s">
        <v>149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22130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15525</v>
      </c>
      <c r="E26" s="38">
        <f t="shared" si="0"/>
        <v>-6605</v>
      </c>
      <c r="F26" s="39">
        <f t="shared" si="1"/>
        <v>0.70150000000000001</v>
      </c>
    </row>
    <row r="27" spans="1:6" ht="37.5" x14ac:dyDescent="0.2">
      <c r="A27" s="93" t="s">
        <v>150</v>
      </c>
      <c r="B27" s="45" t="s">
        <v>148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15288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17016</v>
      </c>
      <c r="E27" s="38">
        <f t="shared" si="0"/>
        <v>1728</v>
      </c>
      <c r="F27" s="39">
        <f t="shared" si="1"/>
        <v>1.113</v>
      </c>
    </row>
    <row r="28" spans="1:6" ht="33" customHeight="1" x14ac:dyDescent="0.2">
      <c r="A28" s="95" t="s">
        <v>15</v>
      </c>
      <c r="B28" s="15" t="s">
        <v>110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0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127131</v>
      </c>
      <c r="D32" s="31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98910</v>
      </c>
      <c r="E32" s="38">
        <f>IF(C32=D32,"-",D32-C32)</f>
        <v>-28221</v>
      </c>
      <c r="F32" s="39">
        <f t="shared" si="1"/>
        <v>0.77800000000000002</v>
      </c>
    </row>
    <row r="33" spans="1:6" ht="42.75" customHeight="1" x14ac:dyDescent="0.2">
      <c r="A33" s="95" t="s">
        <v>178</v>
      </c>
      <c r="B33" s="16" t="s">
        <v>179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9262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4970</v>
      </c>
      <c r="E34" s="38">
        <f>IF(C34=D34,"-",D34-C34)</f>
        <v>-4292</v>
      </c>
      <c r="F34" s="39">
        <f>IF(C34=0,"-",D34/C34)</f>
        <v>0.53659999999999997</v>
      </c>
    </row>
    <row r="35" spans="1:6" ht="53.25" customHeight="1" x14ac:dyDescent="0.2">
      <c r="A35" s="95" t="s">
        <v>195</v>
      </c>
      <c r="B35" s="16" t="s">
        <v>196</v>
      </c>
      <c r="C35" s="31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142621</v>
      </c>
      <c r="D35" s="31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121435</v>
      </c>
      <c r="E35" s="38">
        <f>IF(C35=D35,"-",D35-C35)</f>
        <v>-21186</v>
      </c>
      <c r="F35" s="39">
        <f>IF(C35=0,"-",D35/C35)</f>
        <v>0.85150000000000003</v>
      </c>
    </row>
    <row r="36" spans="1:6" s="2" customFormat="1" ht="31.5" customHeight="1" x14ac:dyDescent="0.2">
      <c r="A36" s="96" t="s">
        <v>56</v>
      </c>
      <c r="B36" s="17" t="s">
        <v>57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6465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6465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2046846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2046846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7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693300</v>
      </c>
      <c r="D38" s="37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693300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7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0</v>
      </c>
      <c r="D39" s="37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12693851</v>
      </c>
      <c r="D40" s="32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12772506</v>
      </c>
      <c r="E40" s="7">
        <f t="shared" si="0"/>
        <v>78655</v>
      </c>
      <c r="F40" s="40">
        <f t="shared" si="1"/>
        <v>1.0062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536971</v>
      </c>
      <c r="D41" s="71">
        <f>D42+D43+D44+D52+D54+D60+D61+D59</f>
        <v>536971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21873</v>
      </c>
      <c r="D42" s="33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21873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74487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74487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3964</v>
      </c>
      <c r="D44" s="33">
        <f>D45+D47+D48+D49+D50+D51</f>
        <v>3964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579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579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576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576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622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622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2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0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2475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2475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286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286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312014</v>
      </c>
      <c r="D52" s="33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312014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891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891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70053</v>
      </c>
      <c r="D54" s="29">
        <f>D55+D56+D57+D58</f>
        <v>70053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53392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53392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7454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7454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9207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9207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0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50153</v>
      </c>
      <c r="D60" s="33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50153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4427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4427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181363</v>
      </c>
      <c r="D62" s="87">
        <f>D63+D64+D65+D66</f>
        <v>181363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357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357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28</v>
      </c>
      <c r="B64" s="18" t="s">
        <v>53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96796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96796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0</v>
      </c>
      <c r="D65" s="33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84210</v>
      </c>
      <c r="D66" s="33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84210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f>Dolnośląski!C67+KujawskoPomorski!C67+Lubelski!C67+Lubuski!C67+Łódzki!C67+Małopolski!C67+Mazowiecki!C67+Opolski!C67+Podkarpacki!C67+Podlaski!C67+Pomorski!C67+Śląski!C67+Świętokrzyski!C67+WarmińskoMazurski!C67+Wielkopolski!C67+Zachodniopomorski!C67</f>
        <v>38454</v>
      </c>
      <c r="D67" s="87">
        <f>Dolnośląski!D67+KujawskoPomorski!D67+Lubelski!D67+Lubuski!D67+Łódzki!D67+Małopolski!D67+Mazowiecki!D67+Opolski!D67+Podkarpacki!D67+Podlaski!D67+Pomorski!D67+Śląski!D67+Świętokrzyski!D67+WarmińskoMazurski!D67+Wielkopolski!D67+Zachodniopomorski!D67</f>
        <v>38454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60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88"/>
  <sheetViews>
    <sheetView showGridLines="0" view="pageBreakPreview" zoomScale="55" zoomScaleNormal="70" zoomScaleSheetLayoutView="55" workbookViewId="0">
      <pane ySplit="6" topLeftCell="A52" activePane="bottomLeft" state="frozen"/>
      <selection activeCell="D52" sqref="D52"/>
      <selection pane="bottomLef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59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6094010</v>
      </c>
      <c r="D6" s="83">
        <f>D7+D8+D9+D14+D15+D16+D17+D18+D19+D20+D21+D22+D23+D24+D28+D29+D31+D32+D33+D34+D35</f>
        <v>6094010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795335</v>
      </c>
      <c r="D7" s="13">
        <f>C7+47000</f>
        <v>842335</v>
      </c>
      <c r="E7" s="38">
        <f t="shared" ref="E7:E67" si="0">IF(C7=D7,"-",D7-C7)</f>
        <v>47000</v>
      </c>
      <c r="F7" s="39">
        <f t="shared" ref="F7:F67" si="1">IF(C7=0,"-",D7/C7)</f>
        <v>1.0590999999999999</v>
      </c>
    </row>
    <row r="8" spans="1:6" ht="33" customHeight="1" x14ac:dyDescent="0.2">
      <c r="A8" s="92" t="s">
        <v>2</v>
      </c>
      <c r="B8" s="14" t="s">
        <v>117</v>
      </c>
      <c r="C8" s="31">
        <v>404979</v>
      </c>
      <c r="D8" s="13">
        <f>C8-20862</f>
        <v>384117</v>
      </c>
      <c r="E8" s="38">
        <f>IF(C8=D8,"-",D8-C8)</f>
        <v>-20862</v>
      </c>
      <c r="F8" s="39">
        <f t="shared" si="1"/>
        <v>0.94850000000000001</v>
      </c>
    </row>
    <row r="9" spans="1:6" ht="33" customHeight="1" x14ac:dyDescent="0.2">
      <c r="A9" s="92" t="s">
        <v>3</v>
      </c>
      <c r="B9" s="14" t="s">
        <v>114</v>
      </c>
      <c r="C9" s="31">
        <v>3177550</v>
      </c>
      <c r="D9" s="13">
        <f>C9+1879</f>
        <v>3179429</v>
      </c>
      <c r="E9" s="38">
        <f t="shared" si="0"/>
        <v>1879</v>
      </c>
      <c r="F9" s="39">
        <f t="shared" si="1"/>
        <v>1.0005999999999999</v>
      </c>
    </row>
    <row r="10" spans="1:6" ht="31.5" customHeight="1" x14ac:dyDescent="0.2">
      <c r="A10" s="93" t="s">
        <v>54</v>
      </c>
      <c r="B10" s="45" t="s">
        <v>198</v>
      </c>
      <c r="C10" s="31">
        <v>310771</v>
      </c>
      <c r="D10" s="13">
        <f>C10+3283</f>
        <v>314054</v>
      </c>
      <c r="E10" s="38">
        <f t="shared" si="0"/>
        <v>3283</v>
      </c>
      <c r="F10" s="39">
        <f t="shared" si="1"/>
        <v>1.0105999999999999</v>
      </c>
    </row>
    <row r="11" spans="1:6" ht="31.5" customHeight="1" x14ac:dyDescent="0.2">
      <c r="A11" s="93" t="s">
        <v>139</v>
      </c>
      <c r="B11" s="45" t="s">
        <v>142</v>
      </c>
      <c r="C11" s="31">
        <v>283422</v>
      </c>
      <c r="D11" s="13">
        <f t="shared" ref="D11:D34" si="2">C11</f>
        <v>283422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v>115765</v>
      </c>
      <c r="D12" s="13">
        <f>C12+2900</f>
        <v>118665</v>
      </c>
      <c r="E12" s="38">
        <f t="shared" si="0"/>
        <v>2900</v>
      </c>
      <c r="F12" s="39">
        <f t="shared" si="1"/>
        <v>1.0250999999999999</v>
      </c>
    </row>
    <row r="13" spans="1:6" ht="31.5" customHeight="1" x14ac:dyDescent="0.2">
      <c r="A13" s="93" t="s">
        <v>141</v>
      </c>
      <c r="B13" s="45" t="s">
        <v>144</v>
      </c>
      <c r="C13" s="31">
        <v>55991</v>
      </c>
      <c r="D13" s="13">
        <f t="shared" si="2"/>
        <v>55991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v>240118</v>
      </c>
      <c r="D14" s="13">
        <f>C14-4093</f>
        <v>236025</v>
      </c>
      <c r="E14" s="38">
        <f t="shared" si="0"/>
        <v>-4093</v>
      </c>
      <c r="F14" s="39">
        <f t="shared" si="1"/>
        <v>0.98299999999999998</v>
      </c>
    </row>
    <row r="15" spans="1:6" ht="33" customHeight="1" x14ac:dyDescent="0.2">
      <c r="A15" s="92" t="s">
        <v>5</v>
      </c>
      <c r="B15" s="14" t="s">
        <v>118</v>
      </c>
      <c r="C15" s="31">
        <v>197107</v>
      </c>
      <c r="D15" s="13">
        <f>C15-13321</f>
        <v>183786</v>
      </c>
      <c r="E15" s="38">
        <f t="shared" si="0"/>
        <v>-13321</v>
      </c>
      <c r="F15" s="39">
        <f t="shared" si="1"/>
        <v>0.93240000000000001</v>
      </c>
    </row>
    <row r="16" spans="1:6" ht="33" customHeight="1" x14ac:dyDescent="0.2">
      <c r="A16" s="92" t="s">
        <v>6</v>
      </c>
      <c r="B16" s="14" t="s">
        <v>124</v>
      </c>
      <c r="C16" s="31">
        <v>138952</v>
      </c>
      <c r="D16" s="13">
        <f>C16-8370</f>
        <v>130582</v>
      </c>
      <c r="E16" s="38">
        <f t="shared" si="0"/>
        <v>-8370</v>
      </c>
      <c r="F16" s="39">
        <f t="shared" si="1"/>
        <v>0.93979999999999997</v>
      </c>
    </row>
    <row r="17" spans="1:6" ht="33" customHeight="1" x14ac:dyDescent="0.2">
      <c r="A17" s="92" t="s">
        <v>7</v>
      </c>
      <c r="B17" s="14" t="s">
        <v>123</v>
      </c>
      <c r="C17" s="31">
        <v>72081</v>
      </c>
      <c r="D17" s="13">
        <f>C17-5022</f>
        <v>67059</v>
      </c>
      <c r="E17" s="38">
        <f t="shared" si="0"/>
        <v>-5022</v>
      </c>
      <c r="F17" s="39">
        <f t="shared" si="1"/>
        <v>0.93030000000000002</v>
      </c>
    </row>
    <row r="18" spans="1:6" ht="33" customHeight="1" x14ac:dyDescent="0.2">
      <c r="A18" s="92" t="s">
        <v>8</v>
      </c>
      <c r="B18" s="14" t="s">
        <v>119</v>
      </c>
      <c r="C18" s="31">
        <v>123104</v>
      </c>
      <c r="D18" s="13">
        <f>C18-3523</f>
        <v>119581</v>
      </c>
      <c r="E18" s="38">
        <f t="shared" si="0"/>
        <v>-3523</v>
      </c>
      <c r="F18" s="39">
        <f t="shared" si="1"/>
        <v>0.97140000000000004</v>
      </c>
    </row>
    <row r="19" spans="1:6" ht="33" customHeight="1" x14ac:dyDescent="0.2">
      <c r="A19" s="92" t="s">
        <v>9</v>
      </c>
      <c r="B19" s="14" t="s">
        <v>120</v>
      </c>
      <c r="C19" s="31">
        <v>68745</v>
      </c>
      <c r="D19" s="13">
        <f>C19-4000</f>
        <v>64745</v>
      </c>
      <c r="E19" s="38">
        <f t="shared" si="0"/>
        <v>-4000</v>
      </c>
      <c r="F19" s="39">
        <f t="shared" si="1"/>
        <v>0.94179999999999997</v>
      </c>
    </row>
    <row r="20" spans="1:6" ht="33" customHeight="1" x14ac:dyDescent="0.2">
      <c r="A20" s="92" t="s">
        <v>10</v>
      </c>
      <c r="B20" s="14" t="s">
        <v>125</v>
      </c>
      <c r="C20" s="31">
        <v>4892</v>
      </c>
      <c r="D20" s="13">
        <f t="shared" si="2"/>
        <v>4892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15474</v>
      </c>
      <c r="D21" s="13">
        <f>C21-927</f>
        <v>14547</v>
      </c>
      <c r="E21" s="38">
        <f t="shared" si="0"/>
        <v>-927</v>
      </c>
      <c r="F21" s="39">
        <f t="shared" si="1"/>
        <v>0.94010000000000005</v>
      </c>
    </row>
    <row r="22" spans="1:6" ht="33" customHeight="1" x14ac:dyDescent="0.2">
      <c r="A22" s="92" t="s">
        <v>12</v>
      </c>
      <c r="B22" s="14" t="s">
        <v>161</v>
      </c>
      <c r="C22" s="31">
        <v>139923</v>
      </c>
      <c r="D22" s="13">
        <f>C22-2424</f>
        <v>137499</v>
      </c>
      <c r="E22" s="38">
        <f t="shared" si="0"/>
        <v>-2424</v>
      </c>
      <c r="F22" s="39">
        <f t="shared" si="1"/>
        <v>0.98270000000000002</v>
      </c>
    </row>
    <row r="23" spans="1:6" ht="33" customHeight="1" x14ac:dyDescent="0.2">
      <c r="A23" s="92" t="s">
        <v>13</v>
      </c>
      <c r="B23" s="14" t="s">
        <v>145</v>
      </c>
      <c r="C23" s="31">
        <v>99437</v>
      </c>
      <c r="D23" s="13">
        <f>C23-11637</f>
        <v>87800</v>
      </c>
      <c r="E23" s="38">
        <f t="shared" si="0"/>
        <v>-11637</v>
      </c>
      <c r="F23" s="39">
        <f t="shared" si="1"/>
        <v>0.88300000000000001</v>
      </c>
    </row>
    <row r="24" spans="1:6" ht="33" customHeight="1" x14ac:dyDescent="0.2">
      <c r="A24" s="94" t="s">
        <v>14</v>
      </c>
      <c r="B24" s="30" t="s">
        <v>177</v>
      </c>
      <c r="C24" s="31">
        <v>605200</v>
      </c>
      <c r="D24" s="13">
        <f>C24+27800</f>
        <v>633000</v>
      </c>
      <c r="E24" s="38">
        <f t="shared" si="0"/>
        <v>27800</v>
      </c>
      <c r="F24" s="39">
        <f t="shared" si="1"/>
        <v>1.0459000000000001</v>
      </c>
    </row>
    <row r="25" spans="1:6" ht="37.5" x14ac:dyDescent="0.2">
      <c r="A25" s="93" t="s">
        <v>126</v>
      </c>
      <c r="B25" s="45" t="s">
        <v>147</v>
      </c>
      <c r="C25" s="31">
        <v>602700</v>
      </c>
      <c r="D25" s="13">
        <f>C25+27800</f>
        <v>630500</v>
      </c>
      <c r="E25" s="38">
        <f t="shared" si="0"/>
        <v>27800</v>
      </c>
      <c r="F25" s="39">
        <f t="shared" si="1"/>
        <v>1.0461</v>
      </c>
    </row>
    <row r="26" spans="1:6" ht="31.5" customHeight="1" x14ac:dyDescent="0.2">
      <c r="A26" s="93" t="s">
        <v>146</v>
      </c>
      <c r="B26" s="45" t="s">
        <v>149</v>
      </c>
      <c r="C26" s="31">
        <v>1300</v>
      </c>
      <c r="D26" s="13">
        <f t="shared" si="2"/>
        <v>1300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1200</v>
      </c>
      <c r="D27" s="13">
        <f t="shared" si="2"/>
        <v>1200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>C30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5961</v>
      </c>
      <c r="D32" s="13">
        <f>C32-1000</f>
        <v>4961</v>
      </c>
      <c r="E32" s="38">
        <f t="shared" si="0"/>
        <v>-1000</v>
      </c>
      <c r="F32" s="39">
        <f t="shared" si="1"/>
        <v>0.83220000000000005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5052</v>
      </c>
      <c r="D35" s="13">
        <f>C35-1500</f>
        <v>3552</v>
      </c>
      <c r="E35" s="38">
        <f>IF(C35=D35,"-",D35-C35)</f>
        <v>-1500</v>
      </c>
      <c r="F35" s="39">
        <f>IF(C35=0,"-",D35/C35)</f>
        <v>0.70309999999999995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791</v>
      </c>
      <c r="D36" s="37">
        <f>C36</f>
        <v>791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153012</v>
      </c>
      <c r="D37" s="37">
        <f>C37</f>
        <v>153012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52102</v>
      </c>
      <c r="D38" s="37">
        <f>C38</f>
        <v>52102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944613</v>
      </c>
      <c r="D40" s="32">
        <f>D11+D13+D24+D30</f>
        <v>972413</v>
      </c>
      <c r="E40" s="7">
        <f t="shared" si="0"/>
        <v>27800</v>
      </c>
      <c r="F40" s="40">
        <f t="shared" si="1"/>
        <v>1.0294000000000001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37881</v>
      </c>
      <c r="D41" s="71">
        <f>D42+D43+D44+D52+D54+D60+D61+D59</f>
        <v>37881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1509</v>
      </c>
      <c r="D42" s="33">
        <f>C42</f>
        <v>1509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4877</v>
      </c>
      <c r="D43" s="33">
        <f t="shared" ref="D43:D61" si="3">C43</f>
        <v>4877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359</v>
      </c>
      <c r="D44" s="33">
        <f>D45+D47+D48+D49+D50+D51</f>
        <v>359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55</v>
      </c>
      <c r="D45" s="33">
        <f t="shared" si="3"/>
        <v>55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55</v>
      </c>
      <c r="D46" s="33">
        <f t="shared" si="3"/>
        <v>55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68</v>
      </c>
      <c r="D47" s="33">
        <f t="shared" si="3"/>
        <v>68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1</v>
      </c>
      <c r="D48" s="33">
        <f t="shared" si="3"/>
        <v>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233</v>
      </c>
      <c r="D50" s="33">
        <f t="shared" si="3"/>
        <v>233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2</v>
      </c>
      <c r="D51" s="33">
        <f t="shared" si="3"/>
        <v>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22425</v>
      </c>
      <c r="D52" s="33">
        <f t="shared" si="3"/>
        <v>22425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100</v>
      </c>
      <c r="D53" s="33">
        <f t="shared" si="3"/>
        <v>100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5029</v>
      </c>
      <c r="D54" s="29">
        <f>D55+D56+D57+D58</f>
        <v>5029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3748</v>
      </c>
      <c r="D55" s="33">
        <f t="shared" si="3"/>
        <v>3748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449</v>
      </c>
      <c r="D56" s="33">
        <f t="shared" si="3"/>
        <v>449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832</v>
      </c>
      <c r="D58" s="33">
        <f t="shared" si="3"/>
        <v>832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3447</v>
      </c>
      <c r="D60" s="33">
        <f t="shared" si="3"/>
        <v>3447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235</v>
      </c>
      <c r="D61" s="33">
        <f t="shared" si="3"/>
        <v>235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14413</v>
      </c>
      <c r="D62" s="87">
        <f>D63+D64+D65+D66</f>
        <v>14413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9008</v>
      </c>
      <c r="D64" s="33">
        <f>C64</f>
        <v>9008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5405</v>
      </c>
      <c r="D66" s="33">
        <f>C66</f>
        <v>5405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1253</v>
      </c>
      <c r="D67" s="87">
        <f>C67</f>
        <v>1253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52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60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4336542</v>
      </c>
      <c r="D6" s="83">
        <f>D7+D8+D9+D14+D15+D16+D17+D18+D19+D20+D21+D22+D23+D24+D28+D29+D31+D32+D33+D34+D35</f>
        <v>4336542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601324</v>
      </c>
      <c r="D7" s="13">
        <f>C7+6830</f>
        <v>608154</v>
      </c>
      <c r="E7" s="38">
        <f t="shared" ref="E7:E67" si="0">IF(C7=D7,"-",D7-C7)</f>
        <v>6830</v>
      </c>
      <c r="F7" s="39">
        <f t="shared" ref="F7:F67" si="1">IF(C7=0,"-",D7/C7)</f>
        <v>1.0114000000000001</v>
      </c>
    </row>
    <row r="8" spans="1:6" ht="33" customHeight="1" x14ac:dyDescent="0.2">
      <c r="A8" s="92" t="s">
        <v>2</v>
      </c>
      <c r="B8" s="14" t="s">
        <v>117</v>
      </c>
      <c r="C8" s="31">
        <v>224271</v>
      </c>
      <c r="D8" s="13">
        <f>C8-2731</f>
        <v>221540</v>
      </c>
      <c r="E8" s="38">
        <f t="shared" si="0"/>
        <v>-2731</v>
      </c>
      <c r="F8" s="39">
        <f t="shared" si="1"/>
        <v>0.98780000000000001</v>
      </c>
    </row>
    <row r="9" spans="1:6" ht="33" customHeight="1" x14ac:dyDescent="0.2">
      <c r="A9" s="92" t="s">
        <v>3</v>
      </c>
      <c r="B9" s="14" t="s">
        <v>114</v>
      </c>
      <c r="C9" s="31">
        <v>2270018</v>
      </c>
      <c r="D9" s="13">
        <f>C9+4225</f>
        <v>2274243</v>
      </c>
      <c r="E9" s="38">
        <f t="shared" si="0"/>
        <v>4225</v>
      </c>
      <c r="F9" s="39">
        <f t="shared" si="1"/>
        <v>1.0019</v>
      </c>
    </row>
    <row r="10" spans="1:6" ht="31.5" customHeight="1" x14ac:dyDescent="0.2">
      <c r="A10" s="93" t="s">
        <v>54</v>
      </c>
      <c r="B10" s="45" t="s">
        <v>198</v>
      </c>
      <c r="C10" s="31">
        <v>186496</v>
      </c>
      <c r="D10" s="13">
        <f>C10-3014</f>
        <v>183482</v>
      </c>
      <c r="E10" s="38">
        <f t="shared" si="0"/>
        <v>-3014</v>
      </c>
      <c r="F10" s="39">
        <f t="shared" si="1"/>
        <v>0.98380000000000001</v>
      </c>
    </row>
    <row r="11" spans="1:6" ht="31.5" customHeight="1" x14ac:dyDescent="0.2">
      <c r="A11" s="93" t="s">
        <v>139</v>
      </c>
      <c r="B11" s="45" t="s">
        <v>142</v>
      </c>
      <c r="C11" s="31">
        <v>169352</v>
      </c>
      <c r="D11" s="13">
        <f>C11-4747</f>
        <v>164605</v>
      </c>
      <c r="E11" s="38">
        <f t="shared" si="0"/>
        <v>-4747</v>
      </c>
      <c r="F11" s="39">
        <f t="shared" si="1"/>
        <v>0.97199999999999998</v>
      </c>
    </row>
    <row r="12" spans="1:6" ht="31.5" customHeight="1" x14ac:dyDescent="0.2">
      <c r="A12" s="93" t="s">
        <v>140</v>
      </c>
      <c r="B12" s="45" t="s">
        <v>143</v>
      </c>
      <c r="C12" s="31">
        <v>70155</v>
      </c>
      <c r="D12" s="13">
        <f>C12+5070</f>
        <v>75225</v>
      </c>
      <c r="E12" s="38">
        <f t="shared" si="0"/>
        <v>5070</v>
      </c>
      <c r="F12" s="39">
        <f t="shared" si="1"/>
        <v>1.0723</v>
      </c>
    </row>
    <row r="13" spans="1:6" ht="31.5" customHeight="1" x14ac:dyDescent="0.2">
      <c r="A13" s="93" t="s">
        <v>141</v>
      </c>
      <c r="B13" s="45" t="s">
        <v>144</v>
      </c>
      <c r="C13" s="31">
        <v>36195</v>
      </c>
      <c r="D13" s="13">
        <f>C13-83</f>
        <v>36112</v>
      </c>
      <c r="E13" s="38">
        <f t="shared" si="0"/>
        <v>-83</v>
      </c>
      <c r="F13" s="39">
        <f t="shared" si="1"/>
        <v>0.99770000000000003</v>
      </c>
    </row>
    <row r="14" spans="1:6" ht="33" customHeight="1" x14ac:dyDescent="0.2">
      <c r="A14" s="92" t="s">
        <v>4</v>
      </c>
      <c r="B14" s="14" t="s">
        <v>122</v>
      </c>
      <c r="C14" s="31">
        <v>154572</v>
      </c>
      <c r="D14" s="13">
        <f>C14-1221</f>
        <v>153351</v>
      </c>
      <c r="E14" s="38">
        <f t="shared" si="0"/>
        <v>-1221</v>
      </c>
      <c r="F14" s="39">
        <f t="shared" si="1"/>
        <v>0.99209999999999998</v>
      </c>
    </row>
    <row r="15" spans="1:6" ht="33" customHeight="1" x14ac:dyDescent="0.2">
      <c r="A15" s="92" t="s">
        <v>5</v>
      </c>
      <c r="B15" s="14" t="s">
        <v>118</v>
      </c>
      <c r="C15" s="31">
        <v>123664</v>
      </c>
      <c r="D15" s="13">
        <f>C15+417</f>
        <v>124081</v>
      </c>
      <c r="E15" s="38">
        <f t="shared" si="0"/>
        <v>417</v>
      </c>
      <c r="F15" s="39">
        <f t="shared" si="1"/>
        <v>1.0034000000000001</v>
      </c>
    </row>
    <row r="16" spans="1:6" ht="33" customHeight="1" x14ac:dyDescent="0.2">
      <c r="A16" s="92" t="s">
        <v>6</v>
      </c>
      <c r="B16" s="14" t="s">
        <v>124</v>
      </c>
      <c r="C16" s="31">
        <v>74382</v>
      </c>
      <c r="D16" s="13">
        <f>C16+299</f>
        <v>74681</v>
      </c>
      <c r="E16" s="38">
        <f t="shared" si="0"/>
        <v>299</v>
      </c>
      <c r="F16" s="39">
        <f t="shared" si="1"/>
        <v>1.004</v>
      </c>
    </row>
    <row r="17" spans="1:6" ht="33" customHeight="1" x14ac:dyDescent="0.2">
      <c r="A17" s="92" t="s">
        <v>7</v>
      </c>
      <c r="B17" s="14" t="s">
        <v>123</v>
      </c>
      <c r="C17" s="31">
        <v>47660</v>
      </c>
      <c r="D17" s="13">
        <f>C17+157</f>
        <v>47817</v>
      </c>
      <c r="E17" s="38">
        <f t="shared" si="0"/>
        <v>157</v>
      </c>
      <c r="F17" s="39">
        <f t="shared" si="1"/>
        <v>1.0033000000000001</v>
      </c>
    </row>
    <row r="18" spans="1:6" ht="33" customHeight="1" x14ac:dyDescent="0.2">
      <c r="A18" s="92" t="s">
        <v>8</v>
      </c>
      <c r="B18" s="14" t="s">
        <v>119</v>
      </c>
      <c r="C18" s="31">
        <v>100887</v>
      </c>
      <c r="D18" s="13">
        <f>C18+98</f>
        <v>100985</v>
      </c>
      <c r="E18" s="38">
        <f t="shared" si="0"/>
        <v>98</v>
      </c>
      <c r="F18" s="39">
        <f t="shared" si="1"/>
        <v>1.0009999999999999</v>
      </c>
    </row>
    <row r="19" spans="1:6" ht="33" customHeight="1" x14ac:dyDescent="0.2">
      <c r="A19" s="92" t="s">
        <v>9</v>
      </c>
      <c r="B19" s="14" t="s">
        <v>120</v>
      </c>
      <c r="C19" s="31">
        <v>38037</v>
      </c>
      <c r="D19" s="13">
        <f>C19-927</f>
        <v>37110</v>
      </c>
      <c r="E19" s="38">
        <f t="shared" si="0"/>
        <v>-927</v>
      </c>
      <c r="F19" s="39">
        <f t="shared" si="1"/>
        <v>0.97560000000000002</v>
      </c>
    </row>
    <row r="20" spans="1:6" ht="33" customHeight="1" x14ac:dyDescent="0.2">
      <c r="A20" s="92" t="s">
        <v>10</v>
      </c>
      <c r="B20" s="14" t="s">
        <v>125</v>
      </c>
      <c r="C20" s="31">
        <v>2910</v>
      </c>
      <c r="D20" s="13">
        <f t="shared" ref="D20:D34" si="2">C20</f>
        <v>2910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11870</v>
      </c>
      <c r="D21" s="13">
        <f>C21-543</f>
        <v>11327</v>
      </c>
      <c r="E21" s="38">
        <f t="shared" si="0"/>
        <v>-543</v>
      </c>
      <c r="F21" s="39">
        <f t="shared" si="1"/>
        <v>0.95430000000000004</v>
      </c>
    </row>
    <row r="22" spans="1:6" ht="33" customHeight="1" x14ac:dyDescent="0.2">
      <c r="A22" s="92" t="s">
        <v>12</v>
      </c>
      <c r="B22" s="14" t="s">
        <v>161</v>
      </c>
      <c r="C22" s="31">
        <v>112270</v>
      </c>
      <c r="D22" s="13">
        <f>C22-3254</f>
        <v>109016</v>
      </c>
      <c r="E22" s="38">
        <f t="shared" si="0"/>
        <v>-3254</v>
      </c>
      <c r="F22" s="39">
        <f t="shared" si="1"/>
        <v>0.97099999999999997</v>
      </c>
    </row>
    <row r="23" spans="1:6" ht="33" customHeight="1" x14ac:dyDescent="0.2">
      <c r="A23" s="92" t="s">
        <v>13</v>
      </c>
      <c r="B23" s="14" t="s">
        <v>145</v>
      </c>
      <c r="C23" s="31">
        <v>61320</v>
      </c>
      <c r="D23" s="13">
        <f>C23+700</f>
        <v>62020</v>
      </c>
      <c r="E23" s="38">
        <f t="shared" si="0"/>
        <v>700</v>
      </c>
      <c r="F23" s="39">
        <f t="shared" si="1"/>
        <v>1.0114000000000001</v>
      </c>
    </row>
    <row r="24" spans="1:6" ht="33" customHeight="1" x14ac:dyDescent="0.2">
      <c r="A24" s="94" t="s">
        <v>14</v>
      </c>
      <c r="B24" s="30" t="s">
        <v>177</v>
      </c>
      <c r="C24" s="31">
        <v>496133</v>
      </c>
      <c r="D24" s="13">
        <f>C24-1000</f>
        <v>495133</v>
      </c>
      <c r="E24" s="38">
        <f t="shared" si="0"/>
        <v>-1000</v>
      </c>
      <c r="F24" s="39">
        <f t="shared" si="1"/>
        <v>0.998</v>
      </c>
    </row>
    <row r="25" spans="1:6" ht="37.5" x14ac:dyDescent="0.2">
      <c r="A25" s="93" t="s">
        <v>126</v>
      </c>
      <c r="B25" s="45" t="s">
        <v>147</v>
      </c>
      <c r="C25" s="31">
        <v>495000</v>
      </c>
      <c r="D25" s="13">
        <f>C25-1000</f>
        <v>494000</v>
      </c>
      <c r="E25" s="38">
        <f t="shared" si="0"/>
        <v>-1000</v>
      </c>
      <c r="F25" s="39">
        <f t="shared" si="1"/>
        <v>0.998</v>
      </c>
    </row>
    <row r="26" spans="1:6" ht="31.5" customHeight="1" x14ac:dyDescent="0.2">
      <c r="A26" s="93" t="s">
        <v>146</v>
      </c>
      <c r="B26" s="45" t="s">
        <v>149</v>
      </c>
      <c r="C26" s="31">
        <v>600</v>
      </c>
      <c r="D26" s="13">
        <f>C26-100</f>
        <v>500</v>
      </c>
      <c r="E26" s="38">
        <f t="shared" si="0"/>
        <v>-100</v>
      </c>
      <c r="F26" s="39">
        <f t="shared" si="1"/>
        <v>0.83330000000000004</v>
      </c>
    </row>
    <row r="27" spans="1:6" ht="37.5" x14ac:dyDescent="0.2">
      <c r="A27" s="93" t="s">
        <v>150</v>
      </c>
      <c r="B27" s="45" t="s">
        <v>148</v>
      </c>
      <c r="C27" s="31">
        <v>533</v>
      </c>
      <c r="D27" s="13">
        <f>C27+100</f>
        <v>633</v>
      </c>
      <c r="E27" s="38">
        <f t="shared" si="0"/>
        <v>100</v>
      </c>
      <c r="F27" s="39">
        <f t="shared" si="1"/>
        <v>1.1876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11907</v>
      </c>
      <c r="D32" s="13">
        <f>C32-10-3100</f>
        <v>8797</v>
      </c>
      <c r="E32" s="38">
        <f t="shared" si="0"/>
        <v>-3110</v>
      </c>
      <c r="F32" s="39">
        <f t="shared" si="1"/>
        <v>0.73880000000000001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200</v>
      </c>
      <c r="D34" s="13">
        <f t="shared" si="2"/>
        <v>200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5117</v>
      </c>
      <c r="D35" s="13">
        <f>C35+10+50</f>
        <v>5177</v>
      </c>
      <c r="E35" s="38">
        <f>IF(C35=D35,"-",D35-C35)</f>
        <v>60</v>
      </c>
      <c r="F35" s="39">
        <f>IF(C35=0,"-",D35/C35)</f>
        <v>1.0117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118804</v>
      </c>
      <c r="D37" s="37">
        <f>C37</f>
        <v>118804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39464</v>
      </c>
      <c r="D38" s="37">
        <f>C38</f>
        <v>39464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701680</v>
      </c>
      <c r="D40" s="32">
        <f>D11+D13+D24+D30</f>
        <v>695850</v>
      </c>
      <c r="E40" s="7">
        <f t="shared" si="0"/>
        <v>-5830</v>
      </c>
      <c r="F40" s="40">
        <f t="shared" si="1"/>
        <v>0.99170000000000003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33024</v>
      </c>
      <c r="D41" s="71">
        <f>D42+D43+D44+D52+D54+D60+D61+D59</f>
        <v>33024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1660</v>
      </c>
      <c r="D42" s="33">
        <f>C42</f>
        <v>1660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5217</v>
      </c>
      <c r="D43" s="33">
        <f t="shared" ref="D43:D61" si="3">C43</f>
        <v>5217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302</v>
      </c>
      <c r="D44" s="33">
        <f>D45+D47+D48+D49+D50+D51</f>
        <v>302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82</v>
      </c>
      <c r="D45" s="33">
        <f t="shared" si="3"/>
        <v>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82</v>
      </c>
      <c r="D46" s="33">
        <f t="shared" si="3"/>
        <v>82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30</v>
      </c>
      <c r="D47" s="33">
        <f t="shared" si="3"/>
        <v>30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180</v>
      </c>
      <c r="D50" s="33">
        <f t="shared" si="3"/>
        <v>180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10</v>
      </c>
      <c r="D51" s="33">
        <f t="shared" si="3"/>
        <v>10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15812</v>
      </c>
      <c r="D52" s="33">
        <f t="shared" si="3"/>
        <v>15812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3545</v>
      </c>
      <c r="D54" s="29">
        <f>D55+D56+D57+D58</f>
        <v>3545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2647</v>
      </c>
      <c r="D55" s="33">
        <f t="shared" si="3"/>
        <v>2647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306</v>
      </c>
      <c r="D56" s="33">
        <f t="shared" si="3"/>
        <v>306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592</v>
      </c>
      <c r="D58" s="33">
        <f t="shared" si="3"/>
        <v>592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6070</v>
      </c>
      <c r="D60" s="33">
        <f t="shared" si="3"/>
        <v>6070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418</v>
      </c>
      <c r="D61" s="33">
        <f t="shared" si="3"/>
        <v>418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24225</v>
      </c>
      <c r="D62" s="87">
        <f>D63+D64+D65+D66</f>
        <v>24225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13990</v>
      </c>
      <c r="D64" s="33">
        <f>C64</f>
        <v>13990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10235</v>
      </c>
      <c r="D66" s="33">
        <f>C66</f>
        <v>10235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6900</v>
      </c>
      <c r="D67" s="87">
        <f>C67</f>
        <v>6900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7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61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4541397</v>
      </c>
      <c r="D6" s="83">
        <f>D7+D8+D9+D14+D15+D16+D17+D18+D19+D20+D21+D22+D23+D24+D28+D29+D31+D32+D33+D34+D35</f>
        <v>4541397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568716</v>
      </c>
      <c r="D7" s="13">
        <f>C7</f>
        <v>568716</v>
      </c>
      <c r="E7" s="38" t="str">
        <f t="shared" ref="E7:E67" si="0">IF(C7=D7,"-",D7-C7)</f>
        <v>-</v>
      </c>
      <c r="F7" s="39">
        <f t="shared" ref="F7:F67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v>226394</v>
      </c>
      <c r="D8" s="13">
        <f>C8-300</f>
        <v>226094</v>
      </c>
      <c r="E8" s="38">
        <f t="shared" si="0"/>
        <v>-300</v>
      </c>
      <c r="F8" s="39">
        <f t="shared" si="1"/>
        <v>0.99870000000000003</v>
      </c>
    </row>
    <row r="9" spans="1:6" ht="33" customHeight="1" x14ac:dyDescent="0.2">
      <c r="A9" s="92" t="s">
        <v>3</v>
      </c>
      <c r="B9" s="14" t="s">
        <v>114</v>
      </c>
      <c r="C9" s="31">
        <v>2444619</v>
      </c>
      <c r="D9" s="13">
        <f>C9+20800</f>
        <v>2465419</v>
      </c>
      <c r="E9" s="38">
        <f t="shared" si="0"/>
        <v>20800</v>
      </c>
      <c r="F9" s="39">
        <f t="shared" si="1"/>
        <v>1.0085</v>
      </c>
    </row>
    <row r="10" spans="1:6" ht="31.5" customHeight="1" x14ac:dyDescent="0.2">
      <c r="A10" s="93" t="s">
        <v>54</v>
      </c>
      <c r="B10" s="45" t="s">
        <v>198</v>
      </c>
      <c r="C10" s="31">
        <v>194078</v>
      </c>
      <c r="D10" s="13">
        <f>C10+3900</f>
        <v>197978</v>
      </c>
      <c r="E10" s="38">
        <f t="shared" si="0"/>
        <v>3900</v>
      </c>
      <c r="F10" s="39">
        <f t="shared" si="1"/>
        <v>1.0201</v>
      </c>
    </row>
    <row r="11" spans="1:6" ht="31.5" customHeight="1" x14ac:dyDescent="0.2">
      <c r="A11" s="93" t="s">
        <v>139</v>
      </c>
      <c r="B11" s="45" t="s">
        <v>142</v>
      </c>
      <c r="C11" s="31">
        <v>174376</v>
      </c>
      <c r="D11" s="13">
        <f>C11+3000</f>
        <v>177376</v>
      </c>
      <c r="E11" s="38">
        <f t="shared" si="0"/>
        <v>3000</v>
      </c>
      <c r="F11" s="39">
        <f t="shared" si="1"/>
        <v>1.0172000000000001</v>
      </c>
    </row>
    <row r="12" spans="1:6" ht="31.5" customHeight="1" x14ac:dyDescent="0.2">
      <c r="A12" s="93" t="s">
        <v>140</v>
      </c>
      <c r="B12" s="45" t="s">
        <v>143</v>
      </c>
      <c r="C12" s="31">
        <v>98085</v>
      </c>
      <c r="D12" s="13">
        <f>C12-1110</f>
        <v>96975</v>
      </c>
      <c r="E12" s="38">
        <f t="shared" si="0"/>
        <v>-1110</v>
      </c>
      <c r="F12" s="39">
        <f t="shared" si="1"/>
        <v>0.98870000000000002</v>
      </c>
    </row>
    <row r="13" spans="1:6" ht="31.5" customHeight="1" x14ac:dyDescent="0.2">
      <c r="A13" s="93" t="s">
        <v>141</v>
      </c>
      <c r="B13" s="45" t="s">
        <v>144</v>
      </c>
      <c r="C13" s="31">
        <v>44319</v>
      </c>
      <c r="D13" s="13">
        <f>C13-1000</f>
        <v>43319</v>
      </c>
      <c r="E13" s="38">
        <f t="shared" si="0"/>
        <v>-1000</v>
      </c>
      <c r="F13" s="39">
        <f t="shared" si="1"/>
        <v>0.97740000000000005</v>
      </c>
    </row>
    <row r="14" spans="1:6" ht="33" customHeight="1" x14ac:dyDescent="0.2">
      <c r="A14" s="92" t="s">
        <v>4</v>
      </c>
      <c r="B14" s="14" t="s">
        <v>122</v>
      </c>
      <c r="C14" s="31">
        <v>176108</v>
      </c>
      <c r="D14" s="13">
        <f>C14-2700</f>
        <v>173408</v>
      </c>
      <c r="E14" s="38">
        <f t="shared" si="0"/>
        <v>-2700</v>
      </c>
      <c r="F14" s="39">
        <f t="shared" si="1"/>
        <v>0.98470000000000002</v>
      </c>
    </row>
    <row r="15" spans="1:6" ht="33" customHeight="1" x14ac:dyDescent="0.2">
      <c r="A15" s="92" t="s">
        <v>5</v>
      </c>
      <c r="B15" s="14" t="s">
        <v>118</v>
      </c>
      <c r="C15" s="31">
        <v>132500</v>
      </c>
      <c r="D15" s="13">
        <f>C15-1850</f>
        <v>130650</v>
      </c>
      <c r="E15" s="38">
        <f t="shared" si="0"/>
        <v>-1850</v>
      </c>
      <c r="F15" s="39">
        <f t="shared" si="1"/>
        <v>0.98599999999999999</v>
      </c>
    </row>
    <row r="16" spans="1:6" ht="33" customHeight="1" x14ac:dyDescent="0.2">
      <c r="A16" s="92" t="s">
        <v>6</v>
      </c>
      <c r="B16" s="14" t="s">
        <v>124</v>
      </c>
      <c r="C16" s="31">
        <v>92730</v>
      </c>
      <c r="D16" s="13">
        <f>C16-400</f>
        <v>92330</v>
      </c>
      <c r="E16" s="38">
        <f t="shared" si="0"/>
        <v>-400</v>
      </c>
      <c r="F16" s="39">
        <f t="shared" si="1"/>
        <v>0.99570000000000003</v>
      </c>
    </row>
    <row r="17" spans="1:6" ht="33" customHeight="1" x14ac:dyDescent="0.2">
      <c r="A17" s="92" t="s">
        <v>7</v>
      </c>
      <c r="B17" s="14" t="s">
        <v>123</v>
      </c>
      <c r="C17" s="31">
        <v>32413</v>
      </c>
      <c r="D17" s="13">
        <f>C17-300</f>
        <v>32113</v>
      </c>
      <c r="E17" s="38">
        <f t="shared" si="0"/>
        <v>-300</v>
      </c>
      <c r="F17" s="39">
        <f t="shared" si="1"/>
        <v>0.99070000000000003</v>
      </c>
    </row>
    <row r="18" spans="1:6" ht="33" customHeight="1" x14ac:dyDescent="0.2">
      <c r="A18" s="92" t="s">
        <v>8</v>
      </c>
      <c r="B18" s="14" t="s">
        <v>119</v>
      </c>
      <c r="C18" s="31">
        <v>129071</v>
      </c>
      <c r="D18" s="13">
        <f>C18-4650</f>
        <v>124421</v>
      </c>
      <c r="E18" s="38">
        <f t="shared" si="0"/>
        <v>-4650</v>
      </c>
      <c r="F18" s="39">
        <f t="shared" si="1"/>
        <v>0.96399999999999997</v>
      </c>
    </row>
    <row r="19" spans="1:6" ht="33" customHeight="1" x14ac:dyDescent="0.2">
      <c r="A19" s="92" t="s">
        <v>9</v>
      </c>
      <c r="B19" s="14" t="s">
        <v>120</v>
      </c>
      <c r="C19" s="31">
        <v>43470</v>
      </c>
      <c r="D19" s="13">
        <f>C19-300</f>
        <v>43170</v>
      </c>
      <c r="E19" s="38">
        <f t="shared" si="0"/>
        <v>-300</v>
      </c>
      <c r="F19" s="39">
        <f t="shared" si="1"/>
        <v>0.99309999999999998</v>
      </c>
    </row>
    <row r="20" spans="1:6" ht="33" customHeight="1" x14ac:dyDescent="0.2">
      <c r="A20" s="92" t="s">
        <v>10</v>
      </c>
      <c r="B20" s="14" t="s">
        <v>125</v>
      </c>
      <c r="C20" s="31">
        <v>3513</v>
      </c>
      <c r="D20" s="13">
        <f>C20-350</f>
        <v>3163</v>
      </c>
      <c r="E20" s="38">
        <f t="shared" si="0"/>
        <v>-350</v>
      </c>
      <c r="F20" s="39">
        <f t="shared" si="1"/>
        <v>0.90039999999999998</v>
      </c>
    </row>
    <row r="21" spans="1:6" ht="46.5" customHeight="1" x14ac:dyDescent="0.2">
      <c r="A21" s="92" t="s">
        <v>11</v>
      </c>
      <c r="B21" s="14" t="s">
        <v>121</v>
      </c>
      <c r="C21" s="31">
        <v>10300</v>
      </c>
      <c r="D21" s="13">
        <f>C21-1700</f>
        <v>8600</v>
      </c>
      <c r="E21" s="38">
        <f t="shared" si="0"/>
        <v>-1700</v>
      </c>
      <c r="F21" s="39">
        <f t="shared" si="1"/>
        <v>0.83499999999999996</v>
      </c>
    </row>
    <row r="22" spans="1:6" ht="33" customHeight="1" x14ac:dyDescent="0.2">
      <c r="A22" s="92" t="s">
        <v>12</v>
      </c>
      <c r="B22" s="14" t="s">
        <v>161</v>
      </c>
      <c r="C22" s="31">
        <v>126238</v>
      </c>
      <c r="D22" s="13">
        <f>C22-1250</f>
        <v>124988</v>
      </c>
      <c r="E22" s="38">
        <f t="shared" si="0"/>
        <v>-1250</v>
      </c>
      <c r="F22" s="39">
        <f t="shared" si="1"/>
        <v>0.99009999999999998</v>
      </c>
    </row>
    <row r="23" spans="1:6" ht="33" customHeight="1" x14ac:dyDescent="0.2">
      <c r="A23" s="92" t="s">
        <v>13</v>
      </c>
      <c r="B23" s="14" t="s">
        <v>145</v>
      </c>
      <c r="C23" s="31">
        <v>61077</v>
      </c>
      <c r="D23" s="13">
        <f>C23-1800</f>
        <v>59277</v>
      </c>
      <c r="E23" s="38">
        <f t="shared" si="0"/>
        <v>-1800</v>
      </c>
      <c r="F23" s="39">
        <f t="shared" si="1"/>
        <v>0.97050000000000003</v>
      </c>
    </row>
    <row r="24" spans="1:6" ht="33" customHeight="1" x14ac:dyDescent="0.2">
      <c r="A24" s="94" t="s">
        <v>14</v>
      </c>
      <c r="B24" s="30" t="s">
        <v>177</v>
      </c>
      <c r="C24" s="31">
        <v>473388</v>
      </c>
      <c r="D24" s="13">
        <f>C24-2000</f>
        <v>471388</v>
      </c>
      <c r="E24" s="38">
        <f t="shared" si="0"/>
        <v>-2000</v>
      </c>
      <c r="F24" s="39">
        <f t="shared" si="1"/>
        <v>0.99580000000000002</v>
      </c>
    </row>
    <row r="25" spans="1:6" ht="37.5" x14ac:dyDescent="0.2">
      <c r="A25" s="93" t="s">
        <v>126</v>
      </c>
      <c r="B25" s="45" t="s">
        <v>147</v>
      </c>
      <c r="C25" s="31">
        <v>470488</v>
      </c>
      <c r="D25" s="13">
        <f>C25-300</f>
        <v>470188</v>
      </c>
      <c r="E25" s="38">
        <f t="shared" si="0"/>
        <v>-300</v>
      </c>
      <c r="F25" s="39">
        <f t="shared" si="1"/>
        <v>0.99939999999999996</v>
      </c>
    </row>
    <row r="26" spans="1:6" ht="31.5" customHeight="1" x14ac:dyDescent="0.2">
      <c r="A26" s="93" t="s">
        <v>146</v>
      </c>
      <c r="B26" s="45" t="s">
        <v>149</v>
      </c>
      <c r="C26" s="31">
        <v>2200</v>
      </c>
      <c r="D26" s="13">
        <f>C26-1700</f>
        <v>500</v>
      </c>
      <c r="E26" s="38">
        <f t="shared" si="0"/>
        <v>-1700</v>
      </c>
      <c r="F26" s="39">
        <f t="shared" si="1"/>
        <v>0.2273</v>
      </c>
    </row>
    <row r="27" spans="1:6" ht="37.5" x14ac:dyDescent="0.2">
      <c r="A27" s="93" t="s">
        <v>150</v>
      </c>
      <c r="B27" s="45" t="s">
        <v>148</v>
      </c>
      <c r="C27" s="31">
        <v>700</v>
      </c>
      <c r="D27" s="13">
        <f t="shared" ref="D27:D31" si="2">C27</f>
        <v>700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15968</v>
      </c>
      <c r="D32" s="13">
        <f>C32-3100</f>
        <v>12868</v>
      </c>
      <c r="E32" s="38">
        <f t="shared" si="0"/>
        <v>-3100</v>
      </c>
      <c r="F32" s="39">
        <f t="shared" si="1"/>
        <v>0.80589999999999995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>C33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600</v>
      </c>
      <c r="D34" s="13">
        <f>C34-250</f>
        <v>350</v>
      </c>
      <c r="E34" s="38">
        <f>IF(C34=D34,"-",D34-C34)</f>
        <v>-250</v>
      </c>
      <c r="F34" s="39">
        <f>IF(C34=0,"-",D34/C34)</f>
        <v>0.58330000000000004</v>
      </c>
    </row>
    <row r="35" spans="1:6" ht="53.25" customHeight="1" x14ac:dyDescent="0.2">
      <c r="A35" s="95" t="s">
        <v>195</v>
      </c>
      <c r="B35" s="16" t="s">
        <v>196</v>
      </c>
      <c r="C35" s="31">
        <v>4292</v>
      </c>
      <c r="D35" s="13">
        <f>C35+150</f>
        <v>4442</v>
      </c>
      <c r="E35" s="38">
        <f>IF(C35=D35,"-",D35-C35)</f>
        <v>150</v>
      </c>
      <c r="F35" s="39">
        <f>IF(C35=0,"-",D35/C35)</f>
        <v>1.0348999999999999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125613</v>
      </c>
      <c r="D37" s="37">
        <f>C37</f>
        <v>125613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37067</v>
      </c>
      <c r="D38" s="37">
        <f>C38</f>
        <v>37067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692083</v>
      </c>
      <c r="D40" s="32">
        <f>D11+D13+D24+D30</f>
        <v>692083</v>
      </c>
      <c r="E40" s="7" t="str">
        <f t="shared" si="0"/>
        <v>-</v>
      </c>
      <c r="F40" s="40">
        <f t="shared" si="1"/>
        <v>1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26319</v>
      </c>
      <c r="D41" s="71">
        <f>D42+D43+D44+D52+D54+D60+D61+D59</f>
        <v>26319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1103</v>
      </c>
      <c r="D42" s="33">
        <f>C42</f>
        <v>1103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3242</v>
      </c>
      <c r="D43" s="33">
        <f t="shared" ref="D43:D61" si="3">C43</f>
        <v>3242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236</v>
      </c>
      <c r="D44" s="33">
        <f>D45+D47+D48+D49+D50+D51</f>
        <v>236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32</v>
      </c>
      <c r="D45" s="33">
        <f t="shared" si="3"/>
        <v>32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32</v>
      </c>
      <c r="D46" s="33">
        <f t="shared" si="3"/>
        <v>32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190</v>
      </c>
      <c r="D50" s="33">
        <f t="shared" si="3"/>
        <v>190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14</v>
      </c>
      <c r="D51" s="33">
        <f t="shared" si="3"/>
        <v>14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16499</v>
      </c>
      <c r="D52" s="33">
        <f t="shared" si="3"/>
        <v>16499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144</v>
      </c>
      <c r="D53" s="33">
        <f t="shared" si="3"/>
        <v>144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3699</v>
      </c>
      <c r="D54" s="29">
        <f>D55+D56+D57+D58</f>
        <v>3699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2834</v>
      </c>
      <c r="D55" s="33">
        <f t="shared" si="3"/>
        <v>2834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405</v>
      </c>
      <c r="D56" s="33">
        <f t="shared" si="3"/>
        <v>405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460</v>
      </c>
      <c r="D58" s="33">
        <f t="shared" si="3"/>
        <v>460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1306</v>
      </c>
      <c r="D60" s="33">
        <f t="shared" si="3"/>
        <v>1306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234</v>
      </c>
      <c r="D61" s="33">
        <f t="shared" si="3"/>
        <v>234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9538</v>
      </c>
      <c r="D62" s="87">
        <f>D63+D64+D65+D66</f>
        <v>9538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5000</v>
      </c>
      <c r="D64" s="33">
        <f>C64</f>
        <v>5000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4538</v>
      </c>
      <c r="D66" s="33">
        <f>C66</f>
        <v>4538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500</v>
      </c>
      <c r="D67" s="87">
        <f>C67</f>
        <v>500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55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62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2070157</v>
      </c>
      <c r="D6" s="83">
        <f>D7+D8+D9+D14+D15+D16+D17+D18+D19+D20+D21+D22+D23+D24+D28+D29+D31+D32+D33+D34+D35</f>
        <v>2070157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289753</v>
      </c>
      <c r="D7" s="13">
        <f>C7+100</f>
        <v>289853</v>
      </c>
      <c r="E7" s="38">
        <f t="shared" ref="E7:E67" si="0">IF(C7=D7,"-",D7-C7)</f>
        <v>100</v>
      </c>
      <c r="F7" s="39">
        <f t="shared" ref="F7:F67" si="1">IF(C7=0,"-",D7/C7)</f>
        <v>1.0003</v>
      </c>
    </row>
    <row r="8" spans="1:6" ht="33" customHeight="1" x14ac:dyDescent="0.2">
      <c r="A8" s="92" t="s">
        <v>2</v>
      </c>
      <c r="B8" s="14" t="s">
        <v>117</v>
      </c>
      <c r="C8" s="31">
        <v>125370</v>
      </c>
      <c r="D8" s="13">
        <f>C8-1100</f>
        <v>124270</v>
      </c>
      <c r="E8" s="38">
        <f t="shared" si="0"/>
        <v>-1100</v>
      </c>
      <c r="F8" s="39">
        <f t="shared" si="1"/>
        <v>0.99119999999999997</v>
      </c>
    </row>
    <row r="9" spans="1:6" ht="33" customHeight="1" x14ac:dyDescent="0.2">
      <c r="A9" s="92" t="s">
        <v>3</v>
      </c>
      <c r="B9" s="14" t="s">
        <v>114</v>
      </c>
      <c r="C9" s="31">
        <v>1061679</v>
      </c>
      <c r="D9" s="13">
        <f>C9-170</f>
        <v>1061509</v>
      </c>
      <c r="E9" s="38">
        <f t="shared" si="0"/>
        <v>-170</v>
      </c>
      <c r="F9" s="39">
        <f t="shared" si="1"/>
        <v>0.99980000000000002</v>
      </c>
    </row>
    <row r="10" spans="1:6" ht="31.5" customHeight="1" x14ac:dyDescent="0.2">
      <c r="A10" s="93" t="s">
        <v>54</v>
      </c>
      <c r="B10" s="45" t="s">
        <v>198</v>
      </c>
      <c r="C10" s="31">
        <v>86130</v>
      </c>
      <c r="D10" s="13">
        <f>C10-500</f>
        <v>85630</v>
      </c>
      <c r="E10" s="38">
        <f t="shared" si="0"/>
        <v>-500</v>
      </c>
      <c r="F10" s="39">
        <f t="shared" si="1"/>
        <v>0.99419999999999997</v>
      </c>
    </row>
    <row r="11" spans="1:6" ht="31.5" customHeight="1" x14ac:dyDescent="0.2">
      <c r="A11" s="93" t="s">
        <v>139</v>
      </c>
      <c r="B11" s="45" t="s">
        <v>142</v>
      </c>
      <c r="C11" s="31">
        <v>78007</v>
      </c>
      <c r="D11" s="13">
        <f>C11-700</f>
        <v>77307</v>
      </c>
      <c r="E11" s="38">
        <f t="shared" si="0"/>
        <v>-700</v>
      </c>
      <c r="F11" s="39">
        <f t="shared" si="1"/>
        <v>0.99099999999999999</v>
      </c>
    </row>
    <row r="12" spans="1:6" ht="31.5" customHeight="1" x14ac:dyDescent="0.2">
      <c r="A12" s="93" t="s">
        <v>140</v>
      </c>
      <c r="B12" s="45" t="s">
        <v>143</v>
      </c>
      <c r="C12" s="31">
        <v>39491</v>
      </c>
      <c r="D12" s="13">
        <f>C12-420</f>
        <v>39071</v>
      </c>
      <c r="E12" s="38">
        <f t="shared" si="0"/>
        <v>-420</v>
      </c>
      <c r="F12" s="39">
        <f t="shared" si="1"/>
        <v>0.98939999999999995</v>
      </c>
    </row>
    <row r="13" spans="1:6" ht="31.5" customHeight="1" x14ac:dyDescent="0.2">
      <c r="A13" s="93" t="s">
        <v>141</v>
      </c>
      <c r="B13" s="45" t="s">
        <v>144</v>
      </c>
      <c r="C13" s="31">
        <v>15940</v>
      </c>
      <c r="D13" s="13">
        <f>C13-330</f>
        <v>15610</v>
      </c>
      <c r="E13" s="38">
        <f t="shared" si="0"/>
        <v>-330</v>
      </c>
      <c r="F13" s="39">
        <f t="shared" si="1"/>
        <v>0.97929999999999995</v>
      </c>
    </row>
    <row r="14" spans="1:6" ht="33" customHeight="1" x14ac:dyDescent="0.2">
      <c r="A14" s="92" t="s">
        <v>4</v>
      </c>
      <c r="B14" s="14" t="s">
        <v>122</v>
      </c>
      <c r="C14" s="31">
        <v>102185</v>
      </c>
      <c r="D14" s="13">
        <f t="shared" ref="D14:D34" si="2">C14</f>
        <v>102185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v>63536</v>
      </c>
      <c r="D15" s="13">
        <f>C15-500</f>
        <v>63036</v>
      </c>
      <c r="E15" s="38">
        <f t="shared" si="0"/>
        <v>-500</v>
      </c>
      <c r="F15" s="39">
        <f t="shared" si="1"/>
        <v>0.99209999999999998</v>
      </c>
    </row>
    <row r="16" spans="1:6" ht="33" customHeight="1" x14ac:dyDescent="0.2">
      <c r="A16" s="92" t="s">
        <v>6</v>
      </c>
      <c r="B16" s="14" t="s">
        <v>124</v>
      </c>
      <c r="C16" s="31">
        <v>37769</v>
      </c>
      <c r="D16" s="13">
        <f>C16-50</f>
        <v>37719</v>
      </c>
      <c r="E16" s="38">
        <f t="shared" si="0"/>
        <v>-50</v>
      </c>
      <c r="F16" s="39">
        <f t="shared" si="1"/>
        <v>0.99870000000000003</v>
      </c>
    </row>
    <row r="17" spans="1:6" ht="33" customHeight="1" x14ac:dyDescent="0.2">
      <c r="A17" s="92" t="s">
        <v>7</v>
      </c>
      <c r="B17" s="14" t="s">
        <v>123</v>
      </c>
      <c r="C17" s="31">
        <v>19392</v>
      </c>
      <c r="D17" s="13">
        <f t="shared" si="2"/>
        <v>19392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40480</v>
      </c>
      <c r="D18" s="13">
        <f>C18-100</f>
        <v>40380</v>
      </c>
      <c r="E18" s="38">
        <f t="shared" si="0"/>
        <v>-100</v>
      </c>
      <c r="F18" s="39">
        <f t="shared" si="1"/>
        <v>0.99750000000000005</v>
      </c>
    </row>
    <row r="19" spans="1:6" ht="33" customHeight="1" x14ac:dyDescent="0.2">
      <c r="A19" s="92" t="s">
        <v>9</v>
      </c>
      <c r="B19" s="14" t="s">
        <v>120</v>
      </c>
      <c r="C19" s="31">
        <v>14400</v>
      </c>
      <c r="D19" s="13">
        <f>C19-300</f>
        <v>14100</v>
      </c>
      <c r="E19" s="38">
        <f t="shared" si="0"/>
        <v>-300</v>
      </c>
      <c r="F19" s="39">
        <f t="shared" si="1"/>
        <v>0.97919999999999996</v>
      </c>
    </row>
    <row r="20" spans="1:6" ht="33" customHeight="1" x14ac:dyDescent="0.2">
      <c r="A20" s="92" t="s">
        <v>10</v>
      </c>
      <c r="B20" s="14" t="s">
        <v>125</v>
      </c>
      <c r="C20" s="31">
        <v>1843</v>
      </c>
      <c r="D20" s="13">
        <f t="shared" si="2"/>
        <v>1843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v>6281</v>
      </c>
      <c r="D21" s="13">
        <f t="shared" si="2"/>
        <v>6281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60379</v>
      </c>
      <c r="D22" s="13">
        <f>C22-1500</f>
        <v>58879</v>
      </c>
      <c r="E22" s="38">
        <f t="shared" si="0"/>
        <v>-1500</v>
      </c>
      <c r="F22" s="39">
        <f t="shared" si="1"/>
        <v>0.97519999999999996</v>
      </c>
    </row>
    <row r="23" spans="1:6" ht="33" customHeight="1" x14ac:dyDescent="0.2">
      <c r="A23" s="92" t="s">
        <v>13</v>
      </c>
      <c r="B23" s="14" t="s">
        <v>145</v>
      </c>
      <c r="C23" s="31">
        <v>29354</v>
      </c>
      <c r="D23" s="13">
        <f t="shared" si="2"/>
        <v>29354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206550</v>
      </c>
      <c r="D24" s="13">
        <f>C24+3500</f>
        <v>210050</v>
      </c>
      <c r="E24" s="38">
        <f t="shared" si="0"/>
        <v>3500</v>
      </c>
      <c r="F24" s="39">
        <f t="shared" si="1"/>
        <v>1.0168999999999999</v>
      </c>
    </row>
    <row r="25" spans="1:6" ht="37.5" x14ac:dyDescent="0.2">
      <c r="A25" s="93" t="s">
        <v>126</v>
      </c>
      <c r="B25" s="45" t="s">
        <v>147</v>
      </c>
      <c r="C25" s="31">
        <v>206000</v>
      </c>
      <c r="D25" s="13">
        <f>C25+3500</f>
        <v>209500</v>
      </c>
      <c r="E25" s="38">
        <f t="shared" si="0"/>
        <v>3500</v>
      </c>
      <c r="F25" s="39">
        <f t="shared" si="1"/>
        <v>1.0169999999999999</v>
      </c>
    </row>
    <row r="26" spans="1:6" ht="31.5" customHeight="1" x14ac:dyDescent="0.2">
      <c r="A26" s="93" t="s">
        <v>146</v>
      </c>
      <c r="B26" s="45" t="s">
        <v>149</v>
      </c>
      <c r="C26" s="31"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7413</v>
      </c>
      <c r="D32" s="13">
        <f>C32+120</f>
        <v>7533</v>
      </c>
      <c r="E32" s="38">
        <f t="shared" si="0"/>
        <v>120</v>
      </c>
      <c r="F32" s="39">
        <f t="shared" si="1"/>
        <v>1.0162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210</v>
      </c>
      <c r="D34" s="13">
        <f t="shared" si="2"/>
        <v>210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3563</v>
      </c>
      <c r="D35" s="13">
        <f>C35</f>
        <v>3563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71041</v>
      </c>
      <c r="D37" s="37">
        <f>C37</f>
        <v>71041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15603</v>
      </c>
      <c r="D38" s="37">
        <f>C38</f>
        <v>15603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300497</v>
      </c>
      <c r="D40" s="32">
        <f>D11+D13+D24+D30</f>
        <v>302967</v>
      </c>
      <c r="E40" s="7">
        <f t="shared" si="0"/>
        <v>2470</v>
      </c>
      <c r="F40" s="40">
        <f t="shared" si="1"/>
        <v>1.0082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17681</v>
      </c>
      <c r="D41" s="71">
        <f>D42+D43+D44+D52+D54+D60+D61+D59</f>
        <v>17681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829</v>
      </c>
      <c r="D42" s="33">
        <f>C42</f>
        <v>829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2173</v>
      </c>
      <c r="D43" s="33">
        <f t="shared" ref="D43:D61" si="3">C43</f>
        <v>2173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80</v>
      </c>
      <c r="D44" s="33">
        <f>D45+D47+D48+D49+D50+D51</f>
        <v>80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15</v>
      </c>
      <c r="D45" s="33">
        <f t="shared" si="3"/>
        <v>15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15</v>
      </c>
      <c r="D46" s="33">
        <f t="shared" si="3"/>
        <v>15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41</v>
      </c>
      <c r="D50" s="33">
        <f t="shared" si="3"/>
        <v>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9524</v>
      </c>
      <c r="D52" s="33">
        <f t="shared" si="3"/>
        <v>9524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0</v>
      </c>
      <c r="D53" s="33">
        <f t="shared" si="3"/>
        <v>0</v>
      </c>
      <c r="E53" s="38" t="str">
        <f t="shared" si="0"/>
        <v>-</v>
      </c>
      <c r="F53" s="39" t="str">
        <f t="shared" si="1"/>
        <v>-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2191</v>
      </c>
      <c r="D54" s="29">
        <f>D55+D56+D57+D58</f>
        <v>2191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1634</v>
      </c>
      <c r="D55" s="33">
        <f t="shared" si="3"/>
        <v>1634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233</v>
      </c>
      <c r="D56" s="33">
        <f t="shared" si="3"/>
        <v>233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324</v>
      </c>
      <c r="D58" s="33">
        <f t="shared" si="3"/>
        <v>324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2600</v>
      </c>
      <c r="D60" s="33">
        <f t="shared" si="3"/>
        <v>2600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284</v>
      </c>
      <c r="D61" s="33">
        <f t="shared" si="3"/>
        <v>284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7443</v>
      </c>
      <c r="D62" s="87">
        <f>D63+D64+D65+D66</f>
        <v>7443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4775</v>
      </c>
      <c r="D64" s="33">
        <f>C64</f>
        <v>4775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2668</v>
      </c>
      <c r="D66" s="33">
        <f>C66</f>
        <v>2668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2878</v>
      </c>
      <c r="D67" s="87">
        <f>C67</f>
        <v>2878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88"/>
  <sheetViews>
    <sheetView showGridLines="0" view="pageBreakPreview" zoomScale="55" zoomScaleNormal="70" zoomScaleSheetLayoutView="55" workbookViewId="0">
      <pane xSplit="2" ySplit="6" topLeftCell="C46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63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5533767</v>
      </c>
      <c r="D6" s="83">
        <f>D7+D8+D9+D14+D15+D16+D17+D18+D19+D20+D21+D22+D23+D24+D28+D29+D31+D32+D33+D34+D35</f>
        <v>5533767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739226</v>
      </c>
      <c r="D7" s="13">
        <f>C7+1800</f>
        <v>741026</v>
      </c>
      <c r="E7" s="38">
        <f t="shared" ref="E7:E67" si="0">IF(C7=D7,"-",D7-C7)</f>
        <v>1800</v>
      </c>
      <c r="F7" s="39">
        <f t="shared" ref="F7:F67" si="1">IF(C7=0,"-",D7/C7)</f>
        <v>1.0024</v>
      </c>
    </row>
    <row r="8" spans="1:6" ht="33" customHeight="1" x14ac:dyDescent="0.2">
      <c r="A8" s="92" t="s">
        <v>2</v>
      </c>
      <c r="B8" s="14" t="s">
        <v>117</v>
      </c>
      <c r="C8" s="31">
        <v>285131</v>
      </c>
      <c r="D8" s="13">
        <f>C8-2500</f>
        <v>282631</v>
      </c>
      <c r="E8" s="38">
        <f t="shared" si="0"/>
        <v>-2500</v>
      </c>
      <c r="F8" s="39">
        <f t="shared" si="1"/>
        <v>0.99119999999999997</v>
      </c>
    </row>
    <row r="9" spans="1:6" ht="33" customHeight="1" x14ac:dyDescent="0.2">
      <c r="A9" s="92" t="s">
        <v>3</v>
      </c>
      <c r="B9" s="14" t="s">
        <v>114</v>
      </c>
      <c r="C9" s="31">
        <v>2991568</v>
      </c>
      <c r="D9" s="13">
        <f>C9-7715</f>
        <v>2983853</v>
      </c>
      <c r="E9" s="38">
        <f t="shared" si="0"/>
        <v>-7715</v>
      </c>
      <c r="F9" s="39">
        <f t="shared" si="1"/>
        <v>0.99739999999999995</v>
      </c>
    </row>
    <row r="10" spans="1:6" ht="31.5" customHeight="1" x14ac:dyDescent="0.2">
      <c r="A10" s="93" t="s">
        <v>54</v>
      </c>
      <c r="B10" s="45" t="s">
        <v>198</v>
      </c>
      <c r="C10" s="31">
        <v>279847</v>
      </c>
      <c r="D10" s="13">
        <f>C10-1400</f>
        <v>278447</v>
      </c>
      <c r="E10" s="38">
        <f t="shared" si="0"/>
        <v>-1400</v>
      </c>
      <c r="F10" s="39">
        <f t="shared" si="1"/>
        <v>0.995</v>
      </c>
    </row>
    <row r="11" spans="1:6" ht="31.5" customHeight="1" x14ac:dyDescent="0.2">
      <c r="A11" s="93" t="s">
        <v>139</v>
      </c>
      <c r="B11" s="45" t="s">
        <v>142</v>
      </c>
      <c r="C11" s="31">
        <v>251100</v>
      </c>
      <c r="D11" s="13">
        <f>C11-2610</f>
        <v>248490</v>
      </c>
      <c r="E11" s="38">
        <f t="shared" si="0"/>
        <v>-2610</v>
      </c>
      <c r="F11" s="39">
        <f t="shared" si="1"/>
        <v>0.98960000000000004</v>
      </c>
    </row>
    <row r="12" spans="1:6" ht="31.5" customHeight="1" x14ac:dyDescent="0.2">
      <c r="A12" s="93" t="s">
        <v>140</v>
      </c>
      <c r="B12" s="45" t="s">
        <v>143</v>
      </c>
      <c r="C12" s="31">
        <v>103342</v>
      </c>
      <c r="D12" s="13">
        <f>C12-3210</f>
        <v>100132</v>
      </c>
      <c r="E12" s="38">
        <f t="shared" si="0"/>
        <v>-3210</v>
      </c>
      <c r="F12" s="39">
        <f t="shared" si="1"/>
        <v>0.96889999999999998</v>
      </c>
    </row>
    <row r="13" spans="1:6" ht="31.5" customHeight="1" x14ac:dyDescent="0.2">
      <c r="A13" s="93" t="s">
        <v>141</v>
      </c>
      <c r="B13" s="45" t="s">
        <v>144</v>
      </c>
      <c r="C13" s="31">
        <v>41885</v>
      </c>
      <c r="D13" s="13">
        <f>C13-1420</f>
        <v>40465</v>
      </c>
      <c r="E13" s="38">
        <f t="shared" si="0"/>
        <v>-1420</v>
      </c>
      <c r="F13" s="39">
        <f t="shared" si="1"/>
        <v>0.96609999999999996</v>
      </c>
    </row>
    <row r="14" spans="1:6" ht="33" customHeight="1" x14ac:dyDescent="0.2">
      <c r="A14" s="92" t="s">
        <v>4</v>
      </c>
      <c r="B14" s="14" t="s">
        <v>122</v>
      </c>
      <c r="C14" s="31">
        <v>189456</v>
      </c>
      <c r="D14" s="13">
        <f>C14-1440</f>
        <v>188016</v>
      </c>
      <c r="E14" s="38">
        <f t="shared" si="0"/>
        <v>-1440</v>
      </c>
      <c r="F14" s="39">
        <f t="shared" si="1"/>
        <v>0.99239999999999995</v>
      </c>
    </row>
    <row r="15" spans="1:6" ht="33" customHeight="1" x14ac:dyDescent="0.2">
      <c r="A15" s="92" t="s">
        <v>5</v>
      </c>
      <c r="B15" s="14" t="s">
        <v>118</v>
      </c>
      <c r="C15" s="31">
        <v>142767</v>
      </c>
      <c r="D15" s="13">
        <f>C15+1740</f>
        <v>144507</v>
      </c>
      <c r="E15" s="38">
        <f t="shared" si="0"/>
        <v>1740</v>
      </c>
      <c r="F15" s="39">
        <f t="shared" si="1"/>
        <v>1.0122</v>
      </c>
    </row>
    <row r="16" spans="1:6" ht="33" customHeight="1" x14ac:dyDescent="0.2">
      <c r="A16" s="92" t="s">
        <v>6</v>
      </c>
      <c r="B16" s="14" t="s">
        <v>124</v>
      </c>
      <c r="C16" s="31">
        <v>82013</v>
      </c>
      <c r="D16" s="13">
        <f>C16-390</f>
        <v>81623</v>
      </c>
      <c r="E16" s="38">
        <f t="shared" si="0"/>
        <v>-390</v>
      </c>
      <c r="F16" s="39">
        <f t="shared" si="1"/>
        <v>0.99519999999999997</v>
      </c>
    </row>
    <row r="17" spans="1:6" ht="33" customHeight="1" x14ac:dyDescent="0.2">
      <c r="A17" s="92" t="s">
        <v>7</v>
      </c>
      <c r="B17" s="14" t="s">
        <v>123</v>
      </c>
      <c r="C17" s="31">
        <v>39411</v>
      </c>
      <c r="D17" s="13">
        <f>C17-220</f>
        <v>39191</v>
      </c>
      <c r="E17" s="38">
        <f t="shared" si="0"/>
        <v>-220</v>
      </c>
      <c r="F17" s="39">
        <f t="shared" si="1"/>
        <v>0.99439999999999995</v>
      </c>
    </row>
    <row r="18" spans="1:6" ht="33" customHeight="1" x14ac:dyDescent="0.2">
      <c r="A18" s="92" t="s">
        <v>8</v>
      </c>
      <c r="B18" s="14" t="s">
        <v>119</v>
      </c>
      <c r="C18" s="31">
        <v>122507</v>
      </c>
      <c r="D18" s="13">
        <f>C18-920</f>
        <v>121587</v>
      </c>
      <c r="E18" s="38">
        <f t="shared" si="0"/>
        <v>-920</v>
      </c>
      <c r="F18" s="39">
        <f t="shared" si="1"/>
        <v>0.99250000000000005</v>
      </c>
    </row>
    <row r="19" spans="1:6" ht="33" customHeight="1" x14ac:dyDescent="0.2">
      <c r="A19" s="92" t="s">
        <v>9</v>
      </c>
      <c r="B19" s="14" t="s">
        <v>120</v>
      </c>
      <c r="C19" s="31">
        <v>44000</v>
      </c>
      <c r="D19" s="13">
        <f>C19-750</f>
        <v>43250</v>
      </c>
      <c r="E19" s="38">
        <f t="shared" si="0"/>
        <v>-750</v>
      </c>
      <c r="F19" s="39">
        <f t="shared" si="1"/>
        <v>0.98299999999999998</v>
      </c>
    </row>
    <row r="20" spans="1:6" ht="33" customHeight="1" x14ac:dyDescent="0.2">
      <c r="A20" s="92" t="s">
        <v>10</v>
      </c>
      <c r="B20" s="14" t="s">
        <v>125</v>
      </c>
      <c r="C20" s="31">
        <v>2506</v>
      </c>
      <c r="D20" s="13">
        <f>C20-100</f>
        <v>2406</v>
      </c>
      <c r="E20" s="38">
        <f t="shared" si="0"/>
        <v>-100</v>
      </c>
      <c r="F20" s="39">
        <f t="shared" si="1"/>
        <v>0.96009999999999995</v>
      </c>
    </row>
    <row r="21" spans="1:6" ht="46.5" customHeight="1" x14ac:dyDescent="0.2">
      <c r="A21" s="92" t="s">
        <v>11</v>
      </c>
      <c r="B21" s="14" t="s">
        <v>121</v>
      </c>
      <c r="C21" s="31">
        <v>12338</v>
      </c>
      <c r="D21" s="13">
        <f>C21-1240</f>
        <v>11098</v>
      </c>
      <c r="E21" s="38">
        <f t="shared" si="0"/>
        <v>-1240</v>
      </c>
      <c r="F21" s="39">
        <f t="shared" si="1"/>
        <v>0.89949999999999997</v>
      </c>
    </row>
    <row r="22" spans="1:6" ht="33" customHeight="1" x14ac:dyDescent="0.2">
      <c r="A22" s="92" t="s">
        <v>12</v>
      </c>
      <c r="B22" s="14" t="s">
        <v>161</v>
      </c>
      <c r="C22" s="31">
        <v>152141</v>
      </c>
      <c r="D22" s="13">
        <f>C22-1970</f>
        <v>150171</v>
      </c>
      <c r="E22" s="38">
        <f t="shared" si="0"/>
        <v>-1970</v>
      </c>
      <c r="F22" s="39">
        <f t="shared" si="1"/>
        <v>0.98709999999999998</v>
      </c>
    </row>
    <row r="23" spans="1:6" ht="33" customHeight="1" x14ac:dyDescent="0.2">
      <c r="A23" s="92" t="s">
        <v>13</v>
      </c>
      <c r="B23" s="14" t="s">
        <v>145</v>
      </c>
      <c r="C23" s="31">
        <v>73554</v>
      </c>
      <c r="D23" s="13">
        <f t="shared" ref="D23:D34" si="2">C23</f>
        <v>73554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v>629230</v>
      </c>
      <c r="D24" s="13">
        <f>C24+13205</f>
        <v>642435</v>
      </c>
      <c r="E24" s="38">
        <f t="shared" si="0"/>
        <v>13205</v>
      </c>
      <c r="F24" s="39">
        <f t="shared" si="1"/>
        <v>1.0209999999999999</v>
      </c>
    </row>
    <row r="25" spans="1:6" ht="37.5" x14ac:dyDescent="0.2">
      <c r="A25" s="93" t="s">
        <v>126</v>
      </c>
      <c r="B25" s="45" t="s">
        <v>147</v>
      </c>
      <c r="C25" s="31">
        <v>628017</v>
      </c>
      <c r="D25" s="13">
        <f>C25+13145</f>
        <v>641162</v>
      </c>
      <c r="E25" s="38">
        <f t="shared" si="0"/>
        <v>13145</v>
      </c>
      <c r="F25" s="39">
        <f t="shared" si="1"/>
        <v>1.0208999999999999</v>
      </c>
    </row>
    <row r="26" spans="1:6" ht="31.5" customHeight="1" x14ac:dyDescent="0.2">
      <c r="A26" s="93" t="s">
        <v>146</v>
      </c>
      <c r="B26" s="45" t="s">
        <v>149</v>
      </c>
      <c r="C26" s="31">
        <v>389</v>
      </c>
      <c r="D26" s="13">
        <f>C26+40</f>
        <v>429</v>
      </c>
      <c r="E26" s="38">
        <f t="shared" si="0"/>
        <v>40</v>
      </c>
      <c r="F26" s="39">
        <f t="shared" si="1"/>
        <v>1.1028</v>
      </c>
    </row>
    <row r="27" spans="1:6" ht="37.5" x14ac:dyDescent="0.2">
      <c r="A27" s="93" t="s">
        <v>150</v>
      </c>
      <c r="B27" s="45" t="s">
        <v>148</v>
      </c>
      <c r="C27" s="31">
        <v>824</v>
      </c>
      <c r="D27" s="13">
        <f>C27+20</f>
        <v>844</v>
      </c>
      <c r="E27" s="38">
        <f t="shared" si="0"/>
        <v>20</v>
      </c>
      <c r="F27" s="39">
        <f t="shared" si="1"/>
        <v>1.0243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15698</v>
      </c>
      <c r="D32" s="13">
        <f>C32+1500</f>
        <v>17198</v>
      </c>
      <c r="E32" s="38">
        <f t="shared" si="0"/>
        <v>1500</v>
      </c>
      <c r="F32" s="39">
        <f t="shared" si="1"/>
        <v>1.0955999999999999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ht="53.25" customHeight="1" x14ac:dyDescent="0.2">
      <c r="A35" s="95" t="s">
        <v>195</v>
      </c>
      <c r="B35" s="16" t="s">
        <v>196</v>
      </c>
      <c r="C35" s="31">
        <v>12221</v>
      </c>
      <c r="D35" s="13">
        <f>C35-1000</f>
        <v>11221</v>
      </c>
      <c r="E35" s="38">
        <f>IF(C35=D35,"-",D35-C35)</f>
        <v>-1000</v>
      </c>
      <c r="F35" s="39">
        <f>IF(C35=0,"-",D35/C35)</f>
        <v>0.91820000000000002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1178</v>
      </c>
      <c r="D36" s="37">
        <f>C36</f>
        <v>1178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132940</v>
      </c>
      <c r="D37" s="37">
        <f>C37</f>
        <v>132940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51779</v>
      </c>
      <c r="D38" s="37">
        <f>C38</f>
        <v>51779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922215</v>
      </c>
      <c r="D40" s="32">
        <f>D11+D13+D24+D30</f>
        <v>931390</v>
      </c>
      <c r="E40" s="7">
        <f t="shared" si="0"/>
        <v>9175</v>
      </c>
      <c r="F40" s="40">
        <f t="shared" si="1"/>
        <v>1.0099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32829</v>
      </c>
      <c r="D41" s="71">
        <f>D42+D43+D44+D52+D54+D60+D61+D59</f>
        <v>32829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1279</v>
      </c>
      <c r="D42" s="33">
        <f>C42</f>
        <v>1279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5394</v>
      </c>
      <c r="D43" s="33">
        <f t="shared" ref="D43:D61" si="3">C43</f>
        <v>5394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273</v>
      </c>
      <c r="D44" s="33">
        <f>D45+D47+D48+D49+D50+D51</f>
        <v>273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11</v>
      </c>
      <c r="D45" s="33">
        <f t="shared" si="3"/>
        <v>11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11</v>
      </c>
      <c r="D46" s="33">
        <f t="shared" si="3"/>
        <v>11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10</v>
      </c>
      <c r="D47" s="33">
        <f t="shared" si="3"/>
        <v>10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248</v>
      </c>
      <c r="D50" s="33">
        <f t="shared" si="3"/>
        <v>248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4</v>
      </c>
      <c r="D51" s="33">
        <f t="shared" si="3"/>
        <v>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19220</v>
      </c>
      <c r="D52" s="33">
        <f t="shared" si="3"/>
        <v>19220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90</v>
      </c>
      <c r="D53" s="33">
        <f t="shared" si="3"/>
        <v>90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4310</v>
      </c>
      <c r="D54" s="29">
        <f>D55+D56+D57+D58</f>
        <v>4310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3300</v>
      </c>
      <c r="D55" s="33">
        <f t="shared" si="3"/>
        <v>3300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471</v>
      </c>
      <c r="D56" s="33">
        <f t="shared" si="3"/>
        <v>471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539</v>
      </c>
      <c r="D58" s="33">
        <f t="shared" si="3"/>
        <v>539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2070</v>
      </c>
      <c r="D60" s="33">
        <f t="shared" si="3"/>
        <v>2070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283</v>
      </c>
      <c r="D61" s="33">
        <f t="shared" si="3"/>
        <v>283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19271</v>
      </c>
      <c r="D62" s="87">
        <f>D63+D64+D65+D66</f>
        <v>19271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14330</v>
      </c>
      <c r="D64" s="33">
        <f>C64</f>
        <v>14330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4941</v>
      </c>
      <c r="D66" s="33">
        <f>C66</f>
        <v>4941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5000</v>
      </c>
      <c r="D67" s="87">
        <f>C67</f>
        <v>5000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88"/>
  <sheetViews>
    <sheetView showGridLines="0" view="pageBreakPreview" zoomScale="55" zoomScaleNormal="70" zoomScaleSheetLayoutView="55" workbookViewId="0">
      <pane xSplit="1" ySplit="6" topLeftCell="B49" activePane="bottomRight" state="frozen"/>
      <selection activeCell="D52" sqref="D52"/>
      <selection pane="topRight" activeCell="D52" sqref="D52"/>
      <selection pane="bottomLeft" activeCell="D52" sqref="D52"/>
      <selection pane="bottomRight" activeCell="D52" sqref="D52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hidden="1" customWidth="1"/>
    <col min="4" max="4" width="26.85546875" style="1" customWidth="1"/>
    <col min="5" max="5" width="25.140625" style="1" hidden="1" customWidth="1"/>
    <col min="6" max="6" width="20.7109375" style="1" hidden="1" customWidth="1"/>
    <col min="7" max="16384" width="9.140625" style="1"/>
  </cols>
  <sheetData>
    <row r="1" spans="1:6" s="20" customFormat="1" ht="46.5" customHeight="1" x14ac:dyDescent="0.2">
      <c r="A1" s="112" t="s">
        <v>204</v>
      </c>
      <c r="B1" s="112"/>
      <c r="C1" s="112"/>
      <c r="D1" s="112"/>
      <c r="E1" s="112"/>
      <c r="F1" s="112"/>
    </row>
    <row r="2" spans="1:6" s="22" customFormat="1" ht="33" customHeight="1" x14ac:dyDescent="0.2">
      <c r="A2" s="54" t="s">
        <v>64</v>
      </c>
      <c r="B2" s="54"/>
      <c r="C2" s="55"/>
    </row>
    <row r="3" spans="1:6" ht="33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30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7064993</v>
      </c>
      <c r="D6" s="83">
        <f>D7+D8+D9+D14+D15+D16+D17+D18+D19+D20+D21+D22+D23+D24+D28+D29+D31+D32+D33+D34+D35</f>
        <v>7064993</v>
      </c>
      <c r="E6" s="68" t="str">
        <f>IF(C6=D6,"-",D6-C6)</f>
        <v>-</v>
      </c>
      <c r="F6" s="84">
        <f>IF(C6=0,"-",D6/C6)</f>
        <v>1</v>
      </c>
    </row>
    <row r="7" spans="1:6" ht="33" customHeight="1" x14ac:dyDescent="0.2">
      <c r="A7" s="92" t="s">
        <v>1</v>
      </c>
      <c r="B7" s="14" t="s">
        <v>116</v>
      </c>
      <c r="C7" s="31">
        <v>1000660</v>
      </c>
      <c r="D7" s="13">
        <f>C7+450</f>
        <v>1001110</v>
      </c>
      <c r="E7" s="38">
        <f t="shared" ref="E7:E67" si="0">IF(C7=D7,"-",D7-C7)</f>
        <v>450</v>
      </c>
      <c r="F7" s="39">
        <f t="shared" ref="F7:F67" si="1">IF(C7=0,"-",D7/C7)</f>
        <v>1.0004</v>
      </c>
    </row>
    <row r="8" spans="1:6" ht="33" customHeight="1" x14ac:dyDescent="0.2">
      <c r="A8" s="92" t="s">
        <v>2</v>
      </c>
      <c r="B8" s="14" t="s">
        <v>117</v>
      </c>
      <c r="C8" s="31">
        <v>405112</v>
      </c>
      <c r="D8" s="13">
        <f>C8</f>
        <v>405112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92" t="s">
        <v>3</v>
      </c>
      <c r="B9" s="14" t="s">
        <v>114</v>
      </c>
      <c r="C9" s="31">
        <v>3592403</v>
      </c>
      <c r="D9" s="13">
        <f>C9+12700</f>
        <v>3605103</v>
      </c>
      <c r="E9" s="38">
        <f t="shared" si="0"/>
        <v>12700</v>
      </c>
      <c r="F9" s="39">
        <f t="shared" si="1"/>
        <v>1.0035000000000001</v>
      </c>
    </row>
    <row r="10" spans="1:6" ht="31.5" customHeight="1" x14ac:dyDescent="0.2">
      <c r="A10" s="93" t="s">
        <v>54</v>
      </c>
      <c r="B10" s="45" t="s">
        <v>198</v>
      </c>
      <c r="C10" s="31">
        <v>346187</v>
      </c>
      <c r="D10" s="13">
        <f>C10+7400</f>
        <v>353587</v>
      </c>
      <c r="E10" s="38">
        <f t="shared" si="0"/>
        <v>7400</v>
      </c>
      <c r="F10" s="39">
        <f t="shared" si="1"/>
        <v>1.0214000000000001</v>
      </c>
    </row>
    <row r="11" spans="1:6" ht="31.5" customHeight="1" x14ac:dyDescent="0.2">
      <c r="A11" s="93" t="s">
        <v>139</v>
      </c>
      <c r="B11" s="45" t="s">
        <v>142</v>
      </c>
      <c r="C11" s="31">
        <v>316608</v>
      </c>
      <c r="D11" s="13">
        <f>C11+6200</f>
        <v>322808</v>
      </c>
      <c r="E11" s="38">
        <f t="shared" si="0"/>
        <v>6200</v>
      </c>
      <c r="F11" s="39">
        <f t="shared" si="1"/>
        <v>1.0196000000000001</v>
      </c>
    </row>
    <row r="12" spans="1:6" ht="31.5" customHeight="1" x14ac:dyDescent="0.2">
      <c r="A12" s="93" t="s">
        <v>140</v>
      </c>
      <c r="B12" s="45" t="s">
        <v>143</v>
      </c>
      <c r="C12" s="31">
        <v>101806</v>
      </c>
      <c r="D12" s="13">
        <f>C12+2300</f>
        <v>104106</v>
      </c>
      <c r="E12" s="38">
        <f t="shared" si="0"/>
        <v>2300</v>
      </c>
      <c r="F12" s="39">
        <f t="shared" si="1"/>
        <v>1.0226</v>
      </c>
    </row>
    <row r="13" spans="1:6" ht="31.5" customHeight="1" x14ac:dyDescent="0.2">
      <c r="A13" s="93" t="s">
        <v>141</v>
      </c>
      <c r="B13" s="45" t="s">
        <v>144</v>
      </c>
      <c r="C13" s="31">
        <v>52364</v>
      </c>
      <c r="D13" s="13">
        <f>C13+1400</f>
        <v>53764</v>
      </c>
      <c r="E13" s="38">
        <f t="shared" si="0"/>
        <v>1400</v>
      </c>
      <c r="F13" s="39">
        <f t="shared" si="1"/>
        <v>1.0266999999999999</v>
      </c>
    </row>
    <row r="14" spans="1:6" ht="33" customHeight="1" x14ac:dyDescent="0.2">
      <c r="A14" s="92" t="s">
        <v>4</v>
      </c>
      <c r="B14" s="14" t="s">
        <v>122</v>
      </c>
      <c r="C14" s="31">
        <v>220530</v>
      </c>
      <c r="D14" s="13">
        <f>C14-2300-2600</f>
        <v>215630</v>
      </c>
      <c r="E14" s="38">
        <f t="shared" si="0"/>
        <v>-4900</v>
      </c>
      <c r="F14" s="39">
        <f t="shared" si="1"/>
        <v>0.9778</v>
      </c>
    </row>
    <row r="15" spans="1:6" ht="33" customHeight="1" x14ac:dyDescent="0.2">
      <c r="A15" s="92" t="s">
        <v>5</v>
      </c>
      <c r="B15" s="14" t="s">
        <v>118</v>
      </c>
      <c r="C15" s="31">
        <v>244921</v>
      </c>
      <c r="D15" s="13">
        <f>C15-1500</f>
        <v>243421</v>
      </c>
      <c r="E15" s="38">
        <f t="shared" si="0"/>
        <v>-1500</v>
      </c>
      <c r="F15" s="39">
        <f t="shared" si="1"/>
        <v>0.99390000000000001</v>
      </c>
    </row>
    <row r="16" spans="1:6" ht="33" customHeight="1" x14ac:dyDescent="0.2">
      <c r="A16" s="92" t="s">
        <v>6</v>
      </c>
      <c r="B16" s="14" t="s">
        <v>124</v>
      </c>
      <c r="C16" s="31">
        <v>177964</v>
      </c>
      <c r="D16" s="13">
        <f>C16-1500</f>
        <v>176464</v>
      </c>
      <c r="E16" s="38">
        <f t="shared" si="0"/>
        <v>-1500</v>
      </c>
      <c r="F16" s="39">
        <f t="shared" si="1"/>
        <v>0.99160000000000004</v>
      </c>
    </row>
    <row r="17" spans="1:6" ht="33" customHeight="1" x14ac:dyDescent="0.2">
      <c r="A17" s="92" t="s">
        <v>7</v>
      </c>
      <c r="B17" s="14" t="s">
        <v>123</v>
      </c>
      <c r="C17" s="31">
        <v>72495</v>
      </c>
      <c r="D17" s="13">
        <f t="shared" ref="D17:D34" si="2">C17</f>
        <v>72495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v>204320</v>
      </c>
      <c r="D18" s="13">
        <f>C18-1996-1600</f>
        <v>200724</v>
      </c>
      <c r="E18" s="38">
        <f t="shared" si="0"/>
        <v>-3596</v>
      </c>
      <c r="F18" s="39">
        <f t="shared" si="1"/>
        <v>0.98240000000000005</v>
      </c>
    </row>
    <row r="19" spans="1:6" ht="33" customHeight="1" x14ac:dyDescent="0.2">
      <c r="A19" s="92" t="s">
        <v>9</v>
      </c>
      <c r="B19" s="14" t="s">
        <v>120</v>
      </c>
      <c r="C19" s="31">
        <v>54425</v>
      </c>
      <c r="D19" s="13">
        <f>C19-1800</f>
        <v>52625</v>
      </c>
      <c r="E19" s="38">
        <f t="shared" si="0"/>
        <v>-1800</v>
      </c>
      <c r="F19" s="39">
        <f t="shared" si="1"/>
        <v>0.96689999999999998</v>
      </c>
    </row>
    <row r="20" spans="1:6" ht="33" customHeight="1" x14ac:dyDescent="0.2">
      <c r="A20" s="92" t="s">
        <v>10</v>
      </c>
      <c r="B20" s="14" t="s">
        <v>125</v>
      </c>
      <c r="C20" s="31">
        <v>1876</v>
      </c>
      <c r="D20" s="13">
        <f>C20-130</f>
        <v>1746</v>
      </c>
      <c r="E20" s="38">
        <f t="shared" si="0"/>
        <v>-130</v>
      </c>
      <c r="F20" s="39">
        <f t="shared" si="1"/>
        <v>0.93069999999999997</v>
      </c>
    </row>
    <row r="21" spans="1:6" ht="46.5" customHeight="1" x14ac:dyDescent="0.2">
      <c r="A21" s="92" t="s">
        <v>11</v>
      </c>
      <c r="B21" s="14" t="s">
        <v>121</v>
      </c>
      <c r="C21" s="31">
        <v>13582</v>
      </c>
      <c r="D21" s="13">
        <f t="shared" si="2"/>
        <v>13582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v>238755</v>
      </c>
      <c r="D22" s="13">
        <f t="shared" si="2"/>
        <v>238755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v>92295</v>
      </c>
      <c r="D23" s="13">
        <f>C23+1200</f>
        <v>93495</v>
      </c>
      <c r="E23" s="38">
        <f t="shared" si="0"/>
        <v>1200</v>
      </c>
      <c r="F23" s="39">
        <f t="shared" si="1"/>
        <v>1.0129999999999999</v>
      </c>
    </row>
    <row r="24" spans="1:6" ht="33" customHeight="1" x14ac:dyDescent="0.2">
      <c r="A24" s="94" t="s">
        <v>14</v>
      </c>
      <c r="B24" s="30" t="s">
        <v>177</v>
      </c>
      <c r="C24" s="31">
        <v>727678</v>
      </c>
      <c r="D24" s="13">
        <f>C24+6500-7600</f>
        <v>726578</v>
      </c>
      <c r="E24" s="38">
        <f t="shared" si="0"/>
        <v>-1100</v>
      </c>
      <c r="F24" s="39">
        <f t="shared" si="1"/>
        <v>0.99850000000000005</v>
      </c>
    </row>
    <row r="25" spans="1:6" ht="37.5" x14ac:dyDescent="0.2">
      <c r="A25" s="93" t="s">
        <v>126</v>
      </c>
      <c r="B25" s="45" t="s">
        <v>147</v>
      </c>
      <c r="C25" s="31">
        <v>723678</v>
      </c>
      <c r="D25" s="13">
        <f>C25+6500-6500</f>
        <v>723678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v>3000</v>
      </c>
      <c r="D26" s="13">
        <f>C26-1100</f>
        <v>1900</v>
      </c>
      <c r="E26" s="38">
        <f t="shared" si="0"/>
        <v>-1100</v>
      </c>
      <c r="F26" s="39">
        <f t="shared" si="1"/>
        <v>0.63329999999999997</v>
      </c>
    </row>
    <row r="27" spans="1:6" ht="37.5" x14ac:dyDescent="0.2">
      <c r="A27" s="93" t="s">
        <v>150</v>
      </c>
      <c r="B27" s="45" t="s">
        <v>148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v>274</v>
      </c>
      <c r="D32" s="13">
        <f>C32-274</f>
        <v>0</v>
      </c>
      <c r="E32" s="38">
        <f t="shared" si="0"/>
        <v>-274</v>
      </c>
      <c r="F32" s="39">
        <f t="shared" si="1"/>
        <v>0</v>
      </c>
    </row>
    <row r="33" spans="1:6" ht="42.75" customHeight="1" x14ac:dyDescent="0.2">
      <c r="A33" s="95" t="s">
        <v>178</v>
      </c>
      <c r="B33" s="16" t="s">
        <v>179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v>700</v>
      </c>
      <c r="D34" s="13">
        <f t="shared" si="2"/>
        <v>700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v>17003</v>
      </c>
      <c r="D35" s="13">
        <f>C35+450</f>
        <v>17453</v>
      </c>
      <c r="E35" s="38">
        <f>IF(C35=D35,"-",D35-C35)</f>
        <v>450</v>
      </c>
      <c r="F35" s="39">
        <f>IF(C35=0,"-",D35/C35)</f>
        <v>1.0265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v>602</v>
      </c>
      <c r="D36" s="37">
        <f>C36</f>
        <v>602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v>164652</v>
      </c>
      <c r="D37" s="37">
        <f>C37</f>
        <v>164652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v>61978</v>
      </c>
      <c r="D38" s="37">
        <f>C38</f>
        <v>61978</v>
      </c>
      <c r="E38" s="7" t="str">
        <f t="shared" si="0"/>
        <v>-</v>
      </c>
      <c r="F38" s="40">
        <f t="shared" si="1"/>
        <v>1</v>
      </c>
    </row>
    <row r="39" spans="1:6" s="2" customFormat="1" ht="25.5" x14ac:dyDescent="0.2">
      <c r="A39" s="96" t="s">
        <v>201</v>
      </c>
      <c r="B39" s="17" t="s">
        <v>202</v>
      </c>
      <c r="C39" s="32">
        <v>0</v>
      </c>
      <c r="D39" s="37">
        <f>C39</f>
        <v>0</v>
      </c>
      <c r="E39" s="7" t="str">
        <f t="shared" si="0"/>
        <v>-</v>
      </c>
      <c r="F39" s="40" t="str">
        <f t="shared" si="1"/>
        <v>-</v>
      </c>
    </row>
    <row r="40" spans="1:6" s="2" customFormat="1" ht="42.75" customHeight="1" x14ac:dyDescent="0.2">
      <c r="A40" s="96" t="s">
        <v>153</v>
      </c>
      <c r="B40" s="17" t="s">
        <v>154</v>
      </c>
      <c r="C40" s="32">
        <f>C11+C13+C24+C30</f>
        <v>1096650</v>
      </c>
      <c r="D40" s="32">
        <f>D11+D13+D24+D30</f>
        <v>1103150</v>
      </c>
      <c r="E40" s="7">
        <f t="shared" si="0"/>
        <v>6500</v>
      </c>
      <c r="F40" s="40">
        <f t="shared" si="1"/>
        <v>1.0059</v>
      </c>
    </row>
    <row r="41" spans="1:6" ht="30" customHeight="1" x14ac:dyDescent="0.2">
      <c r="A41" s="97" t="s">
        <v>130</v>
      </c>
      <c r="B41" s="85" t="s">
        <v>183</v>
      </c>
      <c r="C41" s="71">
        <f>C42+C43+C44+C52+C54+C60+C61+C59</f>
        <v>45862</v>
      </c>
      <c r="D41" s="71">
        <f>D42+D43+D44+D52+D54+D60+D61+D59</f>
        <v>45862</v>
      </c>
      <c r="E41" s="68" t="str">
        <f t="shared" si="0"/>
        <v>-</v>
      </c>
      <c r="F41" s="86">
        <f t="shared" si="1"/>
        <v>1</v>
      </c>
    </row>
    <row r="42" spans="1:6" ht="28.5" customHeight="1" x14ac:dyDescent="0.2">
      <c r="A42" s="95" t="s">
        <v>16</v>
      </c>
      <c r="B42" s="18" t="s">
        <v>17</v>
      </c>
      <c r="C42" s="31">
        <v>1903</v>
      </c>
      <c r="D42" s="33">
        <f>C42</f>
        <v>1903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18</v>
      </c>
      <c r="B43" s="18" t="s">
        <v>19</v>
      </c>
      <c r="C43" s="31">
        <v>5900</v>
      </c>
      <c r="D43" s="33">
        <f t="shared" ref="D43:D61" si="3">C43</f>
        <v>5900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5" t="s">
        <v>20</v>
      </c>
      <c r="B44" s="19" t="s">
        <v>184</v>
      </c>
      <c r="C44" s="33">
        <f>C45+C47+C48+C49+C50+C51</f>
        <v>270</v>
      </c>
      <c r="D44" s="33">
        <f>D45+D47+D48+D49+D50+D51</f>
        <v>270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37</v>
      </c>
      <c r="B45" s="46" t="s">
        <v>30</v>
      </c>
      <c r="C45" s="31">
        <v>25</v>
      </c>
      <c r="D45" s="33">
        <f t="shared" si="3"/>
        <v>25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38</v>
      </c>
      <c r="B46" s="47" t="s">
        <v>31</v>
      </c>
      <c r="C46" s="31">
        <v>25</v>
      </c>
      <c r="D46" s="33">
        <f t="shared" si="3"/>
        <v>25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39</v>
      </c>
      <c r="B47" s="46" t="s">
        <v>32</v>
      </c>
      <c r="C47" s="31">
        <v>55</v>
      </c>
      <c r="D47" s="33">
        <f t="shared" si="3"/>
        <v>55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40</v>
      </c>
      <c r="B48" s="46" t="s">
        <v>33</v>
      </c>
      <c r="C48" s="31"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41</v>
      </c>
      <c r="B49" s="46" t="s">
        <v>34</v>
      </c>
      <c r="C49" s="31">
        <v>0</v>
      </c>
      <c r="D49" s="33">
        <f t="shared" si="3"/>
        <v>0</v>
      </c>
      <c r="E49" s="38" t="str">
        <f t="shared" si="0"/>
        <v>-</v>
      </c>
      <c r="F49" s="39" t="str">
        <f t="shared" si="1"/>
        <v>-</v>
      </c>
    </row>
    <row r="50" spans="1:6" ht="28.5" customHeight="1" x14ac:dyDescent="0.2">
      <c r="A50" s="98" t="s">
        <v>42</v>
      </c>
      <c r="B50" s="46" t="s">
        <v>35</v>
      </c>
      <c r="C50" s="31">
        <v>129</v>
      </c>
      <c r="D50" s="33">
        <f t="shared" si="3"/>
        <v>129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8" t="s">
        <v>43</v>
      </c>
      <c r="B51" s="46" t="s">
        <v>36</v>
      </c>
      <c r="C51" s="31">
        <v>61</v>
      </c>
      <c r="D51" s="33">
        <f t="shared" si="3"/>
        <v>61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5" t="s">
        <v>21</v>
      </c>
      <c r="B52" s="18" t="s">
        <v>155</v>
      </c>
      <c r="C52" s="31">
        <v>24295</v>
      </c>
      <c r="D52" s="33">
        <f t="shared" si="3"/>
        <v>24295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8" t="s">
        <v>156</v>
      </c>
      <c r="B53" s="46" t="s">
        <v>157</v>
      </c>
      <c r="C53" s="31">
        <v>24</v>
      </c>
      <c r="D53" s="33">
        <f t="shared" si="3"/>
        <v>24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5" t="s">
        <v>22</v>
      </c>
      <c r="B54" s="19" t="s">
        <v>182</v>
      </c>
      <c r="C54" s="29">
        <f>C55+C56+C57+C58</f>
        <v>5454</v>
      </c>
      <c r="D54" s="29">
        <f>D55+D56+D57+D58</f>
        <v>5454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48</v>
      </c>
      <c r="B55" s="46" t="s">
        <v>44</v>
      </c>
      <c r="C55" s="31">
        <v>4170</v>
      </c>
      <c r="D55" s="33">
        <f t="shared" si="3"/>
        <v>4170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49</v>
      </c>
      <c r="B56" s="46" t="s">
        <v>45</v>
      </c>
      <c r="C56" s="31">
        <v>595</v>
      </c>
      <c r="D56" s="33">
        <f t="shared" si="3"/>
        <v>595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98" t="s">
        <v>50</v>
      </c>
      <c r="B57" s="46" t="s">
        <v>46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98" t="s">
        <v>51</v>
      </c>
      <c r="B58" s="46" t="s">
        <v>47</v>
      </c>
      <c r="C58" s="31">
        <v>689</v>
      </c>
      <c r="D58" s="33">
        <f t="shared" si="3"/>
        <v>689</v>
      </c>
      <c r="E58" s="38" t="str">
        <f t="shared" si="0"/>
        <v>-</v>
      </c>
      <c r="F58" s="39">
        <f t="shared" si="1"/>
        <v>1</v>
      </c>
    </row>
    <row r="59" spans="1:6" ht="28.5" customHeight="1" x14ac:dyDescent="0.2">
      <c r="A59" s="95" t="s">
        <v>23</v>
      </c>
      <c r="B59" s="18" t="s">
        <v>24</v>
      </c>
      <c r="C59" s="31">
        <v>0</v>
      </c>
      <c r="D59" s="33">
        <f t="shared" si="3"/>
        <v>0</v>
      </c>
      <c r="E59" s="38" t="str">
        <f t="shared" si="0"/>
        <v>-</v>
      </c>
      <c r="F59" s="39" t="str">
        <f t="shared" si="1"/>
        <v>-</v>
      </c>
    </row>
    <row r="60" spans="1:6" ht="28.5" customHeight="1" x14ac:dyDescent="0.2">
      <c r="A60" s="95" t="s">
        <v>25</v>
      </c>
      <c r="B60" s="18" t="s">
        <v>158</v>
      </c>
      <c r="C60" s="31">
        <v>7750</v>
      </c>
      <c r="D60" s="33">
        <f t="shared" si="3"/>
        <v>7750</v>
      </c>
      <c r="E60" s="38" t="str">
        <f t="shared" si="0"/>
        <v>-</v>
      </c>
      <c r="F60" s="41">
        <f t="shared" si="1"/>
        <v>1</v>
      </c>
    </row>
    <row r="61" spans="1:6" ht="28.5" customHeight="1" x14ac:dyDescent="0.2">
      <c r="A61" s="95" t="s">
        <v>26</v>
      </c>
      <c r="B61" s="18" t="s">
        <v>27</v>
      </c>
      <c r="C61" s="31">
        <v>290</v>
      </c>
      <c r="D61" s="33">
        <f t="shared" si="3"/>
        <v>290</v>
      </c>
      <c r="E61" s="38" t="str">
        <f t="shared" si="0"/>
        <v>-</v>
      </c>
      <c r="F61" s="39">
        <f t="shared" si="1"/>
        <v>1</v>
      </c>
    </row>
    <row r="62" spans="1:6" ht="30" customHeight="1" x14ac:dyDescent="0.2">
      <c r="A62" s="99" t="s">
        <v>132</v>
      </c>
      <c r="B62" s="77" t="s">
        <v>159</v>
      </c>
      <c r="C62" s="87">
        <f>C63+C64+C65+C66</f>
        <v>18823</v>
      </c>
      <c r="D62" s="87">
        <f>D63+D64+D65+D66</f>
        <v>18823</v>
      </c>
      <c r="E62" s="68" t="str">
        <f t="shared" si="0"/>
        <v>-</v>
      </c>
      <c r="F62" s="88">
        <f t="shared" si="1"/>
        <v>1</v>
      </c>
    </row>
    <row r="63" spans="1:6" ht="42" customHeight="1" x14ac:dyDescent="0.2">
      <c r="A63" s="95" t="s">
        <v>99</v>
      </c>
      <c r="B63" s="18" t="s">
        <v>112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28</v>
      </c>
      <c r="B64" s="18" t="s">
        <v>53</v>
      </c>
      <c r="C64" s="31">
        <v>11150</v>
      </c>
      <c r="D64" s="33">
        <f>C64</f>
        <v>11150</v>
      </c>
      <c r="E64" s="29" t="str">
        <f t="shared" si="0"/>
        <v>-</v>
      </c>
      <c r="F64" s="39">
        <f t="shared" si="1"/>
        <v>1</v>
      </c>
    </row>
    <row r="65" spans="1:6" ht="31.5" customHeight="1" x14ac:dyDescent="0.2">
      <c r="A65" s="95" t="s">
        <v>29</v>
      </c>
      <c r="B65" s="18" t="s">
        <v>101</v>
      </c>
      <c r="C65" s="31">
        <v>0</v>
      </c>
      <c r="D65" s="33">
        <f>C65</f>
        <v>0</v>
      </c>
      <c r="E65" s="29" t="str">
        <f t="shared" si="0"/>
        <v>-</v>
      </c>
      <c r="F65" s="39" t="str">
        <f t="shared" si="1"/>
        <v>-</v>
      </c>
    </row>
    <row r="66" spans="1:6" ht="31.5" customHeight="1" x14ac:dyDescent="0.2">
      <c r="A66" s="95" t="s">
        <v>100</v>
      </c>
      <c r="B66" s="18" t="s">
        <v>102</v>
      </c>
      <c r="C66" s="31">
        <v>7673</v>
      </c>
      <c r="D66" s="33">
        <f>C66</f>
        <v>7673</v>
      </c>
      <c r="E66" s="29" t="str">
        <f t="shared" si="0"/>
        <v>-</v>
      </c>
      <c r="F66" s="39">
        <f t="shared" si="1"/>
        <v>1</v>
      </c>
    </row>
    <row r="67" spans="1:6" ht="32.25" customHeight="1" x14ac:dyDescent="0.2">
      <c r="A67" s="99" t="s">
        <v>134</v>
      </c>
      <c r="B67" s="77" t="s">
        <v>113</v>
      </c>
      <c r="C67" s="87">
        <v>5245</v>
      </c>
      <c r="D67" s="87">
        <f>C67</f>
        <v>5245</v>
      </c>
      <c r="E67" s="68" t="str">
        <f t="shared" si="0"/>
        <v>-</v>
      </c>
      <c r="F67" s="88">
        <f t="shared" si="1"/>
        <v>1</v>
      </c>
    </row>
    <row r="88" spans="4:4" x14ac:dyDescent="0.2">
      <c r="D88" s="34">
        <f>CENTRALA!D66+'Razem OW'!D66</f>
        <v>130837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Rosińska</dc:creator>
  <cp:lastModifiedBy>Szeligowska Elżbieta</cp:lastModifiedBy>
  <cp:lastPrinted>2019-01-04T11:10:06Z</cp:lastPrinted>
  <dcterms:created xsi:type="dcterms:W3CDTF">2005-07-21T09:51:05Z</dcterms:created>
  <dcterms:modified xsi:type="dcterms:W3CDTF">2019-01-07T07:53:38Z</dcterms:modified>
</cp:coreProperties>
</file>