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3\III kwartał\Dane ostateczne 2023.11.14\BIP MF\Zbiorówki\"/>
    </mc:Choice>
  </mc:AlternateContent>
  <xr:revisionPtr revIDLastSave="0" documentId="13_ncr:1_{A5AF1AC0-57CF-4E90-A6FF-0A9B0AB9A4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ob_na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7" i="7" l="1"/>
  <c r="B106" i="7"/>
  <c r="B105" i="7"/>
  <c r="B104" i="7"/>
  <c r="I101" i="7"/>
  <c r="G101" i="7"/>
  <c r="I100" i="7"/>
  <c r="G100" i="7"/>
  <c r="I99" i="7"/>
  <c r="G99" i="7"/>
  <c r="L93" i="7"/>
  <c r="K93" i="7"/>
  <c r="J93" i="7"/>
  <c r="I93" i="7"/>
  <c r="H93" i="7"/>
  <c r="G93" i="7"/>
  <c r="F93" i="7"/>
  <c r="L92" i="7"/>
  <c r="K92" i="7"/>
  <c r="J92" i="7"/>
  <c r="I92" i="7"/>
  <c r="H92" i="7"/>
  <c r="G92" i="7"/>
  <c r="F92" i="7"/>
  <c r="L91" i="7"/>
  <c r="K91" i="7"/>
  <c r="J91" i="7"/>
  <c r="I91" i="7"/>
  <c r="H91" i="7"/>
  <c r="G91" i="7"/>
  <c r="F91" i="7"/>
  <c r="L90" i="7"/>
  <c r="K90" i="7"/>
  <c r="J90" i="7"/>
  <c r="I90" i="7"/>
  <c r="H90" i="7"/>
  <c r="G90" i="7"/>
  <c r="F90" i="7"/>
  <c r="L89" i="7"/>
  <c r="K89" i="7"/>
  <c r="J89" i="7"/>
  <c r="I89" i="7"/>
  <c r="H89" i="7"/>
  <c r="G89" i="7"/>
  <c r="F89" i="7"/>
  <c r="L88" i="7"/>
  <c r="K88" i="7"/>
  <c r="J88" i="7"/>
  <c r="I88" i="7"/>
  <c r="H88" i="7"/>
  <c r="G88" i="7"/>
  <c r="F88" i="7"/>
  <c r="L87" i="7"/>
  <c r="K87" i="7"/>
  <c r="J87" i="7"/>
  <c r="I87" i="7"/>
  <c r="H87" i="7"/>
  <c r="G87" i="7"/>
  <c r="F87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B60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104" i="7" l="1"/>
  <c r="A77" i="7" l="1"/>
  <c r="A34" i="7"/>
  <c r="A96" i="7"/>
  <c r="A1" i="7"/>
</calcChain>
</file>

<file path=xl/sharedStrings.xml><?xml version="1.0" encoding="utf-8"?>
<sst xmlns="http://schemas.openxmlformats.org/spreadsheetml/2006/main" count="97" uniqueCount="81">
  <si>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</si>
  <si>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</si>
  <si>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</si>
  <si>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</si>
  <si>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</si>
  <si>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</si>
  <si>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</si>
  <si>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</si>
  <si>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</si>
  <si>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</si>
  <si>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</si>
  <si>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</si>
  <si>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</si>
  <si>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</si>
  <si>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</si>
  <si>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</si>
  <si>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</si>
  <si>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</si>
  <si>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</si>
  <si>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</si>
  <si>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</si>
  <si>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</si>
  <si>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</si>
  <si>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</si>
  <si>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</si>
  <si>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</si>
  <si>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</si>
  <si>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</si>
  <si>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</si>
  <si>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</si>
  <si>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</si>
  <si>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</si>
  <si>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</si>
  <si>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</si>
  <si>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</si>
  <si>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</si>
  <si>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</si>
  <si>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</si>
  <si>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</si>
  <si>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N5.2 z tytułu podatków i składek na 
ubezpieczenia społ.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</si>
  <si>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</si>
  <si>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</si>
  <si>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</si>
  <si>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</si>
  <si>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</si>
  <si>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</si>
  <si>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  ZOBOWIĄZANIA WG TYTUŁÓW 
    DŁUŻNYCH (E1+E2+E3+E4)</t>
  </si>
  <si>
    <t>E1 papiery wartościowe 
     (E1.1+E1.2)</t>
  </si>
  <si>
    <t>E1.1 krótkotermionowe</t>
  </si>
  <si>
    <t>E1.2 długoterminowe</t>
  </si>
  <si>
    <t>E2 kredyty i pożyczki 
     (E2.1+E2.2)</t>
  </si>
  <si>
    <t>E2.1 krótkotermionowe</t>
  </si>
  <si>
    <t>E2.2 długoterminowe</t>
  </si>
  <si>
    <t>E3 przyjęte depozyty</t>
  </si>
  <si>
    <t>E4  wymagalne zobowiązania 
     (E4.1+E4.2)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</si>
  <si>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</si>
  <si>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</si>
  <si>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</si>
  <si>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</si>
  <si>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</si>
  <si>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</si>
  <si>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</si>
  <si>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</si>
  <si>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</si>
  <si>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</si>
  <si>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</si>
  <si>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</si>
  <si>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</si>
  <si>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</si>
  <si>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</si>
  <si>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</si>
  <si>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</si>
  <si>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</si>
  <si>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</si>
  <si>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</si>
  <si>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</si>
  <si>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</si>
  <si>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</si>
  <si>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</si>
  <si>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tytul</t>
  </si>
  <si>
    <t>w złotych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</si>
</sst>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35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6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101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7" fillId="0" borderId="0" xfId="37" applyFont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4" fillId="19" borderId="10" xfId="37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4" fontId="7" fillId="20" borderId="10" xfId="37" applyNumberFormat="1" applyFont="1" applyFill="1" applyBorder="1" applyAlignment="1">
      <alignment vertical="center" wrapText="1"/>
    </xf>
    <xf numFmtId="0" fontId="4" fillId="0" borderId="10" xfId="37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8" fillId="0" borderId="17" xfId="0" applyFont="1" applyFill="1" applyBorder="1" applyAlignment="1">
      <alignment horizontal="left" vertical="center" wrapText="1" indent="1"/>
    </xf>
    <xf numFmtId="0" fontId="28" fillId="0" borderId="18" xfId="0" applyFont="1" applyFill="1" applyBorder="1" applyAlignment="1">
      <alignment horizontal="left" vertical="center" wrapText="1" indent="1"/>
    </xf>
    <xf numFmtId="0" fontId="28" fillId="0" borderId="17" xfId="0" applyFont="1" applyFill="1" applyBorder="1" applyAlignment="1">
      <alignment horizontal="left" vertical="center" indent="1"/>
    </xf>
    <xf numFmtId="0" fontId="33" fillId="0" borderId="17" xfId="0" applyFont="1" applyFill="1" applyBorder="1" applyAlignment="1">
      <alignment vertical="center" wrapText="1"/>
    </xf>
    <xf numFmtId="0" fontId="33" fillId="0" borderId="17" xfId="0" applyFont="1" applyFill="1" applyBorder="1" applyAlignment="1">
      <alignment vertical="center"/>
    </xf>
    <xf numFmtId="0" fontId="32" fillId="0" borderId="17" xfId="0" applyFont="1" applyFill="1" applyBorder="1" applyAlignment="1">
      <alignment vertical="center"/>
    </xf>
    <xf numFmtId="0" fontId="28" fillId="0" borderId="10" xfId="0" applyFont="1" applyFill="1" applyBorder="1" applyAlignment="1">
      <alignment horizontal="left" vertical="center" indent="1"/>
    </xf>
    <xf numFmtId="4" fontId="7" fillId="0" borderId="10" xfId="37" applyNumberFormat="1" applyFont="1" applyFill="1" applyBorder="1" applyAlignment="1">
      <alignment vertical="center" wrapText="1"/>
    </xf>
    <xf numFmtId="0" fontId="31" fillId="21" borderId="10" xfId="37" applyFont="1" applyFill="1" applyBorder="1" applyAlignment="1">
      <alignment horizontal="left" vertical="center" wrapText="1"/>
    </xf>
    <xf numFmtId="4" fontId="7" fillId="21" borderId="10" xfId="37" applyNumberFormat="1" applyFont="1" applyFill="1" applyBorder="1" applyAlignment="1">
      <alignment horizontal="right" vertical="center" wrapText="1"/>
    </xf>
    <xf numFmtId="0" fontId="31" fillId="21" borderId="17" xfId="0" applyFont="1" applyFill="1" applyBorder="1" applyAlignment="1">
      <alignment wrapText="1"/>
    </xf>
    <xf numFmtId="0" fontId="31" fillId="21" borderId="18" xfId="0" applyFont="1" applyFill="1" applyBorder="1" applyAlignment="1">
      <alignment wrapText="1"/>
    </xf>
    <xf numFmtId="0" fontId="31" fillId="21" borderId="18" xfId="0" applyFont="1" applyFill="1" applyBorder="1" applyAlignment="1">
      <alignment vertical="center"/>
    </xf>
    <xf numFmtId="0" fontId="31" fillId="21" borderId="17" xfId="0" applyFont="1" applyFill="1" applyBorder="1" applyAlignment="1">
      <alignment horizontal="left" wrapText="1"/>
    </xf>
    <xf numFmtId="4" fontId="7" fillId="0" borderId="10" xfId="37" applyNumberFormat="1" applyFont="1" applyFill="1" applyBorder="1" applyAlignment="1">
      <alignment horizontal="right" vertical="center" wrapText="1"/>
    </xf>
    <xf numFmtId="0" fontId="32" fillId="21" borderId="17" xfId="0" applyFont="1" applyFill="1" applyBorder="1" applyAlignment="1">
      <alignment vertical="center" wrapText="1"/>
    </xf>
    <xf numFmtId="4" fontId="7" fillId="21" borderId="10" xfId="37" applyNumberFormat="1" applyFont="1" applyFill="1" applyBorder="1" applyAlignment="1">
      <alignment vertical="center" wrapText="1"/>
    </xf>
    <xf numFmtId="4" fontId="2" fillId="19" borderId="15" xfId="37" applyNumberFormat="1" applyFont="1" applyFill="1" applyBorder="1" applyAlignment="1">
      <alignment horizontal="center" vertical="center" wrapText="1"/>
    </xf>
    <xf numFmtId="4" fontId="2" fillId="19" borderId="14" xfId="37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9" fillId="19" borderId="20" xfId="37" applyFont="1" applyFill="1" applyBorder="1" applyAlignment="1">
      <alignment horizontal="center" vertical="center" wrapText="1"/>
    </xf>
    <xf numFmtId="0" fontId="29" fillId="19" borderId="21" xfId="37" applyFont="1" applyFill="1" applyBorder="1" applyAlignment="1">
      <alignment horizontal="center" vertical="center" wrapText="1"/>
    </xf>
    <xf numFmtId="0" fontId="29" fillId="19" borderId="12" xfId="37" applyFont="1" applyFill="1" applyBorder="1" applyAlignment="1">
      <alignment horizontal="center" vertical="center" wrapText="1"/>
    </xf>
    <xf numFmtId="0" fontId="2" fillId="19" borderId="21" xfId="37" applyFont="1" applyFill="1" applyBorder="1" applyAlignment="1">
      <alignment horizontal="center" vertical="center" wrapText="1"/>
    </xf>
    <xf numFmtId="0" fontId="2" fillId="19" borderId="12" xfId="37" applyFont="1" applyFill="1" applyBorder="1" applyAlignment="1">
      <alignment horizontal="center" vertical="center" wrapText="1"/>
    </xf>
    <xf numFmtId="0" fontId="2" fillId="19" borderId="10" xfId="37" applyFont="1" applyFill="1" applyBorder="1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34" fillId="0" borderId="0" xfId="37" applyFont="1" applyAlignment="1">
      <alignment horizontal="center" vertical="center" wrapText="1"/>
    </xf>
    <xf numFmtId="0" fontId="29" fillId="19" borderId="15" xfId="37" applyFont="1" applyFill="1" applyBorder="1" applyAlignment="1">
      <alignment horizontal="center" vertical="center" wrapText="1"/>
    </xf>
    <xf numFmtId="0" fontId="29" fillId="19" borderId="14" xfId="37" applyFont="1" applyFill="1" applyBorder="1" applyAlignment="1">
      <alignment horizontal="center" vertical="center" wrapText="1"/>
    </xf>
    <xf numFmtId="0" fontId="29" fillId="19" borderId="11" xfId="37" applyFont="1" applyFill="1" applyBorder="1" applyAlignment="1">
      <alignment horizontal="center" vertical="center" wrapText="1"/>
    </xf>
    <xf numFmtId="0" fontId="6" fillId="0" borderId="0" xfId="37" applyFont="1" applyAlignment="1">
      <alignment horizontal="left" vertical="center" wrapText="1"/>
    </xf>
    <xf numFmtId="0" fontId="2" fillId="19" borderId="20" xfId="37" applyFont="1" applyFill="1" applyBorder="1" applyAlignment="1">
      <alignment horizontal="center" vertical="center" wrapText="1"/>
    </xf>
    <xf numFmtId="0" fontId="8" fillId="19" borderId="20" xfId="37" applyFont="1" applyFill="1" applyBorder="1" applyAlignment="1">
      <alignment horizontal="center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12" xfId="37" applyFont="1" applyFill="1" applyBorder="1" applyAlignment="1">
      <alignment horizontal="center" vertical="center" wrapText="1"/>
    </xf>
    <xf numFmtId="0" fontId="2" fillId="19" borderId="22" xfId="37" applyFont="1" applyFill="1" applyBorder="1" applyAlignment="1">
      <alignment horizontal="center" vertical="center" wrapText="1"/>
    </xf>
    <xf numFmtId="0" fontId="2" fillId="19" borderId="13" xfId="37" applyFont="1" applyFill="1" applyBorder="1" applyAlignment="1">
      <alignment horizontal="center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3" fontId="7" fillId="0" borderId="15" xfId="37" applyNumberFormat="1" applyFont="1" applyFill="1" applyBorder="1" applyAlignment="1">
      <alignment horizontal="right" vertical="center" wrapText="1"/>
    </xf>
    <xf numFmtId="3" fontId="7" fillId="0" borderId="11" xfId="37" applyNumberFormat="1" applyFont="1" applyFill="1" applyBorder="1" applyAlignment="1">
      <alignment horizontal="right" vertical="center" wrapText="1"/>
    </xf>
    <xf numFmtId="4" fontId="7" fillId="0" borderId="15" xfId="37" applyNumberFormat="1" applyFont="1" applyFill="1" applyBorder="1" applyAlignment="1">
      <alignment horizontal="right" vertical="center" wrapText="1"/>
    </xf>
    <xf numFmtId="4" fontId="7" fillId="0" borderId="11" xfId="37" applyNumberFormat="1" applyFont="1" applyFill="1" applyBorder="1" applyAlignment="1">
      <alignment horizontal="right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19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6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2" fillId="19" borderId="10" xfId="37" applyNumberFormat="1" applyFont="1" applyFill="1" applyBorder="1" applyAlignment="1">
      <alignment horizontal="center" vertical="center" wrapText="1"/>
    </xf>
    <xf numFmtId="0" fontId="5" fillId="19" borderId="23" xfId="37" applyFont="1" applyFill="1" applyBorder="1" applyAlignment="1">
      <alignment horizontal="center" vertical="center" wrapText="1"/>
    </xf>
    <xf numFmtId="0" fontId="5" fillId="19" borderId="22" xfId="37" applyFont="1" applyFill="1" applyBorder="1" applyAlignment="1">
      <alignment horizontal="center" vertical="center" wrapText="1"/>
    </xf>
    <xf numFmtId="0" fontId="5" fillId="19" borderId="13" xfId="37" applyFont="1" applyFill="1" applyBorder="1" applyAlignment="1">
      <alignment horizontal="center" vertical="center" wrapText="1"/>
    </xf>
    <xf numFmtId="0" fontId="30" fillId="19" borderId="10" xfId="37" applyFont="1" applyFill="1" applyBorder="1" applyAlignment="1">
      <alignment horizontal="center" vertical="center" wrapText="1"/>
    </xf>
    <xf numFmtId="0" fontId="4" fillId="19" borderId="10" xfId="37" applyNumberFormat="1" applyFont="1" applyFill="1" applyBorder="1" applyAlignment="1">
      <alignment horizontal="center" vertical="center" wrapText="1"/>
    </xf>
    <xf numFmtId="0" fontId="7" fillId="19" borderId="15" xfId="37" applyFont="1" applyFill="1" applyBorder="1" applyAlignment="1">
      <alignment horizontal="center" vertical="center" wrapText="1"/>
    </xf>
    <xf numFmtId="0" fontId="7" fillId="19" borderId="14" xfId="37" applyFont="1" applyFill="1" applyBorder="1" applyAlignment="1">
      <alignment horizontal="center" vertical="center" wrapText="1"/>
    </xf>
    <xf numFmtId="0" fontId="7" fillId="19" borderId="11" xfId="37" applyFont="1" applyFill="1" applyBorder="1" applyAlignment="1">
      <alignment horizontal="center" vertical="center" wrapText="1"/>
    </xf>
    <xf numFmtId="0" fontId="7" fillId="19" borderId="20" xfId="37" applyFont="1" applyFill="1" applyBorder="1" applyAlignment="1">
      <alignment horizontal="center" vertical="center" wrapText="1"/>
    </xf>
    <xf numFmtId="0" fontId="7" fillId="19" borderId="21" xfId="37" applyFont="1" applyFill="1" applyBorder="1" applyAlignment="1">
      <alignment horizontal="center" vertical="center" wrapText="1"/>
    </xf>
    <xf numFmtId="0" fontId="7" fillId="19" borderId="12" xfId="37" applyFont="1" applyFill="1" applyBorder="1" applyAlignment="1">
      <alignment horizontal="center" vertical="center" wrapText="1"/>
    </xf>
  </cellXfs>
  <cellStyles count="4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ny" xfId="0" builtinId="0"/>
    <cellStyle name="Normalny_Zeszyt1" xfId="37" xr:uid="{00000000-0005-0000-0000-000025000000}"/>
    <cellStyle name="Note" xfId="38" xr:uid="{00000000-0005-0000-0000-000026000000}"/>
    <cellStyle name="Output" xfId="39" xr:uid="{00000000-0005-0000-0000-000027000000}"/>
    <cellStyle name="Title" xfId="40" xr:uid="{00000000-0005-0000-0000-000028000000}"/>
    <cellStyle name="Total" xfId="41" xr:uid="{00000000-0005-0000-0000-000029000000}"/>
    <cellStyle name="Warning Text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Q107"/>
  <sheetViews>
    <sheetView tabSelected="1" zoomScaleNormal="100" zoomScaleSheetLayoutView="50" workbookViewId="0">
      <selection activeCell="A2" sqref="A2"/>
    </sheetView>
  </sheetViews>
  <sheetFormatPr defaultRowHeight="13.5" customHeight="1" x14ac:dyDescent="0.2"/>
  <cols>
    <col min="1" max="1" width="22.5703125" style="2" customWidth="1"/>
    <col min="2" max="3" width="14.7109375" style="2" customWidth="1"/>
    <col min="4" max="4" width="13.28515625" style="2" customWidth="1"/>
    <col min="5" max="5" width="12.28515625" style="2" customWidth="1"/>
    <col min="6" max="6" width="11.85546875" style="2" customWidth="1"/>
    <col min="7" max="7" width="11" style="2" customWidth="1"/>
    <col min="8" max="8" width="11.140625" style="2" customWidth="1"/>
    <col min="9" max="9" width="12.28515625" style="2" customWidth="1"/>
    <col min="10" max="10" width="13.5703125" style="2" customWidth="1"/>
    <col min="11" max="11" width="12.140625" style="2" customWidth="1"/>
    <col min="12" max="12" width="13.28515625" style="2" customWidth="1"/>
    <col min="13" max="13" width="11.140625" style="2" bestFit="1" customWidth="1"/>
    <col min="14" max="14" width="11.28515625" style="2" bestFit="1" customWidth="1"/>
    <col min="15" max="15" width="9.28515625" style="2" bestFit="1" customWidth="1"/>
    <col min="16" max="16" width="7.5703125" style="2" bestFit="1" customWidth="1"/>
    <col min="17" max="17" width="9.85546875" style="2" bestFit="1" customWidth="1"/>
    <col min="18" max="16384" width="9.140625" style="2"/>
  </cols>
  <sheetData>
    <row r="1" spans="1:17" ht="75" customHeight="1" x14ac:dyDescent="0.2">
      <c r="A1" s="51" t="str">
        <f>CONCATENATE("Informacja z wykonania budżetów gmin za ",$C$104," ",$B$105," roku   ",$B$107,"")</f>
        <v xml:space="preserve">Informacja z wykonania budżetów gmin za III Kwartały 2023 roku   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55" t="s">
        <v>64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5" spans="1:17" ht="13.5" customHeight="1" x14ac:dyDescent="0.2">
      <c r="B5" s="12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11"/>
      <c r="O5" s="11"/>
      <c r="P5" s="11"/>
      <c r="Q5" s="11"/>
    </row>
    <row r="6" spans="1:17" ht="13.5" customHeight="1" x14ac:dyDescent="0.2">
      <c r="A6" s="57" t="s">
        <v>0</v>
      </c>
      <c r="B6" s="56" t="s">
        <v>65</v>
      </c>
      <c r="C6" s="48" t="s">
        <v>69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50"/>
      <c r="O6" s="95" t="s">
        <v>68</v>
      </c>
      <c r="P6" s="96"/>
      <c r="Q6" s="97"/>
    </row>
    <row r="7" spans="1:17" ht="13.5" customHeight="1" x14ac:dyDescent="0.2">
      <c r="A7" s="58"/>
      <c r="B7" s="43"/>
      <c r="C7" s="44" t="s">
        <v>66</v>
      </c>
      <c r="D7" s="44" t="s">
        <v>77</v>
      </c>
      <c r="E7" s="44" t="s">
        <v>70</v>
      </c>
      <c r="F7" s="44" t="s">
        <v>71</v>
      </c>
      <c r="G7" s="44" t="s">
        <v>27</v>
      </c>
      <c r="H7" s="44" t="s">
        <v>28</v>
      </c>
      <c r="I7" s="60" t="s">
        <v>67</v>
      </c>
      <c r="J7" s="44" t="s">
        <v>16</v>
      </c>
      <c r="K7" s="44" t="s">
        <v>17</v>
      </c>
      <c r="L7" s="44" t="s">
        <v>18</v>
      </c>
      <c r="M7" s="44" t="s">
        <v>19</v>
      </c>
      <c r="N7" s="43" t="s">
        <v>20</v>
      </c>
      <c r="O7" s="47" t="s">
        <v>21</v>
      </c>
      <c r="P7" s="47" t="s">
        <v>22</v>
      </c>
      <c r="Q7" s="47" t="s">
        <v>23</v>
      </c>
    </row>
    <row r="8" spans="1:17" ht="13.5" customHeight="1" x14ac:dyDescent="0.2">
      <c r="A8" s="58"/>
      <c r="B8" s="43"/>
      <c r="C8" s="45"/>
      <c r="D8" s="45"/>
      <c r="E8" s="45"/>
      <c r="F8" s="45"/>
      <c r="G8" s="45"/>
      <c r="H8" s="45"/>
      <c r="I8" s="60"/>
      <c r="J8" s="45"/>
      <c r="K8" s="45"/>
      <c r="L8" s="45"/>
      <c r="M8" s="45"/>
      <c r="N8" s="43"/>
      <c r="O8" s="47"/>
      <c r="P8" s="47"/>
      <c r="Q8" s="47"/>
    </row>
    <row r="9" spans="1:17" ht="11.25" customHeight="1" x14ac:dyDescent="0.2">
      <c r="A9" s="58"/>
      <c r="B9" s="43"/>
      <c r="C9" s="45"/>
      <c r="D9" s="45"/>
      <c r="E9" s="45"/>
      <c r="F9" s="45"/>
      <c r="G9" s="45"/>
      <c r="H9" s="45"/>
      <c r="I9" s="60"/>
      <c r="J9" s="45"/>
      <c r="K9" s="45"/>
      <c r="L9" s="45"/>
      <c r="M9" s="45"/>
      <c r="N9" s="43"/>
      <c r="O9" s="47"/>
      <c r="P9" s="47"/>
      <c r="Q9" s="47"/>
    </row>
    <row r="10" spans="1:17" ht="16.5" customHeight="1" x14ac:dyDescent="0.2">
      <c r="A10" s="59"/>
      <c r="B10" s="44"/>
      <c r="C10" s="45"/>
      <c r="D10" s="45"/>
      <c r="E10" s="45"/>
      <c r="F10" s="45"/>
      <c r="G10" s="45"/>
      <c r="H10" s="45"/>
      <c r="I10" s="61"/>
      <c r="J10" s="45"/>
      <c r="K10" s="45"/>
      <c r="L10" s="45"/>
      <c r="M10" s="45"/>
      <c r="N10" s="44"/>
      <c r="O10" s="47"/>
      <c r="P10" s="47"/>
      <c r="Q10" s="47"/>
    </row>
    <row r="11" spans="1:17" ht="16.5" customHeight="1" x14ac:dyDescent="0.2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14">
        <v>16</v>
      </c>
      <c r="Q11" s="14">
        <v>17</v>
      </c>
    </row>
    <row r="12" spans="1:17" ht="13.5" customHeight="1" x14ac:dyDescent="0.2">
      <c r="A12" s="14"/>
      <c r="B12" s="36" t="s">
        <v>80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8"/>
      <c r="P12" s="38"/>
      <c r="Q12" s="39"/>
    </row>
    <row r="13" spans="1:17" ht="48" x14ac:dyDescent="0.2">
      <c r="A13" s="27" t="s">
        <v>46</v>
      </c>
      <c r="B13" s="28">
        <f>34005125586.99</f>
        <v>34005125586.990002</v>
      </c>
      <c r="C13" s="28">
        <f>34005120785.54</f>
        <v>34005120785.540001</v>
      </c>
      <c r="D13" s="28">
        <f>2406147303.01</f>
        <v>2406147303.0100002</v>
      </c>
      <c r="E13" s="28">
        <f>217486614.65</f>
        <v>217486614.65000001</v>
      </c>
      <c r="F13" s="28">
        <f>464827078.71</f>
        <v>464827078.70999998</v>
      </c>
      <c r="G13" s="28">
        <f>1722746505.77</f>
        <v>1722746505.77</v>
      </c>
      <c r="H13" s="28">
        <f>1087103.88</f>
        <v>1087103.8799999999</v>
      </c>
      <c r="I13" s="28">
        <f>0</f>
        <v>0</v>
      </c>
      <c r="J13" s="28">
        <f>29606221788.91</f>
        <v>29606221788.91</v>
      </c>
      <c r="K13" s="28">
        <f>1696317190.38</f>
        <v>1696317190.3800001</v>
      </c>
      <c r="L13" s="28">
        <f>266851819.67</f>
        <v>266851819.66999999</v>
      </c>
      <c r="M13" s="28">
        <f>20412181.02</f>
        <v>20412181.02</v>
      </c>
      <c r="N13" s="28">
        <f>9170502.55</f>
        <v>9170502.5500000007</v>
      </c>
      <c r="O13" s="28">
        <f>4801.45</f>
        <v>4801.45</v>
      </c>
      <c r="P13" s="28">
        <f>3737</f>
        <v>3737</v>
      </c>
      <c r="Q13" s="28">
        <f>1064.45</f>
        <v>1064.45</v>
      </c>
    </row>
    <row r="14" spans="1:17" ht="26.25" customHeight="1" x14ac:dyDescent="0.2">
      <c r="A14" s="29" t="s">
        <v>47</v>
      </c>
      <c r="B14" s="28">
        <f>886441756.19</f>
        <v>886441756.19000006</v>
      </c>
      <c r="C14" s="28">
        <f>886441756.19</f>
        <v>886441756.19000006</v>
      </c>
      <c r="D14" s="28">
        <f>6839656.19</f>
        <v>6839656.1900000004</v>
      </c>
      <c r="E14" s="28">
        <f>0</f>
        <v>0</v>
      </c>
      <c r="F14" s="28">
        <f>137511.9</f>
        <v>137511.9</v>
      </c>
      <c r="G14" s="28">
        <f>6702144.29</f>
        <v>6702144.29</v>
      </c>
      <c r="H14" s="28">
        <f>0</f>
        <v>0</v>
      </c>
      <c r="I14" s="28">
        <f>0</f>
        <v>0</v>
      </c>
      <c r="J14" s="28">
        <f>833202100</f>
        <v>833202100</v>
      </c>
      <c r="K14" s="28">
        <f>46400000</f>
        <v>46400000</v>
      </c>
      <c r="L14" s="28">
        <f>0</f>
        <v>0</v>
      </c>
      <c r="M14" s="28">
        <f>0</f>
        <v>0</v>
      </c>
      <c r="N14" s="28">
        <f>0</f>
        <v>0</v>
      </c>
      <c r="O14" s="28">
        <f>0</f>
        <v>0</v>
      </c>
      <c r="P14" s="28">
        <f>0</f>
        <v>0</v>
      </c>
      <c r="Q14" s="28">
        <f>0</f>
        <v>0</v>
      </c>
    </row>
    <row r="15" spans="1:17" ht="27" customHeight="1" x14ac:dyDescent="0.2">
      <c r="A15" s="19" t="s">
        <v>48</v>
      </c>
      <c r="B15" s="33">
        <f>49270000</f>
        <v>49270000</v>
      </c>
      <c r="C15" s="33">
        <f>49270000</f>
        <v>49270000</v>
      </c>
      <c r="D15" s="33">
        <f>0</f>
        <v>0</v>
      </c>
      <c r="E15" s="33">
        <f>0</f>
        <v>0</v>
      </c>
      <c r="F15" s="33">
        <f>0</f>
        <v>0</v>
      </c>
      <c r="G15" s="33">
        <f>0</f>
        <v>0</v>
      </c>
      <c r="H15" s="33">
        <f>0</f>
        <v>0</v>
      </c>
      <c r="I15" s="33">
        <f>0</f>
        <v>0</v>
      </c>
      <c r="J15" s="33">
        <f>37070000</f>
        <v>37070000</v>
      </c>
      <c r="K15" s="33">
        <f>12200000</f>
        <v>12200000</v>
      </c>
      <c r="L15" s="33">
        <f>0</f>
        <v>0</v>
      </c>
      <c r="M15" s="33">
        <f>0</f>
        <v>0</v>
      </c>
      <c r="N15" s="33">
        <f>0</f>
        <v>0</v>
      </c>
      <c r="O15" s="33">
        <f>0</f>
        <v>0</v>
      </c>
      <c r="P15" s="33">
        <f>0</f>
        <v>0</v>
      </c>
      <c r="Q15" s="33">
        <f>0</f>
        <v>0</v>
      </c>
    </row>
    <row r="16" spans="1:17" ht="24" customHeight="1" x14ac:dyDescent="0.2">
      <c r="A16" s="19" t="s">
        <v>49</v>
      </c>
      <c r="B16" s="33">
        <f>837171756.19</f>
        <v>837171756.19000006</v>
      </c>
      <c r="C16" s="33">
        <f>837171756.19</f>
        <v>837171756.19000006</v>
      </c>
      <c r="D16" s="33">
        <f>6839656.19</f>
        <v>6839656.1900000004</v>
      </c>
      <c r="E16" s="33">
        <f>0</f>
        <v>0</v>
      </c>
      <c r="F16" s="33">
        <f>137511.9</f>
        <v>137511.9</v>
      </c>
      <c r="G16" s="33">
        <f>6702144.29</f>
        <v>6702144.29</v>
      </c>
      <c r="H16" s="33">
        <f>0</f>
        <v>0</v>
      </c>
      <c r="I16" s="33">
        <f>0</f>
        <v>0</v>
      </c>
      <c r="J16" s="33">
        <f>796132100</f>
        <v>796132100</v>
      </c>
      <c r="K16" s="33">
        <f>34200000</f>
        <v>34200000</v>
      </c>
      <c r="L16" s="33">
        <f>0</f>
        <v>0</v>
      </c>
      <c r="M16" s="33">
        <f>0</f>
        <v>0</v>
      </c>
      <c r="N16" s="33">
        <f>0</f>
        <v>0</v>
      </c>
      <c r="O16" s="33">
        <f>0</f>
        <v>0</v>
      </c>
      <c r="P16" s="33">
        <f>0</f>
        <v>0</v>
      </c>
      <c r="Q16" s="33">
        <f>0</f>
        <v>0</v>
      </c>
    </row>
    <row r="17" spans="1:17" ht="31.5" customHeight="1" x14ac:dyDescent="0.2">
      <c r="A17" s="30" t="s">
        <v>50</v>
      </c>
      <c r="B17" s="28">
        <f>33053632245.86</f>
        <v>33053632245.860001</v>
      </c>
      <c r="C17" s="28">
        <f>33053632245.86</f>
        <v>33053632245.860001</v>
      </c>
      <c r="D17" s="28">
        <f>2388166015.88</f>
        <v>2388166015.8800001</v>
      </c>
      <c r="E17" s="28">
        <f>217477764.31</f>
        <v>217477764.31</v>
      </c>
      <c r="F17" s="28">
        <f>464547285.86</f>
        <v>464547285.86000001</v>
      </c>
      <c r="G17" s="28">
        <f>1706140965.71</f>
        <v>1706140965.71</v>
      </c>
      <c r="H17" s="28">
        <f>0</f>
        <v>0</v>
      </c>
      <c r="I17" s="28">
        <f>0</f>
        <v>0</v>
      </c>
      <c r="J17" s="28">
        <f>28772961478.91</f>
        <v>28772961478.91</v>
      </c>
      <c r="K17" s="28">
        <f>1649912107.71</f>
        <v>1649912107.71</v>
      </c>
      <c r="L17" s="28">
        <f>227427316.65</f>
        <v>227427316.65000001</v>
      </c>
      <c r="M17" s="28">
        <f>9289680.63</f>
        <v>9289680.6300000008</v>
      </c>
      <c r="N17" s="28">
        <f>5875646.08</f>
        <v>5875646.0800000001</v>
      </c>
      <c r="O17" s="28">
        <f>0</f>
        <v>0</v>
      </c>
      <c r="P17" s="28">
        <f>0</f>
        <v>0</v>
      </c>
      <c r="Q17" s="28">
        <f>0</f>
        <v>0</v>
      </c>
    </row>
    <row r="18" spans="1:17" ht="33" customHeight="1" x14ac:dyDescent="0.2">
      <c r="A18" s="20" t="s">
        <v>51</v>
      </c>
      <c r="B18" s="33">
        <f>436184491.37</f>
        <v>436184491.37</v>
      </c>
      <c r="C18" s="33">
        <f>436184491.37</f>
        <v>436184491.37</v>
      </c>
      <c r="D18" s="33">
        <f>23598558.5</f>
        <v>23598558.5</v>
      </c>
      <c r="E18" s="33">
        <f>14332818.95</f>
        <v>14332818.949999999</v>
      </c>
      <c r="F18" s="33">
        <f>945334.02</f>
        <v>945334.02</v>
      </c>
      <c r="G18" s="33">
        <f>8320405.53</f>
        <v>8320405.5300000003</v>
      </c>
      <c r="H18" s="33">
        <f>0</f>
        <v>0</v>
      </c>
      <c r="I18" s="33">
        <f>0</f>
        <v>0</v>
      </c>
      <c r="J18" s="33">
        <f>409869501.22</f>
        <v>409869501.22000003</v>
      </c>
      <c r="K18" s="33">
        <f>1881875.18</f>
        <v>1881875.18</v>
      </c>
      <c r="L18" s="33">
        <f>737580.65</f>
        <v>737580.65</v>
      </c>
      <c r="M18" s="33">
        <f>96975.82</f>
        <v>96975.82</v>
      </c>
      <c r="N18" s="33">
        <f>0</f>
        <v>0</v>
      </c>
      <c r="O18" s="33">
        <f>0</f>
        <v>0</v>
      </c>
      <c r="P18" s="33">
        <f>0</f>
        <v>0</v>
      </c>
      <c r="Q18" s="33">
        <f>0</f>
        <v>0</v>
      </c>
    </row>
    <row r="19" spans="1:17" ht="25.5" customHeight="1" x14ac:dyDescent="0.2">
      <c r="A19" s="21" t="s">
        <v>52</v>
      </c>
      <c r="B19" s="33">
        <f>32617447754.49</f>
        <v>32617447754.490002</v>
      </c>
      <c r="C19" s="33">
        <f>32617447754.49</f>
        <v>32617447754.490002</v>
      </c>
      <c r="D19" s="33">
        <f>2364567457.38</f>
        <v>2364567457.3800001</v>
      </c>
      <c r="E19" s="33">
        <f>203144945.36</f>
        <v>203144945.36000001</v>
      </c>
      <c r="F19" s="33">
        <f>463601951.84</f>
        <v>463601951.83999997</v>
      </c>
      <c r="G19" s="33">
        <f>1697820560.18</f>
        <v>1697820560.1800001</v>
      </c>
      <c r="H19" s="33">
        <f>0</f>
        <v>0</v>
      </c>
      <c r="I19" s="33">
        <f>0</f>
        <v>0</v>
      </c>
      <c r="J19" s="33">
        <f>28363091977.69</f>
        <v>28363091977.689999</v>
      </c>
      <c r="K19" s="33">
        <f>1648030232.53</f>
        <v>1648030232.53</v>
      </c>
      <c r="L19" s="33">
        <f>226689736</f>
        <v>226689736</v>
      </c>
      <c r="M19" s="33">
        <f>9192704.81</f>
        <v>9192704.8100000005</v>
      </c>
      <c r="N19" s="33">
        <f>5875646.08</f>
        <v>5875646.0800000001</v>
      </c>
      <c r="O19" s="33">
        <f>0</f>
        <v>0</v>
      </c>
      <c r="P19" s="33">
        <f>0</f>
        <v>0</v>
      </c>
      <c r="Q19" s="33">
        <f>0</f>
        <v>0</v>
      </c>
    </row>
    <row r="20" spans="1:17" ht="27.75" customHeight="1" x14ac:dyDescent="0.2">
      <c r="A20" s="31" t="s">
        <v>53</v>
      </c>
      <c r="B20" s="28">
        <f>0</f>
        <v>0</v>
      </c>
      <c r="C20" s="28">
        <f>0</f>
        <v>0</v>
      </c>
      <c r="D20" s="28">
        <f>0</f>
        <v>0</v>
      </c>
      <c r="E20" s="28">
        <f>0</f>
        <v>0</v>
      </c>
      <c r="F20" s="28">
        <f>0</f>
        <v>0</v>
      </c>
      <c r="G20" s="28">
        <f>0</f>
        <v>0</v>
      </c>
      <c r="H20" s="28">
        <f>0</f>
        <v>0</v>
      </c>
      <c r="I20" s="28">
        <f>0</f>
        <v>0</v>
      </c>
      <c r="J20" s="28">
        <f>0</f>
        <v>0</v>
      </c>
      <c r="K20" s="28">
        <f>0</f>
        <v>0</v>
      </c>
      <c r="L20" s="28">
        <f>0</f>
        <v>0</v>
      </c>
      <c r="M20" s="28">
        <f>0</f>
        <v>0</v>
      </c>
      <c r="N20" s="28">
        <f>0</f>
        <v>0</v>
      </c>
      <c r="O20" s="28">
        <f>0</f>
        <v>0</v>
      </c>
      <c r="P20" s="28">
        <f>0</f>
        <v>0</v>
      </c>
      <c r="Q20" s="28">
        <f>0</f>
        <v>0</v>
      </c>
    </row>
    <row r="21" spans="1:17" ht="36" x14ac:dyDescent="0.2">
      <c r="A21" s="32" t="s">
        <v>54</v>
      </c>
      <c r="B21" s="28">
        <f>65051584.94</f>
        <v>65051584.939999998</v>
      </c>
      <c r="C21" s="28">
        <f>65046783.49</f>
        <v>65046783.490000002</v>
      </c>
      <c r="D21" s="28">
        <f>11141630.94</f>
        <v>11141630.939999999</v>
      </c>
      <c r="E21" s="28">
        <f>8850.34</f>
        <v>8850.34</v>
      </c>
      <c r="F21" s="28">
        <f>142280.95</f>
        <v>142280.95000000001</v>
      </c>
      <c r="G21" s="28">
        <f>9903395.77</f>
        <v>9903395.7699999996</v>
      </c>
      <c r="H21" s="28">
        <f>1087103.88</f>
        <v>1087103.8799999999</v>
      </c>
      <c r="I21" s="28">
        <f>0</f>
        <v>0</v>
      </c>
      <c r="J21" s="28">
        <f>58210</f>
        <v>58210</v>
      </c>
      <c r="K21" s="28">
        <f>5082.67</f>
        <v>5082.67</v>
      </c>
      <c r="L21" s="28">
        <f>39424503.02</f>
        <v>39424503.020000003</v>
      </c>
      <c r="M21" s="28">
        <f>11122500.39</f>
        <v>11122500.390000001</v>
      </c>
      <c r="N21" s="28">
        <f>3294856.47</f>
        <v>3294856.47</v>
      </c>
      <c r="O21" s="28">
        <f>4801.45</f>
        <v>4801.45</v>
      </c>
      <c r="P21" s="28">
        <f>3737</f>
        <v>3737</v>
      </c>
      <c r="Q21" s="28">
        <f>1064.45</f>
        <v>1064.45</v>
      </c>
    </row>
    <row r="22" spans="1:17" ht="27" customHeight="1" x14ac:dyDescent="0.2">
      <c r="A22" s="19" t="s">
        <v>55</v>
      </c>
      <c r="B22" s="33">
        <f>34192227.03</f>
        <v>34192227.030000001</v>
      </c>
      <c r="C22" s="33">
        <f>34188490.03</f>
        <v>34188490.030000001</v>
      </c>
      <c r="D22" s="33">
        <f>1871103.48</f>
        <v>1871103.48</v>
      </c>
      <c r="E22" s="33">
        <f>7467.34</f>
        <v>7467.34</v>
      </c>
      <c r="F22" s="33">
        <f>13653.08</f>
        <v>13653.08</v>
      </c>
      <c r="G22" s="33">
        <f>1849983.06</f>
        <v>1849983.06</v>
      </c>
      <c r="H22" s="33">
        <f>0</f>
        <v>0</v>
      </c>
      <c r="I22" s="33">
        <f>0</f>
        <v>0</v>
      </c>
      <c r="J22" s="33">
        <f>0</f>
        <v>0</v>
      </c>
      <c r="K22" s="33">
        <f>2600.95</f>
        <v>2600.9499999999998</v>
      </c>
      <c r="L22" s="33">
        <f>23198981.32</f>
        <v>23198981.32</v>
      </c>
      <c r="M22" s="33">
        <f>7289433.21</f>
        <v>7289433.21</v>
      </c>
      <c r="N22" s="33">
        <f>1826371.07</f>
        <v>1826371.07</v>
      </c>
      <c r="O22" s="33">
        <f>3737</f>
        <v>3737</v>
      </c>
      <c r="P22" s="33">
        <f>3737</f>
        <v>3737</v>
      </c>
      <c r="Q22" s="33">
        <f>0</f>
        <v>0</v>
      </c>
    </row>
    <row r="23" spans="1:17" ht="31.5" customHeight="1" x14ac:dyDescent="0.2">
      <c r="A23" s="25" t="s">
        <v>56</v>
      </c>
      <c r="B23" s="33">
        <f>30859357.91</f>
        <v>30859357.91</v>
      </c>
      <c r="C23" s="33">
        <f>30858293.46</f>
        <v>30858293.460000001</v>
      </c>
      <c r="D23" s="33">
        <f>9270527.46</f>
        <v>9270527.4600000009</v>
      </c>
      <c r="E23" s="33">
        <f>1383</f>
        <v>1383</v>
      </c>
      <c r="F23" s="33">
        <f>128627.87</f>
        <v>128627.87</v>
      </c>
      <c r="G23" s="33">
        <f>8053412.71</f>
        <v>8053412.71</v>
      </c>
      <c r="H23" s="33">
        <f>1087103.88</f>
        <v>1087103.8799999999</v>
      </c>
      <c r="I23" s="33">
        <f>0</f>
        <v>0</v>
      </c>
      <c r="J23" s="33">
        <f>58210</f>
        <v>58210</v>
      </c>
      <c r="K23" s="33">
        <f>2481.72</f>
        <v>2481.7199999999998</v>
      </c>
      <c r="L23" s="33">
        <f>16225521.7</f>
        <v>16225521.699999999</v>
      </c>
      <c r="M23" s="33">
        <f>3833067.18</f>
        <v>3833067.18</v>
      </c>
      <c r="N23" s="33">
        <f>1468485.4</f>
        <v>1468485.4</v>
      </c>
      <c r="O23" s="33">
        <f>1064.45</f>
        <v>1064.45</v>
      </c>
      <c r="P23" s="33">
        <f>0</f>
        <v>0</v>
      </c>
      <c r="Q23" s="33">
        <f>1064.45</f>
        <v>1064.45</v>
      </c>
    </row>
    <row r="24" spans="1:17" ht="19.5" customHeight="1" x14ac:dyDescent="0.2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ht="19.5" customHeight="1" x14ac:dyDescent="0.2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ht="19.5" customHeight="1" x14ac:dyDescent="0.2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ht="19.5" customHeight="1" x14ac:dyDescent="0.2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19.5" customHeight="1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1:17" ht="19.5" customHeight="1" x14ac:dyDescent="0.2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1:17" ht="19.5" customHeight="1" x14ac:dyDescent="0.2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7" ht="19.5" customHeight="1" x14ac:dyDescent="0.2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1:17" ht="19.5" customHeight="1" x14ac:dyDescent="0.2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1:17" ht="19.5" customHeight="1" x14ac:dyDescent="0.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45.75" customHeight="1" x14ac:dyDescent="0.2">
      <c r="A34" s="51" t="str">
        <f>CONCATENATE("Informacja z wykonania budżetów gmin za ",$C$104," ",$B$105," roku   ",$B$107,"")</f>
        <v xml:space="preserve">Informacja z wykonania budżetów gmin za III Kwartały 2023 roku   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6" spans="1:17" ht="13.5" customHeight="1" x14ac:dyDescent="0.2">
      <c r="A36" s="55" t="s">
        <v>11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  <row r="38" spans="1:17" ht="13.5" customHeight="1" x14ac:dyDescent="0.2">
      <c r="A38" s="40" t="s">
        <v>0</v>
      </c>
      <c r="B38" s="56" t="s">
        <v>12</v>
      </c>
      <c r="C38" s="48" t="s">
        <v>14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50"/>
      <c r="O38" s="52" t="s">
        <v>24</v>
      </c>
      <c r="P38" s="53"/>
      <c r="Q38" s="54"/>
    </row>
    <row r="39" spans="1:17" ht="13.5" customHeight="1" x14ac:dyDescent="0.2">
      <c r="A39" s="41"/>
      <c r="B39" s="43"/>
      <c r="C39" s="43" t="s">
        <v>13</v>
      </c>
      <c r="D39" s="45" t="s">
        <v>15</v>
      </c>
      <c r="E39" s="45" t="s">
        <v>25</v>
      </c>
      <c r="F39" s="45" t="s">
        <v>26</v>
      </c>
      <c r="G39" s="45" t="s">
        <v>74</v>
      </c>
      <c r="H39" s="45" t="s">
        <v>28</v>
      </c>
      <c r="I39" s="45" t="s">
        <v>1</v>
      </c>
      <c r="J39" s="45" t="s">
        <v>16</v>
      </c>
      <c r="K39" s="45" t="s">
        <v>17</v>
      </c>
      <c r="L39" s="45" t="s">
        <v>18</v>
      </c>
      <c r="M39" s="45" t="s">
        <v>19</v>
      </c>
      <c r="N39" s="89" t="s">
        <v>20</v>
      </c>
      <c r="O39" s="47" t="s">
        <v>21</v>
      </c>
      <c r="P39" s="47" t="s">
        <v>22</v>
      </c>
      <c r="Q39" s="98" t="s">
        <v>23</v>
      </c>
    </row>
    <row r="40" spans="1:17" ht="11.25" customHeight="1" x14ac:dyDescent="0.2">
      <c r="A40" s="41"/>
      <c r="B40" s="43"/>
      <c r="C40" s="43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89"/>
      <c r="O40" s="47"/>
      <c r="P40" s="47"/>
      <c r="Q40" s="99"/>
    </row>
    <row r="41" spans="1:17" ht="32.25" customHeight="1" x14ac:dyDescent="0.2">
      <c r="A41" s="42"/>
      <c r="B41" s="44"/>
      <c r="C41" s="4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89"/>
      <c r="O41" s="47"/>
      <c r="P41" s="47"/>
      <c r="Q41" s="100"/>
    </row>
    <row r="42" spans="1:17" ht="12.75" customHeight="1" x14ac:dyDescent="0.2">
      <c r="A42" s="14">
        <v>1</v>
      </c>
      <c r="B42" s="14">
        <v>2</v>
      </c>
      <c r="C42" s="14">
        <v>3</v>
      </c>
      <c r="D42" s="14">
        <v>4</v>
      </c>
      <c r="E42" s="14">
        <v>5</v>
      </c>
      <c r="F42" s="14">
        <v>6</v>
      </c>
      <c r="G42" s="14">
        <v>7</v>
      </c>
      <c r="H42" s="14">
        <v>8</v>
      </c>
      <c r="I42" s="14">
        <v>9</v>
      </c>
      <c r="J42" s="14">
        <v>10</v>
      </c>
      <c r="K42" s="14">
        <v>11</v>
      </c>
      <c r="L42" s="14">
        <v>12</v>
      </c>
      <c r="M42" s="14">
        <v>13</v>
      </c>
      <c r="N42" s="14">
        <v>14</v>
      </c>
      <c r="O42" s="14">
        <v>15</v>
      </c>
      <c r="P42" s="14">
        <v>16</v>
      </c>
      <c r="Q42" s="14">
        <v>17</v>
      </c>
    </row>
    <row r="43" spans="1:17" ht="13.5" customHeight="1" x14ac:dyDescent="0.2">
      <c r="A43" s="14"/>
      <c r="B43" s="48" t="s">
        <v>80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</row>
    <row r="44" spans="1:17" ht="24.75" customHeight="1" x14ac:dyDescent="0.2">
      <c r="A44" s="34" t="s">
        <v>41</v>
      </c>
      <c r="B44" s="35">
        <f>9816597.58</f>
        <v>9816597.5800000001</v>
      </c>
      <c r="C44" s="35">
        <f>9816597.58</f>
        <v>9816597.5800000001</v>
      </c>
      <c r="D44" s="35">
        <f>308000</f>
        <v>308000</v>
      </c>
      <c r="E44" s="35">
        <f>0</f>
        <v>0</v>
      </c>
      <c r="F44" s="35">
        <f>0</f>
        <v>0</v>
      </c>
      <c r="G44" s="35">
        <f>308000</f>
        <v>308000</v>
      </c>
      <c r="H44" s="35">
        <f>0</f>
        <v>0</v>
      </c>
      <c r="I44" s="35">
        <f>0</f>
        <v>0</v>
      </c>
      <c r="J44" s="35">
        <f>129004.46</f>
        <v>129004.46</v>
      </c>
      <c r="K44" s="35">
        <f>25150</f>
        <v>25150</v>
      </c>
      <c r="L44" s="35">
        <f>1862134.21</f>
        <v>1862134.21</v>
      </c>
      <c r="M44" s="35">
        <f>7014321.81</f>
        <v>7014321.8099999996</v>
      </c>
      <c r="N44" s="35">
        <f>477987.1</f>
        <v>477987.1</v>
      </c>
      <c r="O44" s="35">
        <f>0</f>
        <v>0</v>
      </c>
      <c r="P44" s="35">
        <f>0</f>
        <v>0</v>
      </c>
      <c r="Q44" s="35">
        <f>0</f>
        <v>0</v>
      </c>
    </row>
    <row r="45" spans="1:17" ht="24.75" customHeight="1" x14ac:dyDescent="0.2">
      <c r="A45" s="23" t="s">
        <v>29</v>
      </c>
      <c r="B45" s="26">
        <f>468434.65</f>
        <v>468434.65</v>
      </c>
      <c r="C45" s="26">
        <f>468434.65</f>
        <v>468434.65</v>
      </c>
      <c r="D45" s="26">
        <f>0</f>
        <v>0</v>
      </c>
      <c r="E45" s="26">
        <f>0</f>
        <v>0</v>
      </c>
      <c r="F45" s="26">
        <f>0</f>
        <v>0</v>
      </c>
      <c r="G45" s="26">
        <f>0</f>
        <v>0</v>
      </c>
      <c r="H45" s="26">
        <f>0</f>
        <v>0</v>
      </c>
      <c r="I45" s="26">
        <f>0</f>
        <v>0</v>
      </c>
      <c r="J45" s="26">
        <f>6160.06</f>
        <v>6160.06</v>
      </c>
      <c r="K45" s="26">
        <f>0</f>
        <v>0</v>
      </c>
      <c r="L45" s="26">
        <f>145022.48</f>
        <v>145022.48000000001</v>
      </c>
      <c r="M45" s="26">
        <f>4377.11</f>
        <v>4377.1099999999997</v>
      </c>
      <c r="N45" s="26">
        <f>312875</f>
        <v>312875</v>
      </c>
      <c r="O45" s="15">
        <f>0</f>
        <v>0</v>
      </c>
      <c r="P45" s="15">
        <f>0</f>
        <v>0</v>
      </c>
      <c r="Q45" s="15">
        <f>0</f>
        <v>0</v>
      </c>
    </row>
    <row r="46" spans="1:17" ht="24.75" customHeight="1" x14ac:dyDescent="0.2">
      <c r="A46" s="23" t="s">
        <v>30</v>
      </c>
      <c r="B46" s="26">
        <f>9348162.93</f>
        <v>9348162.9299999997</v>
      </c>
      <c r="C46" s="26">
        <f>9348162.93</f>
        <v>9348162.9299999997</v>
      </c>
      <c r="D46" s="26">
        <f>308000</f>
        <v>308000</v>
      </c>
      <c r="E46" s="26">
        <f>0</f>
        <v>0</v>
      </c>
      <c r="F46" s="26">
        <f>0</f>
        <v>0</v>
      </c>
      <c r="G46" s="26">
        <f>308000</f>
        <v>308000</v>
      </c>
      <c r="H46" s="26">
        <f>0</f>
        <v>0</v>
      </c>
      <c r="I46" s="26">
        <f>0</f>
        <v>0</v>
      </c>
      <c r="J46" s="26">
        <f>122844.4</f>
        <v>122844.4</v>
      </c>
      <c r="K46" s="26">
        <f>25150</f>
        <v>25150</v>
      </c>
      <c r="L46" s="26">
        <f>1717111.73</f>
        <v>1717111.73</v>
      </c>
      <c r="M46" s="26">
        <f>7009944.7</f>
        <v>7009944.7000000002</v>
      </c>
      <c r="N46" s="26">
        <f>165112.1</f>
        <v>165112.1</v>
      </c>
      <c r="O46" s="15">
        <f>0</f>
        <v>0</v>
      </c>
      <c r="P46" s="15">
        <f>0</f>
        <v>0</v>
      </c>
      <c r="Q46" s="15">
        <f>0</f>
        <v>0</v>
      </c>
    </row>
    <row r="47" spans="1:17" ht="24.75" customHeight="1" x14ac:dyDescent="0.2">
      <c r="A47" s="24" t="s">
        <v>42</v>
      </c>
      <c r="B47" s="26">
        <f>481480193.62</f>
        <v>481480193.62</v>
      </c>
      <c r="C47" s="26">
        <f>481454309.96</f>
        <v>481454309.95999998</v>
      </c>
      <c r="D47" s="26">
        <f>40043805.29</f>
        <v>40043805.289999999</v>
      </c>
      <c r="E47" s="26">
        <f>43909.94</f>
        <v>43909.94</v>
      </c>
      <c r="F47" s="26">
        <f>79232</f>
        <v>79232</v>
      </c>
      <c r="G47" s="26">
        <f>29617775.35</f>
        <v>29617775.350000001</v>
      </c>
      <c r="H47" s="26">
        <f>10302888</f>
        <v>10302888</v>
      </c>
      <c r="I47" s="26">
        <f>0</f>
        <v>0</v>
      </c>
      <c r="J47" s="26">
        <f>52844.07</f>
        <v>52844.07</v>
      </c>
      <c r="K47" s="26">
        <f>1035427</f>
        <v>1035427</v>
      </c>
      <c r="L47" s="26">
        <f>207545968.67</f>
        <v>207545968.66999999</v>
      </c>
      <c r="M47" s="26">
        <f>190457072.56</f>
        <v>190457072.56</v>
      </c>
      <c r="N47" s="26">
        <f>42319192.37</f>
        <v>42319192.369999997</v>
      </c>
      <c r="O47" s="15">
        <f>25883.66</f>
        <v>25883.66</v>
      </c>
      <c r="P47" s="15">
        <f>3883.66</f>
        <v>3883.66</v>
      </c>
      <c r="Q47" s="15">
        <f>22000</f>
        <v>22000</v>
      </c>
    </row>
    <row r="48" spans="1:17" ht="24.75" customHeight="1" x14ac:dyDescent="0.2">
      <c r="A48" s="23" t="s">
        <v>31</v>
      </c>
      <c r="B48" s="26">
        <f>99932420.56</f>
        <v>99932420.560000002</v>
      </c>
      <c r="C48" s="26">
        <f>99910420.56</f>
        <v>99910420.560000002</v>
      </c>
      <c r="D48" s="26">
        <f>26804674.98</f>
        <v>26804674.98</v>
      </c>
      <c r="E48" s="26">
        <f>809.67</f>
        <v>809.67</v>
      </c>
      <c r="F48" s="26">
        <f>75000</f>
        <v>75000</v>
      </c>
      <c r="G48" s="26">
        <f>16428865.31</f>
        <v>16428865.310000001</v>
      </c>
      <c r="H48" s="26">
        <f>10300000</f>
        <v>10300000</v>
      </c>
      <c r="I48" s="26">
        <f>0</f>
        <v>0</v>
      </c>
      <c r="J48" s="26">
        <f>0</f>
        <v>0</v>
      </c>
      <c r="K48" s="26">
        <f>21000</f>
        <v>21000</v>
      </c>
      <c r="L48" s="26">
        <f>44150297.2</f>
        <v>44150297.200000003</v>
      </c>
      <c r="M48" s="26">
        <f>4951773.2</f>
        <v>4951773.2</v>
      </c>
      <c r="N48" s="26">
        <f>23982675.18</f>
        <v>23982675.18</v>
      </c>
      <c r="O48" s="15">
        <f>22000</f>
        <v>22000</v>
      </c>
      <c r="P48" s="15">
        <f>0</f>
        <v>0</v>
      </c>
      <c r="Q48" s="15">
        <f>22000</f>
        <v>22000</v>
      </c>
    </row>
    <row r="49" spans="1:17" ht="24.75" customHeight="1" x14ac:dyDescent="0.2">
      <c r="A49" s="23" t="s">
        <v>32</v>
      </c>
      <c r="B49" s="26">
        <f>381547773.06</f>
        <v>381547773.06</v>
      </c>
      <c r="C49" s="26">
        <f>381543889.4</f>
        <v>381543889.39999998</v>
      </c>
      <c r="D49" s="26">
        <f>13239130.31</f>
        <v>13239130.310000001</v>
      </c>
      <c r="E49" s="26">
        <f>43100.27</f>
        <v>43100.27</v>
      </c>
      <c r="F49" s="26">
        <f>4232</f>
        <v>4232</v>
      </c>
      <c r="G49" s="26">
        <f>13188910.04</f>
        <v>13188910.039999999</v>
      </c>
      <c r="H49" s="26">
        <f>2888</f>
        <v>2888</v>
      </c>
      <c r="I49" s="26">
        <f>0</f>
        <v>0</v>
      </c>
      <c r="J49" s="26">
        <f>52844.07</f>
        <v>52844.07</v>
      </c>
      <c r="K49" s="26">
        <f>1014427</f>
        <v>1014427</v>
      </c>
      <c r="L49" s="26">
        <f>163395671.47</f>
        <v>163395671.47</v>
      </c>
      <c r="M49" s="26">
        <f>185505299.36</f>
        <v>185505299.36000001</v>
      </c>
      <c r="N49" s="26">
        <f>18336517.19</f>
        <v>18336517.190000001</v>
      </c>
      <c r="O49" s="15">
        <f>3883.66</f>
        <v>3883.66</v>
      </c>
      <c r="P49" s="15">
        <f>3883.66</f>
        <v>3883.66</v>
      </c>
      <c r="Q49" s="15">
        <f>0</f>
        <v>0</v>
      </c>
    </row>
    <row r="50" spans="1:17" ht="24.75" customHeight="1" x14ac:dyDescent="0.2">
      <c r="A50" s="34" t="s">
        <v>43</v>
      </c>
      <c r="B50" s="35">
        <f>25841643700.47</f>
        <v>25841643700.470001</v>
      </c>
      <c r="C50" s="35">
        <f>25841643700.47</f>
        <v>25841643700.470001</v>
      </c>
      <c r="D50" s="35">
        <f>9497747.61</f>
        <v>9497747.6099999994</v>
      </c>
      <c r="E50" s="35">
        <f>368514.81</f>
        <v>368514.81</v>
      </c>
      <c r="F50" s="35">
        <f>12944.58</f>
        <v>12944.58</v>
      </c>
      <c r="G50" s="35">
        <f>9116288.22</f>
        <v>9116288.2200000007</v>
      </c>
      <c r="H50" s="35">
        <f>0</f>
        <v>0</v>
      </c>
      <c r="I50" s="35">
        <f>0</f>
        <v>0</v>
      </c>
      <c r="J50" s="35">
        <f>25820910529.37</f>
        <v>25820910529.369999</v>
      </c>
      <c r="K50" s="35">
        <f>157586.08</f>
        <v>157586.07999999999</v>
      </c>
      <c r="L50" s="35">
        <f>10960759.05</f>
        <v>10960759.050000001</v>
      </c>
      <c r="M50" s="35">
        <f>117078.36</f>
        <v>117078.36</v>
      </c>
      <c r="N50" s="35">
        <f>0</f>
        <v>0</v>
      </c>
      <c r="O50" s="35">
        <f>0</f>
        <v>0</v>
      </c>
      <c r="P50" s="35">
        <f>0</f>
        <v>0</v>
      </c>
      <c r="Q50" s="35">
        <f>0</f>
        <v>0</v>
      </c>
    </row>
    <row r="51" spans="1:17" ht="24.75" customHeight="1" x14ac:dyDescent="0.2">
      <c r="A51" s="23" t="s">
        <v>33</v>
      </c>
      <c r="B51" s="26">
        <f>9050751.02</f>
        <v>9050751.0199999996</v>
      </c>
      <c r="C51" s="26">
        <f>9050751.02</f>
        <v>9050751.0199999996</v>
      </c>
      <c r="D51" s="26">
        <f>9050751.02</f>
        <v>9050751.0199999996</v>
      </c>
      <c r="E51" s="26">
        <f>0</f>
        <v>0</v>
      </c>
      <c r="F51" s="26">
        <f>0</f>
        <v>0</v>
      </c>
      <c r="G51" s="26">
        <f>9050751.02</f>
        <v>9050751.0199999996</v>
      </c>
      <c r="H51" s="26">
        <f>0</f>
        <v>0</v>
      </c>
      <c r="I51" s="26">
        <f>0</f>
        <v>0</v>
      </c>
      <c r="J51" s="26">
        <f>0</f>
        <v>0</v>
      </c>
      <c r="K51" s="26">
        <f>0</f>
        <v>0</v>
      </c>
      <c r="L51" s="26">
        <f>0</f>
        <v>0</v>
      </c>
      <c r="M51" s="26">
        <f>0</f>
        <v>0</v>
      </c>
      <c r="N51" s="26">
        <f>0</f>
        <v>0</v>
      </c>
      <c r="O51" s="15">
        <f>0</f>
        <v>0</v>
      </c>
      <c r="P51" s="15">
        <f>0</f>
        <v>0</v>
      </c>
      <c r="Q51" s="15">
        <f>0</f>
        <v>0</v>
      </c>
    </row>
    <row r="52" spans="1:17" ht="24.75" customHeight="1" x14ac:dyDescent="0.2">
      <c r="A52" s="23" t="s">
        <v>34</v>
      </c>
      <c r="B52" s="26">
        <f>18712386531.17</f>
        <v>18712386531.169998</v>
      </c>
      <c r="C52" s="26">
        <f>18712386531.17</f>
        <v>18712386531.169998</v>
      </c>
      <c r="D52" s="26">
        <f>57848.16</f>
        <v>57848.160000000003</v>
      </c>
      <c r="E52" s="26">
        <f>47281.16</f>
        <v>47281.16</v>
      </c>
      <c r="F52" s="26">
        <f>6480</f>
        <v>6480</v>
      </c>
      <c r="G52" s="26">
        <f>4087</f>
        <v>4087</v>
      </c>
      <c r="H52" s="26">
        <f>0</f>
        <v>0</v>
      </c>
      <c r="I52" s="26">
        <f>0</f>
        <v>0</v>
      </c>
      <c r="J52" s="26">
        <f>18701531475.22</f>
        <v>18701531475.220001</v>
      </c>
      <c r="K52" s="26">
        <f>155079.76</f>
        <v>155079.76</v>
      </c>
      <c r="L52" s="26">
        <f>10642128.03</f>
        <v>10642128.029999999</v>
      </c>
      <c r="M52" s="26">
        <f>0</f>
        <v>0</v>
      </c>
      <c r="N52" s="26">
        <f>0</f>
        <v>0</v>
      </c>
      <c r="O52" s="15">
        <f>0</f>
        <v>0</v>
      </c>
      <c r="P52" s="15">
        <f>0</f>
        <v>0</v>
      </c>
      <c r="Q52" s="15">
        <f>0</f>
        <v>0</v>
      </c>
    </row>
    <row r="53" spans="1:17" ht="24.75" customHeight="1" x14ac:dyDescent="0.2">
      <c r="A53" s="23" t="s">
        <v>35</v>
      </c>
      <c r="B53" s="26">
        <f>7120206418.28</f>
        <v>7120206418.2799997</v>
      </c>
      <c r="C53" s="26">
        <f>7120206418.28</f>
        <v>7120206418.2799997</v>
      </c>
      <c r="D53" s="26">
        <f>389148.43</f>
        <v>389148.43</v>
      </c>
      <c r="E53" s="26">
        <f>321233.65</f>
        <v>321233.65000000002</v>
      </c>
      <c r="F53" s="26">
        <f>6464.58</f>
        <v>6464.58</v>
      </c>
      <c r="G53" s="26">
        <f>61450.2</f>
        <v>61450.2</v>
      </c>
      <c r="H53" s="26">
        <f>0</f>
        <v>0</v>
      </c>
      <c r="I53" s="26">
        <f>0</f>
        <v>0</v>
      </c>
      <c r="J53" s="26">
        <f>7119379054.15</f>
        <v>7119379054.1499996</v>
      </c>
      <c r="K53" s="26">
        <f>2506.32</f>
        <v>2506.3200000000002</v>
      </c>
      <c r="L53" s="26">
        <f>318631.02</f>
        <v>318631.02</v>
      </c>
      <c r="M53" s="26">
        <f>117078.36</f>
        <v>117078.36</v>
      </c>
      <c r="N53" s="26">
        <f>0</f>
        <v>0</v>
      </c>
      <c r="O53" s="15">
        <f>0</f>
        <v>0</v>
      </c>
      <c r="P53" s="15">
        <f>0</f>
        <v>0</v>
      </c>
      <c r="Q53" s="15">
        <f>0</f>
        <v>0</v>
      </c>
    </row>
    <row r="54" spans="1:17" ht="24.75" customHeight="1" x14ac:dyDescent="0.2">
      <c r="A54" s="34" t="s">
        <v>44</v>
      </c>
      <c r="B54" s="35">
        <f>10345206587.41</f>
        <v>10345206587.41</v>
      </c>
      <c r="C54" s="35">
        <f>10318185115.69</f>
        <v>10318185115.690001</v>
      </c>
      <c r="D54" s="35">
        <f>103028983.12</f>
        <v>103028983.12</v>
      </c>
      <c r="E54" s="35">
        <f>56097138.35</f>
        <v>56097138.350000001</v>
      </c>
      <c r="F54" s="35">
        <f>1969129.92</f>
        <v>1969129.92</v>
      </c>
      <c r="G54" s="35">
        <f>44607556.58</f>
        <v>44607556.579999998</v>
      </c>
      <c r="H54" s="35">
        <f>355158.27</f>
        <v>355158.27</v>
      </c>
      <c r="I54" s="35">
        <f>0</f>
        <v>0</v>
      </c>
      <c r="J54" s="35">
        <f>4334380.56</f>
        <v>4334380.5599999996</v>
      </c>
      <c r="K54" s="35">
        <f>12578969.06</f>
        <v>12578969.060000001</v>
      </c>
      <c r="L54" s="35">
        <f>2216295164.31</f>
        <v>2216295164.3099999</v>
      </c>
      <c r="M54" s="35">
        <f>7878086783.66</f>
        <v>7878086783.6599998</v>
      </c>
      <c r="N54" s="35">
        <f>103860834.98</f>
        <v>103860834.98</v>
      </c>
      <c r="O54" s="35">
        <f>27021471.72</f>
        <v>27021471.719999999</v>
      </c>
      <c r="P54" s="35">
        <f>18287862.18</f>
        <v>18287862.18</v>
      </c>
      <c r="Q54" s="35">
        <f>8733609.54</f>
        <v>8733609.5399999991</v>
      </c>
    </row>
    <row r="55" spans="1:17" ht="24.75" customHeight="1" x14ac:dyDescent="0.2">
      <c r="A55" s="22" t="s">
        <v>36</v>
      </c>
      <c r="B55" s="26">
        <f>1371344064.95</f>
        <v>1371344064.95</v>
      </c>
      <c r="C55" s="26">
        <f>1370598079.28</f>
        <v>1370598079.28</v>
      </c>
      <c r="D55" s="26">
        <f>8057637.23</f>
        <v>8057637.2300000004</v>
      </c>
      <c r="E55" s="26">
        <f>1891745.91</f>
        <v>1891745.91</v>
      </c>
      <c r="F55" s="26">
        <f>113638.33</f>
        <v>113638.33</v>
      </c>
      <c r="G55" s="26">
        <f>5888789.53</f>
        <v>5888789.5300000003</v>
      </c>
      <c r="H55" s="26">
        <f>163463.46</f>
        <v>163463.46</v>
      </c>
      <c r="I55" s="26">
        <f>0</f>
        <v>0</v>
      </c>
      <c r="J55" s="26">
        <f>618988.25</f>
        <v>618988.25</v>
      </c>
      <c r="K55" s="26">
        <f>263220.49</f>
        <v>263220.49</v>
      </c>
      <c r="L55" s="26">
        <f>213227360.42</f>
        <v>213227360.41999999</v>
      </c>
      <c r="M55" s="26">
        <f>1115595505.81</f>
        <v>1115595505.8099999</v>
      </c>
      <c r="N55" s="26">
        <f>32835367.08</f>
        <v>32835367.079999998</v>
      </c>
      <c r="O55" s="15">
        <f>745985.67</f>
        <v>745985.67</v>
      </c>
      <c r="P55" s="15">
        <f>528414.73</f>
        <v>528414.73</v>
      </c>
      <c r="Q55" s="15">
        <f>217570.94</f>
        <v>217570.94</v>
      </c>
    </row>
    <row r="56" spans="1:17" ht="24.75" customHeight="1" x14ac:dyDescent="0.2">
      <c r="A56" s="23" t="s">
        <v>37</v>
      </c>
      <c r="B56" s="26">
        <f>8973862522.46</f>
        <v>8973862522.4599991</v>
      </c>
      <c r="C56" s="26">
        <f>8947587036.41</f>
        <v>8947587036.4099998</v>
      </c>
      <c r="D56" s="26">
        <f>94971345.89</f>
        <v>94971345.890000001</v>
      </c>
      <c r="E56" s="26">
        <f>54205392.44</f>
        <v>54205392.439999998</v>
      </c>
      <c r="F56" s="26">
        <f>1855491.59</f>
        <v>1855491.59</v>
      </c>
      <c r="G56" s="26">
        <f>38718767.05</f>
        <v>38718767.049999997</v>
      </c>
      <c r="H56" s="26">
        <f>191694.81</f>
        <v>191694.81</v>
      </c>
      <c r="I56" s="26">
        <f>0</f>
        <v>0</v>
      </c>
      <c r="J56" s="26">
        <f>3715392.31</f>
        <v>3715392.31</v>
      </c>
      <c r="K56" s="26">
        <f>12315748.57</f>
        <v>12315748.57</v>
      </c>
      <c r="L56" s="26">
        <f>2003067803.89</f>
        <v>2003067803.8900001</v>
      </c>
      <c r="M56" s="26">
        <f>6762491277.85</f>
        <v>6762491277.8500004</v>
      </c>
      <c r="N56" s="26">
        <f>71025467.9</f>
        <v>71025467.900000006</v>
      </c>
      <c r="O56" s="15">
        <f>26275486.05</f>
        <v>26275486.050000001</v>
      </c>
      <c r="P56" s="15">
        <f>17759447.45</f>
        <v>17759447.449999999</v>
      </c>
      <c r="Q56" s="15">
        <f>8516038.6</f>
        <v>8516038.5999999996</v>
      </c>
    </row>
    <row r="57" spans="1:17" ht="24.75" customHeight="1" x14ac:dyDescent="0.2">
      <c r="A57" s="34" t="s">
        <v>45</v>
      </c>
      <c r="B57" s="35">
        <f>8911354784.62</f>
        <v>8911354784.6200008</v>
      </c>
      <c r="C57" s="35">
        <f>8910292079.43</f>
        <v>8910292079.4300003</v>
      </c>
      <c r="D57" s="35">
        <f>614140461.04</f>
        <v>614140461.03999996</v>
      </c>
      <c r="E57" s="35">
        <f>340147570.18</f>
        <v>340147570.18000001</v>
      </c>
      <c r="F57" s="35">
        <f>31520422.57</f>
        <v>31520422.57</v>
      </c>
      <c r="G57" s="35">
        <f>238134165.11</f>
        <v>238134165.11000001</v>
      </c>
      <c r="H57" s="35">
        <f>4338303.18</f>
        <v>4338303.18</v>
      </c>
      <c r="I57" s="35">
        <f>120436</f>
        <v>120436</v>
      </c>
      <c r="J57" s="35">
        <f>7981511.69</f>
        <v>7981511.6900000004</v>
      </c>
      <c r="K57" s="35">
        <f>29987627.2</f>
        <v>29987627.199999999</v>
      </c>
      <c r="L57" s="35">
        <f>4642613420.75</f>
        <v>4642613420.75</v>
      </c>
      <c r="M57" s="35">
        <f>3501096955.68</f>
        <v>3501096955.6799998</v>
      </c>
      <c r="N57" s="35">
        <f>114351667.07</f>
        <v>114351667.06999999</v>
      </c>
      <c r="O57" s="35">
        <f>1062705.19</f>
        <v>1062705.19</v>
      </c>
      <c r="P57" s="35">
        <f>623818.67</f>
        <v>623818.67000000004</v>
      </c>
      <c r="Q57" s="35">
        <f>438886.52</f>
        <v>438886.52</v>
      </c>
    </row>
    <row r="58" spans="1:17" ht="30" customHeight="1" x14ac:dyDescent="0.2">
      <c r="A58" s="22" t="s">
        <v>38</v>
      </c>
      <c r="B58" s="26">
        <f>755318249.75</f>
        <v>755318249.75</v>
      </c>
      <c r="C58" s="26">
        <f>755119884.92</f>
        <v>755119884.91999996</v>
      </c>
      <c r="D58" s="26">
        <f>51862476.98</f>
        <v>51862476.979999997</v>
      </c>
      <c r="E58" s="26">
        <f>3276530.19</f>
        <v>3276530.19</v>
      </c>
      <c r="F58" s="26">
        <f>985698.14</f>
        <v>985698.14</v>
      </c>
      <c r="G58" s="26">
        <f>46407847.6</f>
        <v>46407847.600000001</v>
      </c>
      <c r="H58" s="26">
        <f>1192401.05</f>
        <v>1192401.05</v>
      </c>
      <c r="I58" s="26">
        <f>0</f>
        <v>0</v>
      </c>
      <c r="J58" s="26">
        <f>437137.81</f>
        <v>437137.81</v>
      </c>
      <c r="K58" s="26">
        <f>971011.94</f>
        <v>971011.94</v>
      </c>
      <c r="L58" s="26">
        <f>300716265.55</f>
        <v>300716265.55000001</v>
      </c>
      <c r="M58" s="26">
        <f>386560326.66</f>
        <v>386560326.66000003</v>
      </c>
      <c r="N58" s="26">
        <f>14572665.98</f>
        <v>14572665.98</v>
      </c>
      <c r="O58" s="15">
        <f>198364.83</f>
        <v>198364.83</v>
      </c>
      <c r="P58" s="15">
        <f>32180.57</f>
        <v>32180.57</v>
      </c>
      <c r="Q58" s="15">
        <f>166184.26</f>
        <v>166184.26</v>
      </c>
    </row>
    <row r="59" spans="1:17" ht="36" x14ac:dyDescent="0.2">
      <c r="A59" s="22" t="s">
        <v>39</v>
      </c>
      <c r="B59" s="26">
        <f>4871501826.81</f>
        <v>4871501826.8100004</v>
      </c>
      <c r="C59" s="26">
        <f>4870820439.37</f>
        <v>4870820439.3699999</v>
      </c>
      <c r="D59" s="26">
        <f>187646799.4</f>
        <v>187646799.40000001</v>
      </c>
      <c r="E59" s="26">
        <f>111315991.65</f>
        <v>111315991.65000001</v>
      </c>
      <c r="F59" s="26">
        <f>17425466.38</f>
        <v>17425466.379999999</v>
      </c>
      <c r="G59" s="26">
        <f>57488102.95</f>
        <v>57488102.950000003</v>
      </c>
      <c r="H59" s="26">
        <f>1417238.42</f>
        <v>1417238.42</v>
      </c>
      <c r="I59" s="26">
        <f>120436</f>
        <v>120436</v>
      </c>
      <c r="J59" s="26">
        <f>5338569.63</f>
        <v>5338569.63</v>
      </c>
      <c r="K59" s="26">
        <f>10588925.52</f>
        <v>10588925.52</v>
      </c>
      <c r="L59" s="26">
        <f>3030465143.57</f>
        <v>3030465143.5700002</v>
      </c>
      <c r="M59" s="26">
        <f>1614178394.49</f>
        <v>1614178394.49</v>
      </c>
      <c r="N59" s="26">
        <f>22482170.76</f>
        <v>22482170.760000002</v>
      </c>
      <c r="O59" s="15">
        <f>681387.44</f>
        <v>681387.44</v>
      </c>
      <c r="P59" s="15">
        <f>542250.77</f>
        <v>542250.77</v>
      </c>
      <c r="Q59" s="15">
        <f>139136.67</f>
        <v>139136.67000000001</v>
      </c>
    </row>
    <row r="60" spans="1:17" ht="30.75" customHeight="1" x14ac:dyDescent="0.2">
      <c r="A60" s="22" t="s">
        <v>40</v>
      </c>
      <c r="B60" s="26">
        <f>3284534708.06</f>
        <v>3284534708.0599999</v>
      </c>
      <c r="C60" s="26">
        <f>3284351755.14</f>
        <v>3284351755.1399999</v>
      </c>
      <c r="D60" s="26">
        <f>374631184.66</f>
        <v>374631184.66000003</v>
      </c>
      <c r="E60" s="26">
        <f>225555048.34</f>
        <v>225555048.34</v>
      </c>
      <c r="F60" s="26">
        <f>13109258.05</f>
        <v>13109258.050000001</v>
      </c>
      <c r="G60" s="26">
        <f>134238214.56</f>
        <v>134238214.56</v>
      </c>
      <c r="H60" s="26">
        <f>1728663.71</f>
        <v>1728663.71</v>
      </c>
      <c r="I60" s="26">
        <f>0</f>
        <v>0</v>
      </c>
      <c r="J60" s="26">
        <f>2205804.25</f>
        <v>2205804.25</v>
      </c>
      <c r="K60" s="26">
        <f>18427689.74</f>
        <v>18427689.739999998</v>
      </c>
      <c r="L60" s="26">
        <f>1311432011.63</f>
        <v>1311432011.6300001</v>
      </c>
      <c r="M60" s="26">
        <f>1500358234.53</f>
        <v>1500358234.53</v>
      </c>
      <c r="N60" s="26">
        <f>77296830.33</f>
        <v>77296830.329999998</v>
      </c>
      <c r="O60" s="15">
        <f>182952.92</f>
        <v>182952.92</v>
      </c>
      <c r="P60" s="15">
        <f>49387.33</f>
        <v>49387.33</v>
      </c>
      <c r="Q60" s="15">
        <f>133565.59</f>
        <v>133565.59</v>
      </c>
    </row>
    <row r="77" spans="1:13" ht="75" customHeight="1" x14ac:dyDescent="0.2">
      <c r="A77" s="51" t="str">
        <f>CONCATENATE("Informacja z wykonania budżetów gmin za ",$C$104," ",$B$105," roku   ",$B$107,"")</f>
        <v xml:space="preserve">Informacja z wykonania budżetów gmin za III Kwartały 2023 roku   </v>
      </c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</row>
    <row r="78" spans="1:13" ht="13.5" customHeight="1" x14ac:dyDescent="0.2">
      <c r="B78" s="55" t="s">
        <v>2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</row>
    <row r="80" spans="1:13" ht="13.5" customHeight="1" x14ac:dyDescent="0.2">
      <c r="B80" s="80" t="s">
        <v>0</v>
      </c>
      <c r="C80" s="81"/>
      <c r="D80" s="81"/>
      <c r="E80" s="82"/>
      <c r="F80" s="90" t="s">
        <v>72</v>
      </c>
      <c r="G80" s="62" t="s">
        <v>78</v>
      </c>
      <c r="H80" s="63"/>
      <c r="I80" s="63"/>
      <c r="J80" s="63"/>
      <c r="K80" s="63"/>
      <c r="L80" s="64"/>
    </row>
    <row r="81" spans="1:13" ht="13.5" customHeight="1" x14ac:dyDescent="0.2">
      <c r="B81" s="83"/>
      <c r="C81" s="84"/>
      <c r="D81" s="84"/>
      <c r="E81" s="85"/>
      <c r="F81" s="91"/>
      <c r="G81" s="93" t="s">
        <v>73</v>
      </c>
      <c r="H81" s="46" t="s">
        <v>70</v>
      </c>
      <c r="I81" s="46" t="s">
        <v>71</v>
      </c>
      <c r="J81" s="46" t="s">
        <v>74</v>
      </c>
      <c r="K81" s="46" t="s">
        <v>75</v>
      </c>
      <c r="L81" s="94" t="s">
        <v>76</v>
      </c>
    </row>
    <row r="82" spans="1:13" ht="13.5" customHeight="1" x14ac:dyDescent="0.2">
      <c r="B82" s="83"/>
      <c r="C82" s="84"/>
      <c r="D82" s="84"/>
      <c r="E82" s="85"/>
      <c r="F82" s="91"/>
      <c r="G82" s="93"/>
      <c r="H82" s="46"/>
      <c r="I82" s="46"/>
      <c r="J82" s="46"/>
      <c r="K82" s="46"/>
      <c r="L82" s="94"/>
    </row>
    <row r="83" spans="1:13" ht="11.25" customHeight="1" x14ac:dyDescent="0.2">
      <c r="B83" s="83"/>
      <c r="C83" s="84"/>
      <c r="D83" s="84"/>
      <c r="E83" s="85"/>
      <c r="F83" s="91"/>
      <c r="G83" s="93"/>
      <c r="H83" s="46"/>
      <c r="I83" s="46"/>
      <c r="J83" s="46"/>
      <c r="K83" s="46"/>
      <c r="L83" s="94"/>
    </row>
    <row r="84" spans="1:13" ht="11.25" customHeight="1" x14ac:dyDescent="0.2">
      <c r="B84" s="86"/>
      <c r="C84" s="87"/>
      <c r="D84" s="87"/>
      <c r="E84" s="88"/>
      <c r="F84" s="92"/>
      <c r="G84" s="93"/>
      <c r="H84" s="46"/>
      <c r="I84" s="46"/>
      <c r="J84" s="46"/>
      <c r="K84" s="46"/>
      <c r="L84" s="94"/>
    </row>
    <row r="85" spans="1:13" ht="11.25" customHeight="1" x14ac:dyDescent="0.2">
      <c r="B85" s="46">
        <v>1</v>
      </c>
      <c r="C85" s="46"/>
      <c r="D85" s="46"/>
      <c r="E85" s="46"/>
      <c r="F85" s="3">
        <v>2</v>
      </c>
      <c r="G85" s="3">
        <v>3</v>
      </c>
      <c r="H85" s="3">
        <v>4</v>
      </c>
      <c r="I85" s="3">
        <v>5</v>
      </c>
      <c r="J85" s="3">
        <v>6</v>
      </c>
      <c r="K85" s="3">
        <v>7</v>
      </c>
      <c r="L85" s="13">
        <v>8</v>
      </c>
    </row>
    <row r="86" spans="1:13" ht="13.5" customHeight="1" x14ac:dyDescent="0.2">
      <c r="B86" s="46"/>
      <c r="C86" s="46"/>
      <c r="D86" s="46"/>
      <c r="E86" s="46"/>
      <c r="F86" s="62" t="s">
        <v>80</v>
      </c>
      <c r="G86" s="38"/>
      <c r="H86" s="38"/>
      <c r="I86" s="38"/>
      <c r="J86" s="38"/>
      <c r="K86" s="38"/>
      <c r="L86" s="39"/>
    </row>
    <row r="87" spans="1:13" ht="33.75" customHeight="1" x14ac:dyDescent="0.2">
      <c r="B87" s="73" t="s">
        <v>57</v>
      </c>
      <c r="C87" s="74"/>
      <c r="D87" s="74"/>
      <c r="E87" s="75"/>
      <c r="F87" s="33">
        <f>1103245651.88</f>
        <v>1103245651.8800001</v>
      </c>
      <c r="G87" s="33">
        <f>397779333.92</f>
        <v>397779333.92000002</v>
      </c>
      <c r="H87" s="33">
        <f>18636541.22</f>
        <v>18636541.219999999</v>
      </c>
      <c r="I87" s="33">
        <f>150721908.79</f>
        <v>150721908.78999999</v>
      </c>
      <c r="J87" s="33">
        <f>217713640.43</f>
        <v>217713640.43000001</v>
      </c>
      <c r="K87" s="33">
        <f>10707243.48</f>
        <v>10707243.48</v>
      </c>
      <c r="L87" s="33">
        <f>705466317.96</f>
        <v>705466317.96000004</v>
      </c>
    </row>
    <row r="88" spans="1:13" ht="33.75" customHeight="1" x14ac:dyDescent="0.2">
      <c r="B88" s="73" t="s">
        <v>58</v>
      </c>
      <c r="C88" s="74"/>
      <c r="D88" s="74"/>
      <c r="E88" s="75"/>
      <c r="F88" s="33">
        <f>822510.14</f>
        <v>822510.14</v>
      </c>
      <c r="G88" s="33">
        <f>821594</f>
        <v>821594</v>
      </c>
      <c r="H88" s="33">
        <f>0</f>
        <v>0</v>
      </c>
      <c r="I88" s="33">
        <f>0</f>
        <v>0</v>
      </c>
      <c r="J88" s="33">
        <f>821594</f>
        <v>821594</v>
      </c>
      <c r="K88" s="33">
        <f>0</f>
        <v>0</v>
      </c>
      <c r="L88" s="33">
        <f>916.14</f>
        <v>916.14</v>
      </c>
    </row>
    <row r="89" spans="1:13" ht="33.75" customHeight="1" x14ac:dyDescent="0.2">
      <c r="B89" s="73" t="s">
        <v>59</v>
      </c>
      <c r="C89" s="74"/>
      <c r="D89" s="74"/>
      <c r="E89" s="75"/>
      <c r="F89" s="33">
        <f>104526174.87</f>
        <v>104526174.87</v>
      </c>
      <c r="G89" s="33">
        <f>35881536.1</f>
        <v>35881536.100000001</v>
      </c>
      <c r="H89" s="33">
        <f>532575</f>
        <v>532575</v>
      </c>
      <c r="I89" s="33">
        <f>5933963.31</f>
        <v>5933963.3099999996</v>
      </c>
      <c r="J89" s="33">
        <f>29305411.75</f>
        <v>29305411.75</v>
      </c>
      <c r="K89" s="33">
        <f>109586.04</f>
        <v>109586.04</v>
      </c>
      <c r="L89" s="33">
        <f>68644638.77</f>
        <v>68644638.769999996</v>
      </c>
    </row>
    <row r="90" spans="1:13" ht="22.5" customHeight="1" x14ac:dyDescent="0.2">
      <c r="B90" s="73" t="s">
        <v>60</v>
      </c>
      <c r="C90" s="74"/>
      <c r="D90" s="74"/>
      <c r="E90" s="75"/>
      <c r="F90" s="33">
        <f>7184847.94</f>
        <v>7184847.9400000004</v>
      </c>
      <c r="G90" s="33">
        <f>0</f>
        <v>0</v>
      </c>
      <c r="H90" s="33">
        <f>0</f>
        <v>0</v>
      </c>
      <c r="I90" s="33">
        <f>0</f>
        <v>0</v>
      </c>
      <c r="J90" s="33">
        <f>0</f>
        <v>0</v>
      </c>
      <c r="K90" s="33">
        <f>0</f>
        <v>0</v>
      </c>
      <c r="L90" s="33">
        <f>7184847.94</f>
        <v>7184847.9400000004</v>
      </c>
    </row>
    <row r="91" spans="1:13" ht="33.75" customHeight="1" x14ac:dyDescent="0.2">
      <c r="B91" s="73" t="s">
        <v>61</v>
      </c>
      <c r="C91" s="74"/>
      <c r="D91" s="74"/>
      <c r="E91" s="75"/>
      <c r="F91" s="33">
        <f>23189.04</f>
        <v>23189.040000000001</v>
      </c>
      <c r="G91" s="33">
        <f>0</f>
        <v>0</v>
      </c>
      <c r="H91" s="33">
        <f>0</f>
        <v>0</v>
      </c>
      <c r="I91" s="33">
        <f>0</f>
        <v>0</v>
      </c>
      <c r="J91" s="33">
        <f>0</f>
        <v>0</v>
      </c>
      <c r="K91" s="33">
        <f>0</f>
        <v>0</v>
      </c>
      <c r="L91" s="33">
        <f>23189.04</f>
        <v>23189.040000000001</v>
      </c>
    </row>
    <row r="92" spans="1:13" ht="33.75" customHeight="1" x14ac:dyDescent="0.2">
      <c r="B92" s="73" t="s">
        <v>62</v>
      </c>
      <c r="C92" s="74"/>
      <c r="D92" s="74"/>
      <c r="E92" s="75"/>
      <c r="F92" s="33">
        <f>1021417.05</f>
        <v>1021417.05</v>
      </c>
      <c r="G92" s="33">
        <f>0</f>
        <v>0</v>
      </c>
      <c r="H92" s="33">
        <f>0</f>
        <v>0</v>
      </c>
      <c r="I92" s="33">
        <f>0</f>
        <v>0</v>
      </c>
      <c r="J92" s="33">
        <f>0</f>
        <v>0</v>
      </c>
      <c r="K92" s="33">
        <f>0</f>
        <v>0</v>
      </c>
      <c r="L92" s="33">
        <f>1021417.05</f>
        <v>1021417.05</v>
      </c>
    </row>
    <row r="93" spans="1:13" ht="22.5" customHeight="1" x14ac:dyDescent="0.2">
      <c r="B93" s="73" t="s">
        <v>63</v>
      </c>
      <c r="C93" s="74"/>
      <c r="D93" s="74"/>
      <c r="E93" s="75"/>
      <c r="F93" s="33">
        <f>958639</f>
        <v>958639</v>
      </c>
      <c r="G93" s="33">
        <f>0</f>
        <v>0</v>
      </c>
      <c r="H93" s="33">
        <f>0</f>
        <v>0</v>
      </c>
      <c r="I93" s="33">
        <f>0</f>
        <v>0</v>
      </c>
      <c r="J93" s="33">
        <f>0</f>
        <v>0</v>
      </c>
      <c r="K93" s="33">
        <f>0</f>
        <v>0</v>
      </c>
      <c r="L93" s="33">
        <f>958639</f>
        <v>958639</v>
      </c>
    </row>
    <row r="96" spans="1:13" ht="75" customHeight="1" x14ac:dyDescent="0.2">
      <c r="A96" s="51" t="str">
        <f>CONCATENATE("Informacja z wykonania budżetów gmin za ",$C$104," ",$B$105," roku   ",$B$107,"")</f>
        <v xml:space="preserve">Informacja z wykonania budżetów gmin za III Kwartały 2023 roku   </v>
      </c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</row>
    <row r="97" spans="1:11" ht="13.5" customHeight="1" x14ac:dyDescent="0.2">
      <c r="B97" s="4"/>
    </row>
    <row r="98" spans="1:11" ht="13.5" customHeight="1" x14ac:dyDescent="0.2">
      <c r="B98" s="5"/>
      <c r="C98" s="62"/>
      <c r="D98" s="63"/>
      <c r="E98" s="63"/>
      <c r="F98" s="64"/>
      <c r="G98" s="62" t="s">
        <v>3</v>
      </c>
      <c r="H98" s="64"/>
      <c r="I98" s="62" t="s">
        <v>4</v>
      </c>
      <c r="J98" s="64"/>
      <c r="K98" s="5"/>
    </row>
    <row r="99" spans="1:11" ht="13.5" customHeight="1" x14ac:dyDescent="0.2">
      <c r="B99" s="6"/>
      <c r="C99" s="70" t="s">
        <v>5</v>
      </c>
      <c r="D99" s="71"/>
      <c r="E99" s="71"/>
      <c r="F99" s="72"/>
      <c r="G99" s="66">
        <f>1369</f>
        <v>1369</v>
      </c>
      <c r="H99" s="67"/>
      <c r="I99" s="68">
        <f>5176360096.5</f>
        <v>5176360096.5</v>
      </c>
      <c r="J99" s="69"/>
      <c r="K99" s="7"/>
    </row>
    <row r="100" spans="1:11" ht="13.5" customHeight="1" x14ac:dyDescent="0.2">
      <c r="B100" s="6"/>
      <c r="C100" s="73" t="s">
        <v>6</v>
      </c>
      <c r="D100" s="74"/>
      <c r="E100" s="74"/>
      <c r="F100" s="75"/>
      <c r="G100" s="76">
        <f>1042</f>
        <v>1042</v>
      </c>
      <c r="H100" s="77"/>
      <c r="I100" s="78">
        <f>-3395766148.23</f>
        <v>-3395766148.23</v>
      </c>
      <c r="J100" s="79"/>
      <c r="K100" s="7"/>
    </row>
    <row r="101" spans="1:11" ht="13.5" customHeight="1" x14ac:dyDescent="0.2">
      <c r="B101" s="6"/>
      <c r="C101" s="70" t="s">
        <v>7</v>
      </c>
      <c r="D101" s="71"/>
      <c r="E101" s="71"/>
      <c r="F101" s="72"/>
      <c r="G101" s="66">
        <f>0</f>
        <v>0</v>
      </c>
      <c r="H101" s="67"/>
      <c r="I101" s="68">
        <f>0</f>
        <v>0</v>
      </c>
      <c r="J101" s="69"/>
      <c r="K101" s="7"/>
    </row>
    <row r="104" spans="1:11" ht="13.5" customHeight="1" x14ac:dyDescent="0.2">
      <c r="A104" s="8" t="s">
        <v>8</v>
      </c>
      <c r="B104" s="8">
        <f>3</f>
        <v>3</v>
      </c>
      <c r="C104" s="8" t="str">
        <f>IF(B104=1,"I Kwartał",IF(B104=2,"II Kwartały",IF(B104=3,"III Kwartały",IF(B104=4,"IV Kwartały","-"))))</f>
        <v>III Kwartały</v>
      </c>
    </row>
    <row r="105" spans="1:11" ht="13.5" customHeight="1" x14ac:dyDescent="0.2">
      <c r="A105" s="8" t="s">
        <v>9</v>
      </c>
      <c r="B105" s="8">
        <f>2023</f>
        <v>2023</v>
      </c>
      <c r="C105" s="9"/>
    </row>
    <row r="106" spans="1:11" ht="13.5" customHeight="1" x14ac:dyDescent="0.2">
      <c r="A106" s="8" t="s">
        <v>10</v>
      </c>
      <c r="B106" s="10" t="str">
        <f>"Nov 14 2023 12:00AM"</f>
        <v>Nov 14 2023 12:00AM</v>
      </c>
      <c r="C106" s="9"/>
    </row>
    <row r="107" spans="1:11" ht="13.5" customHeight="1" x14ac:dyDescent="0.2">
      <c r="A107" s="16" t="s">
        <v>79</v>
      </c>
      <c r="B107" s="10" t="str">
        <f>""</f>
        <v/>
      </c>
    </row>
  </sheetData>
  <mergeCells count="79">
    <mergeCell ref="O6:Q6"/>
    <mergeCell ref="O7:O10"/>
    <mergeCell ref="A77:M77"/>
    <mergeCell ref="L39:L41"/>
    <mergeCell ref="P39:P41"/>
    <mergeCell ref="Q39:Q41"/>
    <mergeCell ref="B86:E86"/>
    <mergeCell ref="B80:E84"/>
    <mergeCell ref="B93:E93"/>
    <mergeCell ref="A96:M96"/>
    <mergeCell ref="B89:E89"/>
    <mergeCell ref="B90:E90"/>
    <mergeCell ref="B91:E91"/>
    <mergeCell ref="B92:E92"/>
    <mergeCell ref="B88:E88"/>
    <mergeCell ref="B87:E87"/>
    <mergeCell ref="F80:F84"/>
    <mergeCell ref="G81:G84"/>
    <mergeCell ref="B85:E85"/>
    <mergeCell ref="F86:L86"/>
    <mergeCell ref="L81:L84"/>
    <mergeCell ref="G101:H101"/>
    <mergeCell ref="I101:J101"/>
    <mergeCell ref="C98:F98"/>
    <mergeCell ref="C99:F99"/>
    <mergeCell ref="C100:F100"/>
    <mergeCell ref="C101:F101"/>
    <mergeCell ref="G99:H99"/>
    <mergeCell ref="G98:H98"/>
    <mergeCell ref="G100:H100"/>
    <mergeCell ref="I100:J100"/>
    <mergeCell ref="I99:J99"/>
    <mergeCell ref="I98:J98"/>
    <mergeCell ref="A1:M1"/>
    <mergeCell ref="C5:M5"/>
    <mergeCell ref="A3:M3"/>
    <mergeCell ref="K7:K10"/>
    <mergeCell ref="C7:C10"/>
    <mergeCell ref="H7:H10"/>
    <mergeCell ref="I7:I10"/>
    <mergeCell ref="J7:J10"/>
    <mergeCell ref="G80:L80"/>
    <mergeCell ref="H81:H84"/>
    <mergeCell ref="I81:I84"/>
    <mergeCell ref="J81:J84"/>
    <mergeCell ref="B78:M78"/>
    <mergeCell ref="D39:D41"/>
    <mergeCell ref="M39:M41"/>
    <mergeCell ref="B43:Q43"/>
    <mergeCell ref="Q7:Q10"/>
    <mergeCell ref="C38:N38"/>
    <mergeCell ref="L7:L10"/>
    <mergeCell ref="M7:M10"/>
    <mergeCell ref="N7:N10"/>
    <mergeCell ref="P7:P10"/>
    <mergeCell ref="A34:M34"/>
    <mergeCell ref="O38:Q38"/>
    <mergeCell ref="A36:M36"/>
    <mergeCell ref="B6:B10"/>
    <mergeCell ref="A6:A10"/>
    <mergeCell ref="C6:N6"/>
    <mergeCell ref="D7:D10"/>
    <mergeCell ref="E7:E10"/>
    <mergeCell ref="G7:G10"/>
    <mergeCell ref="F7:F10"/>
    <mergeCell ref="B12:Q12"/>
    <mergeCell ref="A38:A41"/>
    <mergeCell ref="C39:C41"/>
    <mergeCell ref="E39:E41"/>
    <mergeCell ref="K81:K84"/>
    <mergeCell ref="F39:F41"/>
    <mergeCell ref="G39:G41"/>
    <mergeCell ref="H39:H41"/>
    <mergeCell ref="K39:K41"/>
    <mergeCell ref="I39:I41"/>
    <mergeCell ref="J39:J41"/>
    <mergeCell ref="B38:B41"/>
    <mergeCell ref="N39:N41"/>
    <mergeCell ref="O39:O41"/>
  </mergeCells>
  <phoneticPr fontId="4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33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2016-08-26T11:23:29Z</cp:lastPrinted>
  <dcterms:created xsi:type="dcterms:W3CDTF">2001-05-17T08:58:03Z</dcterms:created>
  <dcterms:modified xsi:type="dcterms:W3CDTF">2023-11-27T09:46:13Z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2023-11-27T10:46:10.8916975+01:00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GRN-f1248fe5-3fa1-4dc5-909b-55166f22cc1a</vt:lpwstr>
  </property>
  <property fmtid="{D5CDD505-2E9C-101B-9397-08002B2CF9AE}" pid="7" name="MFHash">
    <vt:lpwstr>14LLFJzIW2jQgAlYiPVJ4xIidisAXbA2Vyrzix23CIc=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