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ST\ST7\BeSTi@\2022\III KWARTAŁ\www\MF\Zestawienia zbiorcze\"/>
    </mc:Choice>
  </mc:AlternateContent>
  <bookViews>
    <workbookView xWindow="0" yWindow="0" windowWidth="19200" windowHeight="7300"/>
  </bookViews>
  <sheets>
    <sheet name="doch_wyd" sheetId="4" r:id="rId1"/>
  </sheets>
  <definedNames>
    <definedName name="_xlnm.Print_Area" localSheetId="0">doch_wyd!$A$1:$M$116</definedName>
  </definedNames>
  <calcPr calcId="152511"/>
</workbook>
</file>

<file path=xl/calcChain.xml><?xml version="1.0" encoding="utf-8"?>
<calcChain xmlns="http://schemas.openxmlformats.org/spreadsheetml/2006/main">
  <c r="C116" i="4" l="1"/>
  <c r="C115" i="4"/>
  <c r="C114" i="4"/>
  <c r="D111" i="4"/>
  <c r="C111" i="4"/>
  <c r="D110" i="4"/>
  <c r="C110" i="4"/>
  <c r="D109" i="4"/>
  <c r="C109" i="4"/>
  <c r="D108" i="4"/>
  <c r="C108" i="4"/>
  <c r="D107" i="4"/>
  <c r="C107" i="4"/>
  <c r="D106" i="4"/>
  <c r="C106" i="4"/>
  <c r="D105" i="4"/>
  <c r="C105" i="4"/>
  <c r="D104" i="4"/>
  <c r="C104" i="4"/>
  <c r="D99" i="4"/>
  <c r="C99" i="4"/>
  <c r="D98" i="4"/>
  <c r="C98" i="4"/>
  <c r="D97" i="4"/>
  <c r="C97" i="4"/>
  <c r="D96" i="4"/>
  <c r="C96" i="4"/>
  <c r="D95" i="4"/>
  <c r="C95" i="4"/>
  <c r="D94" i="4"/>
  <c r="C94" i="4"/>
  <c r="D93" i="4"/>
  <c r="C93" i="4"/>
  <c r="D92" i="4"/>
  <c r="C92" i="4"/>
  <c r="D91" i="4"/>
  <c r="C91" i="4"/>
  <c r="D90" i="4"/>
  <c r="C90" i="4"/>
  <c r="D89" i="4"/>
  <c r="C89" i="4"/>
  <c r="D88" i="4"/>
  <c r="C88" i="4"/>
  <c r="D87" i="4"/>
  <c r="C87" i="4"/>
  <c r="D86" i="4"/>
  <c r="C86" i="4"/>
  <c r="I80" i="4"/>
  <c r="H80" i="4"/>
  <c r="G80" i="4"/>
  <c r="F80" i="4"/>
  <c r="E80" i="4"/>
  <c r="D80" i="4"/>
  <c r="C80" i="4"/>
  <c r="I79" i="4"/>
  <c r="H79" i="4"/>
  <c r="G79" i="4"/>
  <c r="F79" i="4"/>
  <c r="E79" i="4"/>
  <c r="D79" i="4"/>
  <c r="C79" i="4"/>
  <c r="I73" i="4"/>
  <c r="H73" i="4"/>
  <c r="G73" i="4"/>
  <c r="F73" i="4"/>
  <c r="E73" i="4"/>
  <c r="D73" i="4"/>
  <c r="C73" i="4"/>
  <c r="I72" i="4"/>
  <c r="H72" i="4"/>
  <c r="G72" i="4"/>
  <c r="F72" i="4"/>
  <c r="E72" i="4"/>
  <c r="D72" i="4"/>
  <c r="C72" i="4"/>
  <c r="I71" i="4"/>
  <c r="H71" i="4"/>
  <c r="G71" i="4"/>
  <c r="F71" i="4"/>
  <c r="E71" i="4"/>
  <c r="D71" i="4"/>
  <c r="C71" i="4"/>
  <c r="I70" i="4"/>
  <c r="H70" i="4"/>
  <c r="G70" i="4"/>
  <c r="F70" i="4"/>
  <c r="E70" i="4"/>
  <c r="D70" i="4"/>
  <c r="C70" i="4"/>
  <c r="I69" i="4"/>
  <c r="H69" i="4"/>
  <c r="G69" i="4"/>
  <c r="F69" i="4"/>
  <c r="E69" i="4"/>
  <c r="D69" i="4"/>
  <c r="C69" i="4"/>
  <c r="I67" i="4"/>
  <c r="H67" i="4"/>
  <c r="G67" i="4"/>
  <c r="F67" i="4"/>
  <c r="E67" i="4"/>
  <c r="D67" i="4"/>
  <c r="C67" i="4"/>
  <c r="I66" i="4"/>
  <c r="H66" i="4"/>
  <c r="G66" i="4"/>
  <c r="F66" i="4"/>
  <c r="E66" i="4"/>
  <c r="D66" i="4"/>
  <c r="C66" i="4"/>
  <c r="I65" i="4"/>
  <c r="H65" i="4"/>
  <c r="G65" i="4"/>
  <c r="F65" i="4"/>
  <c r="E65" i="4"/>
  <c r="D65" i="4"/>
  <c r="C65" i="4"/>
  <c r="I55" i="4"/>
  <c r="H55" i="4"/>
  <c r="G55" i="4"/>
  <c r="F55" i="4"/>
  <c r="E55" i="4"/>
  <c r="D55" i="4"/>
  <c r="C55" i="4"/>
  <c r="D52" i="4"/>
  <c r="C52" i="4"/>
  <c r="D51" i="4"/>
  <c r="C51" i="4"/>
  <c r="D50" i="4"/>
  <c r="C50" i="4"/>
  <c r="D49" i="4"/>
  <c r="C49" i="4"/>
  <c r="D48" i="4"/>
  <c r="C48" i="4"/>
  <c r="D47" i="4"/>
  <c r="C47" i="4"/>
  <c r="D45" i="4"/>
  <c r="C45" i="4"/>
  <c r="D44" i="4"/>
  <c r="C44" i="4"/>
  <c r="D43" i="4"/>
  <c r="C43" i="4"/>
  <c r="D42" i="4"/>
  <c r="C42" i="4"/>
  <c r="D41" i="4"/>
  <c r="C41" i="4"/>
  <c r="D40" i="4"/>
  <c r="C40" i="4"/>
  <c r="D39" i="4"/>
  <c r="C39" i="4"/>
  <c r="D38" i="4"/>
  <c r="C38" i="4"/>
  <c r="D37" i="4"/>
  <c r="C37" i="4"/>
  <c r="D36" i="4"/>
  <c r="C36" i="4"/>
  <c r="D35" i="4"/>
  <c r="C35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I20" i="4"/>
  <c r="H20" i="4"/>
  <c r="G20" i="4"/>
  <c r="F20" i="4"/>
  <c r="E20" i="4"/>
  <c r="D20" i="4"/>
  <c r="C20" i="4"/>
  <c r="I19" i="4"/>
  <c r="H19" i="4"/>
  <c r="G19" i="4"/>
  <c r="F19" i="4"/>
  <c r="E19" i="4"/>
  <c r="D19" i="4"/>
  <c r="C19" i="4"/>
  <c r="I18" i="4"/>
  <c r="H18" i="4"/>
  <c r="G18" i="4"/>
  <c r="F18" i="4"/>
  <c r="E18" i="4"/>
  <c r="D18" i="4"/>
  <c r="C18" i="4"/>
  <c r="I17" i="4"/>
  <c r="H17" i="4"/>
  <c r="G17" i="4"/>
  <c r="F17" i="4"/>
  <c r="E17" i="4"/>
  <c r="D17" i="4"/>
  <c r="C17" i="4"/>
  <c r="I16" i="4"/>
  <c r="H16" i="4"/>
  <c r="G16" i="4"/>
  <c r="F16" i="4"/>
  <c r="E16" i="4"/>
  <c r="D16" i="4"/>
  <c r="J16" i="4" s="1"/>
  <c r="C16" i="4"/>
  <c r="I15" i="4"/>
  <c r="H15" i="4"/>
  <c r="G15" i="4"/>
  <c r="F15" i="4"/>
  <c r="E15" i="4"/>
  <c r="D15" i="4"/>
  <c r="C15" i="4"/>
  <c r="I14" i="4"/>
  <c r="H14" i="4"/>
  <c r="G14" i="4"/>
  <c r="F14" i="4"/>
  <c r="E14" i="4"/>
  <c r="D14" i="4"/>
  <c r="C14" i="4"/>
  <c r="I13" i="4"/>
  <c r="H13" i="4"/>
  <c r="G13" i="4"/>
  <c r="F13" i="4"/>
  <c r="E13" i="4"/>
  <c r="D13" i="4"/>
  <c r="C13" i="4"/>
  <c r="I12" i="4"/>
  <c r="H12" i="4"/>
  <c r="G12" i="4"/>
  <c r="F12" i="4"/>
  <c r="E12" i="4"/>
  <c r="D12" i="4"/>
  <c r="C12" i="4"/>
  <c r="I11" i="4"/>
  <c r="H11" i="4"/>
  <c r="G11" i="4"/>
  <c r="F11" i="4"/>
  <c r="E11" i="4"/>
  <c r="D11" i="4"/>
  <c r="C11" i="4"/>
  <c r="I10" i="4"/>
  <c r="H10" i="4"/>
  <c r="G10" i="4"/>
  <c r="F10" i="4"/>
  <c r="E10" i="4"/>
  <c r="D10" i="4"/>
  <c r="C10" i="4"/>
  <c r="I9" i="4"/>
  <c r="H9" i="4"/>
  <c r="G9" i="4"/>
  <c r="F9" i="4"/>
  <c r="E9" i="4"/>
  <c r="D9" i="4"/>
  <c r="C9" i="4"/>
  <c r="I8" i="4"/>
  <c r="H8" i="4"/>
  <c r="G8" i="4"/>
  <c r="F8" i="4"/>
  <c r="E8" i="4"/>
  <c r="D8" i="4"/>
  <c r="C8" i="4"/>
  <c r="I6" i="4"/>
  <c r="H6" i="4"/>
  <c r="G6" i="4"/>
  <c r="F6" i="4"/>
  <c r="E6" i="4"/>
  <c r="D6" i="4"/>
  <c r="C6" i="4"/>
  <c r="C54" i="4" s="1"/>
  <c r="D23" i="4"/>
  <c r="D22" i="4"/>
  <c r="J22" i="4" s="1"/>
  <c r="C23" i="4"/>
  <c r="C22" i="4" s="1"/>
  <c r="K6" i="4"/>
  <c r="C75" i="4"/>
  <c r="G7" i="4"/>
  <c r="G54" i="4"/>
  <c r="G56" i="4"/>
  <c r="K11" i="4"/>
  <c r="K19" i="4"/>
  <c r="K25" i="4"/>
  <c r="K29" i="4"/>
  <c r="K33" i="4"/>
  <c r="K37" i="4"/>
  <c r="K41" i="4"/>
  <c r="K45" i="4"/>
  <c r="K50" i="4"/>
  <c r="F68" i="4"/>
  <c r="F74" i="4" s="1"/>
  <c r="K71" i="4"/>
  <c r="F81" i="4"/>
  <c r="H7" i="4"/>
  <c r="H21" i="4" s="1"/>
  <c r="H54" i="4"/>
  <c r="H56" i="4"/>
  <c r="K10" i="4"/>
  <c r="K18" i="4"/>
  <c r="G68" i="4"/>
  <c r="G74" i="4" s="1"/>
  <c r="K70" i="4"/>
  <c r="G81" i="4"/>
  <c r="K89" i="4"/>
  <c r="K93" i="4"/>
  <c r="K97" i="4"/>
  <c r="I54" i="4"/>
  <c r="I56" i="4" s="1"/>
  <c r="I7" i="4"/>
  <c r="I21" i="4"/>
  <c r="K9" i="4"/>
  <c r="K26" i="4"/>
  <c r="K30" i="4"/>
  <c r="K34" i="4"/>
  <c r="K38" i="4"/>
  <c r="K42" i="4"/>
  <c r="K47" i="4"/>
  <c r="C46" i="4"/>
  <c r="K51" i="4"/>
  <c r="H68" i="4"/>
  <c r="H74" i="4"/>
  <c r="K69" i="4"/>
  <c r="H81" i="4"/>
  <c r="K8" i="4"/>
  <c r="K16" i="4"/>
  <c r="D46" i="4"/>
  <c r="J46" i="4" s="1"/>
  <c r="I68" i="4"/>
  <c r="I74" i="4"/>
  <c r="K67" i="4"/>
  <c r="I81" i="4"/>
  <c r="K86" i="4"/>
  <c r="K90" i="4"/>
  <c r="K94" i="4"/>
  <c r="K98" i="4"/>
  <c r="K31" i="4"/>
  <c r="K35" i="4"/>
  <c r="K48" i="4"/>
  <c r="K66" i="4"/>
  <c r="K80" i="4"/>
  <c r="J36" i="4"/>
  <c r="J8" i="4"/>
  <c r="J43" i="4"/>
  <c r="J45" i="4"/>
  <c r="J42" i="4"/>
  <c r="J26" i="4"/>
  <c r="J38" i="4"/>
  <c r="J19" i="4"/>
  <c r="J11" i="4"/>
  <c r="J34" i="4"/>
  <c r="J50" i="4"/>
  <c r="D54" i="4"/>
  <c r="D75" i="4"/>
  <c r="J10" i="4"/>
  <c r="J15" i="4"/>
  <c r="J20" i="4"/>
  <c r="J30" i="4"/>
  <c r="J23" i="4"/>
  <c r="J33" i="4"/>
  <c r="J35" i="4"/>
  <c r="J24" i="4"/>
  <c r="J32" i="4"/>
  <c r="J25" i="4"/>
  <c r="J29" i="4"/>
  <c r="J17" i="4"/>
  <c r="J27" i="4"/>
  <c r="J52" i="4"/>
  <c r="J51" i="4"/>
  <c r="J48" i="4"/>
  <c r="J12" i="4"/>
  <c r="J49" i="4"/>
  <c r="J47" i="4"/>
  <c r="J40" i="4"/>
  <c r="J14" i="4"/>
  <c r="J13" i="4"/>
  <c r="J28" i="4"/>
  <c r="J41" i="4"/>
  <c r="J37" i="4"/>
  <c r="J18" i="4"/>
  <c r="J39" i="4"/>
  <c r="J6" i="4"/>
  <c r="J31" i="4"/>
  <c r="J44" i="4"/>
  <c r="J9" i="4"/>
  <c r="K15" i="4"/>
  <c r="K27" i="4"/>
  <c r="K43" i="4"/>
  <c r="K65" i="4"/>
  <c r="C68" i="4"/>
  <c r="K79" i="4"/>
  <c r="C81" i="4"/>
  <c r="K81" i="4" s="1"/>
  <c r="K87" i="4"/>
  <c r="K95" i="4"/>
  <c r="E7" i="4"/>
  <c r="E21" i="4" s="1"/>
  <c r="E54" i="4"/>
  <c r="E56" i="4" s="1"/>
  <c r="K13" i="4"/>
  <c r="K24" i="4"/>
  <c r="K28" i="4"/>
  <c r="K32" i="4"/>
  <c r="K36" i="4"/>
  <c r="K40" i="4"/>
  <c r="K44" i="4"/>
  <c r="K49" i="4"/>
  <c r="K55" i="4"/>
  <c r="D68" i="4"/>
  <c r="J68" i="4" s="1"/>
  <c r="J73" i="4"/>
  <c r="J65" i="4"/>
  <c r="J66" i="4"/>
  <c r="J72" i="4"/>
  <c r="J71" i="4"/>
  <c r="J67" i="4"/>
  <c r="J69" i="4"/>
  <c r="J70" i="4"/>
  <c r="K73" i="4"/>
  <c r="J79" i="4"/>
  <c r="D81" i="4"/>
  <c r="J81" i="4"/>
  <c r="J80" i="4"/>
  <c r="J97" i="4"/>
  <c r="J98" i="4"/>
  <c r="J95" i="4"/>
  <c r="J96" i="4"/>
  <c r="J99" i="4"/>
  <c r="K39" i="4"/>
  <c r="K52" i="4"/>
  <c r="J87" i="4"/>
  <c r="J91" i="4"/>
  <c r="J88" i="4"/>
  <c r="J89" i="4"/>
  <c r="J92" i="4"/>
  <c r="J94" i="4"/>
  <c r="J90" i="4"/>
  <c r="J93" i="4"/>
  <c r="J86" i="4"/>
  <c r="K14" i="4"/>
  <c r="K91" i="4"/>
  <c r="K99" i="4"/>
  <c r="D114" i="4"/>
  <c r="B82" i="4" s="1"/>
  <c r="F7" i="4"/>
  <c r="F21" i="4" s="1"/>
  <c r="F54" i="4"/>
  <c r="F56" i="4" s="1"/>
  <c r="K12" i="4"/>
  <c r="K20" i="4"/>
  <c r="E68" i="4"/>
  <c r="E74" i="4"/>
  <c r="K72" i="4"/>
  <c r="E81" i="4"/>
  <c r="K88" i="4"/>
  <c r="K92" i="4"/>
  <c r="K96" i="4"/>
  <c r="D56" i="4"/>
  <c r="J56" i="4" s="1"/>
  <c r="J54" i="4"/>
  <c r="J55" i="4"/>
  <c r="C74" i="4"/>
  <c r="B1" i="4" l="1"/>
  <c r="B58" i="4"/>
  <c r="D74" i="4"/>
  <c r="J74" i="4" s="1"/>
  <c r="K68" i="4"/>
  <c r="K46" i="4"/>
  <c r="K23" i="4"/>
  <c r="D7" i="4"/>
  <c r="D21" i="4" s="1"/>
  <c r="J21" i="4" s="1"/>
  <c r="K22" i="4"/>
  <c r="C7" i="4"/>
  <c r="K17" i="4"/>
  <c r="G21" i="4"/>
  <c r="D76" i="4"/>
  <c r="K54" i="4"/>
  <c r="C56" i="4"/>
  <c r="K74" i="4" l="1"/>
  <c r="L16" i="4"/>
  <c r="L11" i="4"/>
  <c r="K7" i="4"/>
  <c r="C21" i="4"/>
  <c r="K21" i="4" s="1"/>
  <c r="L13" i="4"/>
  <c r="J7" i="4"/>
  <c r="L14" i="4"/>
  <c r="L19" i="4"/>
  <c r="L7" i="4"/>
  <c r="L17" i="4"/>
  <c r="L15" i="4"/>
  <c r="L12" i="4"/>
  <c r="L18" i="4"/>
  <c r="L20" i="4"/>
  <c r="L8" i="4"/>
  <c r="L10" i="4"/>
  <c r="L9" i="4"/>
  <c r="L21" i="4"/>
  <c r="C76" i="4"/>
  <c r="K56" i="4"/>
</calcChain>
</file>

<file path=xl/sharedStrings.xml><?xml version="1.0" encoding="utf-8"?>
<sst xmlns="http://schemas.openxmlformats.org/spreadsheetml/2006/main" count="356" uniqueCount="112">
  <si>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</si>
  <si>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</si>
  <si>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</si>
  <si>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</si>
  <si>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</si>
  <si>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</si>
  <si>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</si>
  <si>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</si>
  <si>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</si>
  <si>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</si>
  <si>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</si>
  <si>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</si>
  <si>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</si>
  <si>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</si>
  <si>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</si>
  <si>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</si>
  <si>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</si>
  <si>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</si>
  <si>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</si>
  <si>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 xml:space="preserve">podatek dochodowy od osób fizycznych </t>
  </si>
  <si>
    <t xml:space="preserve">podatek rolny  </t>
  </si>
  <si>
    <t xml:space="preserve">podatek od nieruchomości </t>
  </si>
  <si>
    <t xml:space="preserve">podatek leśny        </t>
  </si>
  <si>
    <t>podatek od środków transportowych</t>
  </si>
  <si>
    <t>dochody z majątku</t>
  </si>
  <si>
    <t xml:space="preserve">pozostałe dochody </t>
  </si>
  <si>
    <t>Struktura</t>
  </si>
  <si>
    <t>Wskaźnik</t>
  </si>
  <si>
    <t xml:space="preserve">podatek od spadków i darowizn       </t>
  </si>
  <si>
    <t>podatek od czynności cywilnoprawnych</t>
  </si>
  <si>
    <t xml:space="preserve">wpływy z opłaty skarbowej        </t>
  </si>
  <si>
    <t>wpływy z opłaty eksploatacyjnej</t>
  </si>
  <si>
    <t>wpływy z opłaty targowej</t>
  </si>
  <si>
    <t>inne cele</t>
  </si>
  <si>
    <t>w tym wymagalne:</t>
  </si>
  <si>
    <t xml:space="preserve">podatek dochodowy od osób prawnych 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</si>
  <si>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</si>
  <si>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</si>
  <si>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</si>
  <si>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</si>
  <si>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</si>
  <si>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</si>
  <si>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</si>
  <si>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uzupełnienie subwencji ogólnej</t>
  </si>
  <si>
    <t xml:space="preserve">podatek od dział. gosp. osób fizycznych, opłacany w formie karty podatkowej </t>
  </si>
  <si>
    <t>część równoważąca</t>
  </si>
  <si>
    <t>część rekompensująca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</si>
  <si>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</si>
  <si>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</si>
  <si>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</si>
  <si>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</si>
  <si>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</si>
  <si>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</si>
  <si>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</si>
  <si>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</si>
  <si>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</si>
  <si>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</si>
  <si>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</si>
  <si>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część regionalna</t>
  </si>
  <si>
    <t>#</t>
  </si>
  <si>
    <t>Razem dochody własne 
z tego: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</si>
  <si>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</si>
  <si>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</si>
  <si>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</si>
  <si>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</si>
  <si>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</si>
  <si>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</si>
  <si>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</si>
  <si>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</si>
  <si>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</si>
  <si>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</si>
  <si>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</si>
  <si>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r>
      <t xml:space="preserve">Dotacje </t>
    </r>
    <r>
      <rPr>
        <b/>
        <sz val="10"/>
        <color indexed="8"/>
        <rFont val="Arial"/>
        <charset val="238"/>
      </rPr>
      <t>§§ 200 i 620</t>
    </r>
  </si>
  <si>
    <r>
      <t xml:space="preserve">w tym: inwestycyjne </t>
    </r>
    <r>
      <rPr>
        <sz val="8"/>
        <color indexed="8"/>
        <rFont val="Arial"/>
        <charset val="238"/>
      </rPr>
      <t>§</t>
    </r>
    <r>
      <rPr>
        <sz val="8"/>
        <color indexed="8"/>
        <rFont val="Arial"/>
        <family val="2"/>
        <charset val="238"/>
      </rPr>
      <t xml:space="preserve"> 620</t>
    </r>
  </si>
  <si>
    <t>WYDATKI OGÓŁEM UE
z tego:</t>
  </si>
  <si>
    <t>majątkowe</t>
  </si>
  <si>
    <t>bieżące</t>
  </si>
  <si>
    <t>wydatki majątkowe</t>
  </si>
  <si>
    <t>wydatki bieżące</t>
  </si>
  <si>
    <t>w złotych</t>
  </si>
  <si>
    <t>z tytułu pomocy finansowej udzielanej między jst na dofinansowanie własnych zadań</t>
  </si>
  <si>
    <t>inne źródła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</si>
  <si>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</si>
  <si>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</si>
  <si>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</si>
  <si>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</si>
  <si>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r>
      <t xml:space="preserve">Dotacje </t>
    </r>
    <r>
      <rPr>
        <b/>
        <sz val="10"/>
        <color indexed="8"/>
        <rFont val="Arial"/>
        <charset val="238"/>
      </rPr>
      <t>§§ 205 i 625</t>
    </r>
  </si>
  <si>
    <r>
      <t xml:space="preserve">w tym: inwestycyjne </t>
    </r>
    <r>
      <rPr>
        <sz val="8"/>
        <color indexed="8"/>
        <rFont val="Arial"/>
        <charset val="238"/>
      </rPr>
      <t>§</t>
    </r>
    <r>
      <rPr>
        <sz val="8"/>
        <color indexed="8"/>
        <rFont val="Arial"/>
        <family val="2"/>
        <charset val="238"/>
      </rPr>
      <t xml:space="preserve"> 625</t>
    </r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</si>
  <si>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</si>
  <si>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kredyty, pożyczki, emisja papierów wartościowych w tym:</t>
  </si>
  <si>
    <t>ze sprzedaży papierów wartościowych</t>
  </si>
  <si>
    <t>spłata  udzielonych pożyczek</t>
  </si>
  <si>
    <t>prywatyzacja majątku JST</t>
  </si>
  <si>
    <t>wolne środki , o których mowa w art. 217 ust.2 pkt 6 ustawy o finansach publicznych</t>
  </si>
  <si>
    <t>spłaty kredytów i pożyczek, wykup papierów wartościowych w tym:</t>
  </si>
  <si>
    <t>wykup papierów wartościowych</t>
  </si>
  <si>
    <t>otrzymane ze środków z Funduszu Przeciwdziałania COVID-19 (m.in.. z Rządowego Funduszu Inwestycji Lokalnych)</t>
  </si>
  <si>
    <t>w tym: inwestycyjne</t>
  </si>
  <si>
    <t>spłaty udzielonych pożyczek w latach ubiegłych</t>
  </si>
  <si>
    <t>na finansowanie lub dofinansowanie zadań inwestycyjnych obiektów zabytkowych oraz prac remontowych i konserwatorskich przy zabytkach</t>
  </si>
  <si>
    <t>nadwyżka z lat ubiegłych, pomniejszona o niewykorzystane środki pieniężne, o których mowa w art. 217 ust. 2 pkt 8 ustawy o finansach publicznych</t>
  </si>
  <si>
    <t>niewykorzystane środki pieniężne, o których mowa w art. 217 ust. 2 pkt 8 ustawy o finansach publicznych</t>
  </si>
  <si>
    <t>udzielone pożyczki</t>
  </si>
  <si>
    <t>nadwyżka budżetu jednostki samorządu terytorialnego z lat ubiegłych, pomniejszona o środki określone w art. 217 ust. 2 pkt 8 ustawy o finansach publicznych</t>
  </si>
  <si>
    <t>wynagrodzenia i składki od nich naliczane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</si>
  <si>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</si>
  <si>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Dotacje ogółem 
z tego:</t>
  </si>
  <si>
    <t>Dochody bieżące 
minus 
wydatki bieżące</t>
  </si>
  <si>
    <t>FINANSOWANIE DEFICYTU (E1+E2+E3+E4+E5+E6+E7)  
z tego:</t>
  </si>
  <si>
    <t>otrzymane z Funduszu Pomocy lub z innych środków (*)</t>
  </si>
  <si>
    <t>(*) na finansowanie lub dofinansowanie realizacji zadań w zakresie pomocy obywatelom Ukrainy</t>
  </si>
  <si>
    <t>WYDATKI Z UDZIAŁEM ŚRODKÓW, O KTÓRYCH MOWA W ART. 5 UST. 1 pkt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</si>
</sst>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"/>
    <numFmt numFmtId="165" formatCode="dd/mm/yy\ h:mm;@"/>
  </numFmts>
  <fonts count="36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6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8"/>
      <color indexed="62"/>
      <name val="Cambria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color indexed="8"/>
      <name val="Arial"/>
      <charset val="238"/>
    </font>
    <font>
      <sz val="8"/>
      <color indexed="8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8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3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9" borderId="0" applyNumberFormat="0" applyBorder="0" applyAlignment="0" applyProtection="0"/>
    <xf numFmtId="0" fontId="16" fillId="6" borderId="0" applyNumberFormat="0" applyBorder="0" applyAlignment="0" applyProtection="0"/>
    <xf numFmtId="0" fontId="17" fillId="10" borderId="0" applyNumberFormat="0" applyBorder="0" applyAlignment="0" applyProtection="0"/>
    <xf numFmtId="0" fontId="17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6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18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6" borderId="1" applyNumberFormat="0" applyAlignment="0" applyProtection="0"/>
    <xf numFmtId="0" fontId="27" fillId="0" borderId="7" applyNumberFormat="0" applyFill="0" applyAlignment="0" applyProtection="0"/>
    <xf numFmtId="0" fontId="28" fillId="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</xf>
    <xf numFmtId="0" fontId="34" fillId="0" borderId="0"/>
    <xf numFmtId="0" fontId="1" fillId="4" borderId="8" applyNumberFormat="0" applyFont="0" applyAlignment="0" applyProtection="0"/>
    <xf numFmtId="0" fontId="15" fillId="4" borderId="8" applyNumberFormat="0" applyFont="0" applyAlignment="0" applyProtection="0"/>
    <xf numFmtId="0" fontId="29" fillId="16" borderId="3" applyNumberFormat="0" applyAlignment="0" applyProtection="0"/>
    <xf numFmtId="0" fontId="1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</cellStyleXfs>
  <cellXfs count="122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6" fillId="0" borderId="0" xfId="0" applyFont="1" applyFill="1" applyAlignment="1">
      <alignment horizontal="left" vertical="center"/>
    </xf>
    <xf numFmtId="164" fontId="2" fillId="0" borderId="0" xfId="0" applyNumberFormat="1" applyFont="1" applyFill="1"/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4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7" fillId="20" borderId="1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vertical="center"/>
    </xf>
    <xf numFmtId="4" fontId="4" fillId="0" borderId="10" xfId="0" applyNumberFormat="1" applyFont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4" fontId="13" fillId="20" borderId="10" xfId="0" applyNumberFormat="1" applyFont="1" applyFill="1" applyBorder="1" applyAlignment="1">
      <alignment horizontal="right" vertical="center"/>
    </xf>
    <xf numFmtId="4" fontId="13" fillId="20" borderId="10" xfId="0" applyNumberFormat="1" applyFont="1" applyFill="1" applyBorder="1" applyAlignment="1">
      <alignment horizontal="right" vertical="center" wrapText="1"/>
    </xf>
    <xf numFmtId="4" fontId="6" fillId="20" borderId="10" xfId="0" applyNumberFormat="1" applyFont="1" applyFill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0" fontId="4" fillId="0" borderId="10" xfId="0" applyFont="1" applyBorder="1" applyAlignment="1">
      <alignment horizontal="left" vertical="center" wrapText="1" indent="2"/>
    </xf>
    <xf numFmtId="0" fontId="6" fillId="0" borderId="10" xfId="0" applyFont="1" applyFill="1" applyBorder="1" applyAlignment="1">
      <alignment horizontal="left" vertical="center" wrapText="1" indent="1"/>
    </xf>
    <xf numFmtId="0" fontId="2" fillId="0" borderId="10" xfId="0" applyFont="1" applyBorder="1"/>
    <xf numFmtId="164" fontId="13" fillId="20" borderId="10" xfId="0" applyNumberFormat="1" applyFont="1" applyFill="1" applyBorder="1" applyAlignment="1">
      <alignment horizontal="right" vertical="center"/>
    </xf>
    <xf numFmtId="164" fontId="4" fillId="0" borderId="10" xfId="0" applyNumberFormat="1" applyFont="1" applyFill="1" applyBorder="1" applyAlignment="1">
      <alignment horizontal="right" vertical="center"/>
    </xf>
    <xf numFmtId="164" fontId="6" fillId="0" borderId="10" xfId="0" applyNumberFormat="1" applyFont="1" applyFill="1" applyBorder="1" applyAlignment="1">
      <alignment horizontal="right" vertical="center"/>
    </xf>
    <xf numFmtId="164" fontId="11" fillId="20" borderId="10" xfId="0" applyNumberFormat="1" applyFont="1" applyFill="1" applyBorder="1" applyAlignment="1">
      <alignment horizontal="right" vertical="center"/>
    </xf>
    <xf numFmtId="0" fontId="10" fillId="20" borderId="10" xfId="0" applyFont="1" applyFill="1" applyBorder="1" applyAlignment="1">
      <alignment horizontal="left" vertical="center" wrapText="1"/>
    </xf>
    <xf numFmtId="0" fontId="6" fillId="19" borderId="10" xfId="0" applyNumberFormat="1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/>
    </xf>
    <xf numFmtId="0" fontId="10" fillId="19" borderId="10" xfId="0" applyFont="1" applyFill="1" applyBorder="1" applyAlignment="1">
      <alignment horizontal="center" vertical="center" wrapText="1"/>
    </xf>
    <xf numFmtId="164" fontId="11" fillId="20" borderId="10" xfId="29" applyNumberFormat="1" applyFont="1" applyFill="1" applyBorder="1" applyAlignment="1">
      <alignment horizontal="right" vertical="center"/>
    </xf>
    <xf numFmtId="4" fontId="11" fillId="20" borderId="13" xfId="0" applyNumberFormat="1" applyFont="1" applyFill="1" applyBorder="1" applyAlignment="1">
      <alignment horizontal="right" vertical="center"/>
    </xf>
    <xf numFmtId="4" fontId="6" fillId="0" borderId="13" xfId="0" applyNumberFormat="1" applyFont="1" applyBorder="1" applyAlignment="1">
      <alignment horizontal="right" vertical="center"/>
    </xf>
    <xf numFmtId="4" fontId="6" fillId="20" borderId="13" xfId="0" applyNumberFormat="1" applyFont="1" applyFill="1" applyBorder="1" applyAlignment="1">
      <alignment horizontal="right" vertical="center"/>
    </xf>
    <xf numFmtId="4" fontId="6" fillId="22" borderId="13" xfId="0" applyNumberFormat="1" applyFont="1" applyFill="1" applyBorder="1" applyAlignment="1">
      <alignment horizontal="right" vertical="center"/>
    </xf>
    <xf numFmtId="4" fontId="11" fillId="23" borderId="13" xfId="0" applyNumberFormat="1" applyFont="1" applyFill="1" applyBorder="1" applyAlignment="1">
      <alignment horizontal="right" vertical="center"/>
    </xf>
    <xf numFmtId="0" fontId="35" fillId="23" borderId="10" xfId="41" applyFont="1" applyFill="1" applyBorder="1" applyAlignment="1">
      <alignment horizontal="left" vertical="center" wrapText="1"/>
    </xf>
    <xf numFmtId="164" fontId="11" fillId="22" borderId="10" xfId="29" applyNumberFormat="1" applyFont="1" applyFill="1" applyBorder="1" applyAlignment="1">
      <alignment horizontal="right" vertical="center"/>
    </xf>
    <xf numFmtId="164" fontId="11" fillId="22" borderId="10" xfId="0" applyNumberFormat="1" applyFont="1" applyFill="1" applyBorder="1" applyAlignment="1">
      <alignment horizontal="right" vertical="center"/>
    </xf>
    <xf numFmtId="164" fontId="11" fillId="23" borderId="10" xfId="0" applyNumberFormat="1" applyFont="1" applyFill="1" applyBorder="1" applyAlignment="1">
      <alignment horizontal="right" vertical="center"/>
    </xf>
    <xf numFmtId="0" fontId="10" fillId="20" borderId="10" xfId="0" applyFont="1" applyFill="1" applyBorder="1" applyAlignment="1">
      <alignment horizontal="center" vertical="center" wrapText="1"/>
    </xf>
    <xf numFmtId="4" fontId="11" fillId="20" borderId="10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right" vertical="center"/>
    </xf>
    <xf numFmtId="0" fontId="10" fillId="0" borderId="10" xfId="0" applyFont="1" applyFill="1" applyBorder="1" applyAlignment="1">
      <alignment horizontal="right" vertical="center" wrapText="1"/>
    </xf>
    <xf numFmtId="4" fontId="6" fillId="0" borderId="10" xfId="0" applyNumberFormat="1" applyFont="1" applyFill="1" applyBorder="1" applyAlignment="1">
      <alignment horizontal="right" vertical="center"/>
    </xf>
    <xf numFmtId="0" fontId="7" fillId="23" borderId="10" xfId="0" applyFont="1" applyFill="1" applyBorder="1" applyAlignment="1">
      <alignment horizontal="left" vertical="center" wrapText="1"/>
    </xf>
    <xf numFmtId="4" fontId="13" fillId="23" borderId="10" xfId="0" applyNumberFormat="1" applyFont="1" applyFill="1" applyBorder="1" applyAlignment="1">
      <alignment horizontal="right" vertical="center"/>
    </xf>
    <xf numFmtId="164" fontId="13" fillId="23" borderId="10" xfId="0" applyNumberFormat="1" applyFont="1" applyFill="1" applyBorder="1" applyAlignment="1">
      <alignment horizontal="right" vertical="center"/>
    </xf>
    <xf numFmtId="4" fontId="4" fillId="23" borderId="1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10" fillId="23" borderId="10" xfId="0" applyFont="1" applyFill="1" applyBorder="1" applyAlignment="1">
      <alignment horizontal="left" vertical="center" wrapText="1"/>
    </xf>
    <xf numFmtId="4" fontId="11" fillId="23" borderId="10" xfId="0" applyNumberFormat="1" applyFont="1" applyFill="1" applyBorder="1" applyAlignment="1">
      <alignment horizontal="right" vertical="center"/>
    </xf>
    <xf numFmtId="164" fontId="6" fillId="23" borderId="10" xfId="0" applyNumberFormat="1" applyFont="1" applyFill="1" applyBorder="1" applyAlignment="1">
      <alignment horizontal="right" vertical="center"/>
    </xf>
    <xf numFmtId="4" fontId="6" fillId="0" borderId="10" xfId="0" applyNumberFormat="1" applyFont="1" applyFill="1" applyBorder="1" applyAlignment="1">
      <alignment horizontal="right" vertical="center" wrapText="1"/>
    </xf>
    <xf numFmtId="164" fontId="11" fillId="0" borderId="10" xfId="0" applyNumberFormat="1" applyFont="1" applyFill="1" applyBorder="1" applyAlignment="1">
      <alignment horizontal="right" vertical="center"/>
    </xf>
    <xf numFmtId="4" fontId="6" fillId="0" borderId="13" xfId="0" applyNumberFormat="1" applyFont="1" applyFill="1" applyBorder="1" applyAlignment="1">
      <alignment horizontal="right" vertical="center"/>
    </xf>
    <xf numFmtId="164" fontId="11" fillId="0" borderId="10" xfId="29" applyNumberFormat="1" applyFont="1" applyFill="1" applyBorder="1" applyAlignment="1">
      <alignment horizontal="right" vertical="center"/>
    </xf>
    <xf numFmtId="4" fontId="11" fillId="23" borderId="10" xfId="0" applyNumberFormat="1" applyFont="1" applyFill="1" applyBorder="1" applyAlignment="1">
      <alignment vertical="center"/>
    </xf>
    <xf numFmtId="4" fontId="13" fillId="20" borderId="10" xfId="0" applyNumberFormat="1" applyFont="1" applyFill="1" applyBorder="1" applyAlignment="1">
      <alignment vertical="center" wrapText="1"/>
    </xf>
    <xf numFmtId="4" fontId="4" fillId="0" borderId="10" xfId="0" applyNumberFormat="1" applyFont="1" applyBorder="1" applyAlignment="1">
      <alignment vertical="center"/>
    </xf>
    <xf numFmtId="0" fontId="4" fillId="19" borderId="10" xfId="0" applyFont="1" applyFill="1" applyBorder="1" applyAlignment="1">
      <alignment vertical="center"/>
    </xf>
    <xf numFmtId="0" fontId="6" fillId="19" borderId="13" xfId="0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vertical="center" wrapText="1"/>
    </xf>
    <xf numFmtId="4" fontId="6" fillId="22" borderId="10" xfId="0" applyNumberFormat="1" applyFont="1" applyFill="1" applyBorder="1" applyAlignment="1">
      <alignment horizontal="right" vertical="center"/>
    </xf>
    <xf numFmtId="0" fontId="7" fillId="20" borderId="10" xfId="0" applyFont="1" applyFill="1" applyBorder="1" applyAlignment="1">
      <alignment horizontal="left" vertical="center" wrapText="1" indent="1"/>
    </xf>
    <xf numFmtId="0" fontId="7" fillId="23" borderId="10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2"/>
    </xf>
    <xf numFmtId="0" fontId="6" fillId="21" borderId="10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left" vertical="center" wrapText="1" indent="3"/>
    </xf>
    <xf numFmtId="0" fontId="7" fillId="23" borderId="10" xfId="0" applyFont="1" applyFill="1" applyBorder="1" applyAlignment="1">
      <alignment horizontal="left" vertical="center" wrapText="1" indent="2"/>
    </xf>
    <xf numFmtId="0" fontId="4" fillId="0" borderId="10" xfId="0" applyFont="1" applyFill="1" applyBorder="1" applyAlignment="1">
      <alignment horizontal="left" vertical="center" wrapText="1" indent="4"/>
    </xf>
    <xf numFmtId="0" fontId="4" fillId="22" borderId="10" xfId="0" applyFont="1" applyFill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4"/>
    </xf>
    <xf numFmtId="0" fontId="35" fillId="0" borderId="10" xfId="41" applyFont="1" applyBorder="1" applyAlignment="1">
      <alignment horizontal="left" vertical="center" wrapText="1" indent="1"/>
    </xf>
    <xf numFmtId="0" fontId="12" fillId="0" borderId="0" xfId="0" applyFont="1" applyAlignment="1">
      <alignment vertical="center"/>
    </xf>
    <xf numFmtId="0" fontId="4" fillId="0" borderId="10" xfId="0" applyFont="1" applyBorder="1" applyAlignment="1">
      <alignment horizontal="left" vertical="center" wrapText="1" indent="3"/>
    </xf>
    <xf numFmtId="0" fontId="2" fillId="0" borderId="15" xfId="0" applyFont="1" applyBorder="1"/>
    <xf numFmtId="0" fontId="10" fillId="0" borderId="0" xfId="41" applyFont="1" applyFill="1" applyBorder="1" applyAlignment="1">
      <alignment horizontal="left" vertical="center"/>
    </xf>
    <xf numFmtId="0" fontId="10" fillId="23" borderId="1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6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/>
    </xf>
    <xf numFmtId="0" fontId="6" fillId="19" borderId="17" xfId="0" applyFont="1" applyFill="1" applyBorder="1" applyAlignment="1">
      <alignment horizontal="center" vertical="center"/>
    </xf>
    <xf numFmtId="0" fontId="6" fillId="19" borderId="18" xfId="0" applyFont="1" applyFill="1" applyBorder="1" applyAlignment="1">
      <alignment horizontal="center" vertical="center"/>
    </xf>
    <xf numFmtId="0" fontId="6" fillId="19" borderId="19" xfId="0" applyFont="1" applyFill="1" applyBorder="1" applyAlignment="1">
      <alignment horizontal="center" vertical="center"/>
    </xf>
    <xf numFmtId="0" fontId="6" fillId="19" borderId="11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0" fontId="6" fillId="19" borderId="20" xfId="0" applyFont="1" applyFill="1" applyBorder="1" applyAlignment="1">
      <alignment horizontal="center" vertical="center"/>
    </xf>
    <xf numFmtId="0" fontId="6" fillId="19" borderId="21" xfId="0" applyFont="1" applyFill="1" applyBorder="1" applyAlignment="1">
      <alignment horizontal="center" vertical="center"/>
    </xf>
    <xf numFmtId="0" fontId="6" fillId="19" borderId="22" xfId="0" applyFont="1" applyFill="1" applyBorder="1" applyAlignment="1">
      <alignment horizontal="center" vertical="center"/>
    </xf>
    <xf numFmtId="0" fontId="6" fillId="19" borderId="23" xfId="0" applyFont="1" applyFill="1" applyBorder="1" applyAlignment="1">
      <alignment horizontal="center" vertical="center"/>
    </xf>
    <xf numFmtId="0" fontId="7" fillId="19" borderId="10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/>
    </xf>
    <xf numFmtId="0" fontId="4" fillId="19" borderId="13" xfId="0" applyFont="1" applyFill="1" applyBorder="1" applyAlignment="1">
      <alignment horizontal="center" vertical="center"/>
    </xf>
    <xf numFmtId="0" fontId="4" fillId="19" borderId="14" xfId="0" applyFont="1" applyFill="1" applyBorder="1" applyAlignment="1">
      <alignment horizontal="center" vertical="center"/>
    </xf>
    <xf numFmtId="0" fontId="4" fillId="19" borderId="16" xfId="0" applyFont="1" applyFill="1" applyBorder="1" applyAlignment="1">
      <alignment horizontal="center" vertical="center"/>
    </xf>
    <xf numFmtId="0" fontId="6" fillId="19" borderId="13" xfId="0" applyFont="1" applyFill="1" applyBorder="1" applyAlignment="1">
      <alignment horizontal="center" vertical="center" wrapText="1"/>
    </xf>
    <xf numFmtId="0" fontId="6" fillId="19" borderId="16" xfId="0" applyFont="1" applyFill="1" applyBorder="1" applyAlignment="1">
      <alignment horizontal="center" vertical="center" wrapText="1"/>
    </xf>
    <xf numFmtId="165" fontId="2" fillId="0" borderId="13" xfId="0" applyNumberFormat="1" applyFont="1" applyBorder="1" applyAlignment="1">
      <alignment horizontal="center"/>
    </xf>
    <xf numFmtId="165" fontId="2" fillId="0" borderId="16" xfId="0" applyNumberFormat="1" applyFont="1" applyBorder="1" applyAlignment="1">
      <alignment horizontal="center"/>
    </xf>
    <xf numFmtId="0" fontId="6" fillId="19" borderId="13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4" fillId="19" borderId="15" xfId="0" applyFont="1" applyFill="1" applyBorder="1" applyAlignment="1">
      <alignment horizontal="center" vertical="center" wrapText="1"/>
    </xf>
    <xf numFmtId="0" fontId="4" fillId="19" borderId="24" xfId="0" applyFont="1" applyFill="1" applyBorder="1" applyAlignment="1">
      <alignment horizontal="center" vertical="center" wrapText="1"/>
    </xf>
    <xf numFmtId="0" fontId="4" fillId="19" borderId="12" xfId="0" applyFont="1" applyFill="1" applyBorder="1" applyAlignment="1">
      <alignment horizontal="center" vertical="center" wrapText="1"/>
    </xf>
    <xf numFmtId="0" fontId="6" fillId="19" borderId="15" xfId="0" applyFont="1" applyFill="1" applyBorder="1" applyAlignment="1">
      <alignment horizontal="center" vertical="center" wrapText="1"/>
    </xf>
    <xf numFmtId="0" fontId="6" fillId="19" borderId="24" xfId="0" applyFont="1" applyFill="1" applyBorder="1" applyAlignment="1">
      <alignment horizontal="center" vertical="center" wrapText="1"/>
    </xf>
    <xf numFmtId="0" fontId="6" fillId="19" borderId="12" xfId="0" applyFont="1" applyFill="1" applyBorder="1" applyAlignment="1">
      <alignment horizontal="center" vertical="center" wrapText="1"/>
    </xf>
  </cellXfs>
  <cellStyles count="4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Dziesiętny 2" xfId="28"/>
    <cellStyle name="Dziesiętny 3" xfId="29"/>
    <cellStyle name="Dziesiętny 3 2" xfId="30"/>
    <cellStyle name="Explanatory Text" xfId="31"/>
    <cellStyle name="Good" xfId="32"/>
    <cellStyle name="Heading 1" xfId="33"/>
    <cellStyle name="Heading 2" xfId="34"/>
    <cellStyle name="Heading 3" xfId="35"/>
    <cellStyle name="Heading 4" xfId="36"/>
    <cellStyle name="Input" xfId="37"/>
    <cellStyle name="Linked Cell" xfId="38"/>
    <cellStyle name="Neutral" xfId="39"/>
    <cellStyle name="Normalny" xfId="0" builtinId="0"/>
    <cellStyle name="Normalny 2" xfId="40"/>
    <cellStyle name="Normalny 2 2" xfId="41"/>
    <cellStyle name="Note" xfId="42"/>
    <cellStyle name="Note 2" xfId="43"/>
    <cellStyle name="Output" xfId="44"/>
    <cellStyle name="Title" xfId="45"/>
    <cellStyle name="Total" xfId="46"/>
    <cellStyle name="Warning Text" xfId="4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outlinePr summaryBelow="0"/>
  </sheetPr>
  <dimension ref="A1:Z116"/>
  <sheetViews>
    <sheetView tabSelected="1" zoomScaleNormal="100" workbookViewId="0"/>
  </sheetViews>
  <sheetFormatPr defaultColWidth="9.1796875" defaultRowHeight="12.5" outlineLevelRow="1" outlineLevelCol="1" x14ac:dyDescent="0.25"/>
  <cols>
    <col min="1" max="1" width="0.453125" style="1" customWidth="1"/>
    <col min="2" max="2" width="30.7265625" style="1" customWidth="1"/>
    <col min="3" max="4" width="14.54296875" style="1" customWidth="1"/>
    <col min="5" max="5" width="14.54296875" style="1" customWidth="1" outlineLevel="1"/>
    <col min="6" max="6" width="13.81640625" style="1" customWidth="1" outlineLevel="1"/>
    <col min="7" max="8" width="13" style="1" customWidth="1" outlineLevel="1"/>
    <col min="9" max="9" width="12" style="1" customWidth="1" outlineLevel="1"/>
    <col min="10" max="10" width="13" style="1" customWidth="1"/>
    <col min="11" max="11" width="7.453125" style="1" customWidth="1"/>
    <col min="12" max="12" width="8.453125" style="1" bestFit="1" customWidth="1"/>
    <col min="13" max="13" width="8.1796875" style="1" customWidth="1"/>
    <col min="14" max="16384" width="9.1796875" style="1"/>
  </cols>
  <sheetData>
    <row r="1" spans="2:13" ht="24.75" customHeight="1" x14ac:dyDescent="0.25">
      <c r="B1" s="87" t="str">
        <f>CONCATENATE("Informacja z wykonania budżetów jednostek samorządu terytorialnego za ",$D$114," ",$C$115," roku")</f>
        <v>Informacja z wykonania budżetów jednostek samorządu terytorialnego za III Kwartały 2022 roku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2:13" ht="6.75" customHeight="1" x14ac:dyDescent="0.25"/>
    <row r="3" spans="2:13" ht="66.75" customHeight="1" x14ac:dyDescent="0.25">
      <c r="B3" s="105" t="s">
        <v>0</v>
      </c>
      <c r="C3" s="15" t="s">
        <v>36</v>
      </c>
      <c r="D3" s="15" t="s">
        <v>37</v>
      </c>
      <c r="E3" s="15" t="s">
        <v>38</v>
      </c>
      <c r="F3" s="15" t="s">
        <v>39</v>
      </c>
      <c r="G3" s="15" t="s">
        <v>40</v>
      </c>
      <c r="H3" s="15" t="s">
        <v>41</v>
      </c>
      <c r="I3" s="15" t="s">
        <v>42</v>
      </c>
      <c r="J3" s="17" t="s">
        <v>2</v>
      </c>
      <c r="K3" s="15" t="s">
        <v>18</v>
      </c>
      <c r="L3" s="15" t="s">
        <v>3</v>
      </c>
    </row>
    <row r="4" spans="2:13" x14ac:dyDescent="0.25">
      <c r="B4" s="105"/>
      <c r="C4" s="107" t="s">
        <v>79</v>
      </c>
      <c r="D4" s="108"/>
      <c r="E4" s="108"/>
      <c r="F4" s="108"/>
      <c r="G4" s="108"/>
      <c r="H4" s="108"/>
      <c r="I4" s="109"/>
      <c r="J4" s="106" t="s">
        <v>4</v>
      </c>
      <c r="K4" s="106"/>
      <c r="L4" s="106"/>
    </row>
    <row r="5" spans="2:13" x14ac:dyDescent="0.25">
      <c r="B5" s="17">
        <v>1</v>
      </c>
      <c r="C5" s="19">
        <v>2</v>
      </c>
      <c r="D5" s="19">
        <v>3</v>
      </c>
      <c r="E5" s="17">
        <v>4</v>
      </c>
      <c r="F5" s="19">
        <v>5</v>
      </c>
      <c r="G5" s="19">
        <v>6</v>
      </c>
      <c r="H5" s="17">
        <v>7</v>
      </c>
      <c r="I5" s="19">
        <v>8</v>
      </c>
      <c r="J5" s="19">
        <v>9</v>
      </c>
      <c r="K5" s="17">
        <v>10</v>
      </c>
      <c r="L5" s="19">
        <v>11</v>
      </c>
    </row>
    <row r="6" spans="2:13" ht="12.75" customHeight="1" x14ac:dyDescent="0.25">
      <c r="B6" s="57" t="s">
        <v>5</v>
      </c>
      <c r="C6" s="58">
        <f>335929607179.2</f>
        <v>335929607179.20001</v>
      </c>
      <c r="D6" s="58">
        <f>250764773827.18</f>
        <v>250764773827.17999</v>
      </c>
      <c r="E6" s="58">
        <f>3005334800.95</f>
        <v>3005334800.9499998</v>
      </c>
      <c r="F6" s="58">
        <f>736961890.6</f>
        <v>736961890.60000002</v>
      </c>
      <c r="G6" s="58">
        <f>80877189.81</f>
        <v>80877189.810000002</v>
      </c>
      <c r="H6" s="58">
        <f>223405610.05</f>
        <v>223405610.05000001</v>
      </c>
      <c r="I6" s="58">
        <f>3355603.5</f>
        <v>3355603.5</v>
      </c>
      <c r="J6" s="59">
        <f t="shared" ref="J6:J52" si="0">IF($D$6=0,"",100*$D6/$D$6)</f>
        <v>100</v>
      </c>
      <c r="K6" s="59">
        <f t="shared" ref="K6:K52" si="1">IF(C6=0,"",100*D6/C6)</f>
        <v>74.648012103741351</v>
      </c>
      <c r="L6" s="59"/>
    </row>
    <row r="7" spans="2:13" ht="28" customHeight="1" x14ac:dyDescent="0.25">
      <c r="B7" s="76" t="s">
        <v>60</v>
      </c>
      <c r="C7" s="25">
        <f>C6-C22-C46</f>
        <v>161272381611.50003</v>
      </c>
      <c r="D7" s="25">
        <f>D6-D22-D46</f>
        <v>120667351239.88</v>
      </c>
      <c r="E7" s="25">
        <f>E6</f>
        <v>3005334800.9499998</v>
      </c>
      <c r="F7" s="25">
        <f>F6</f>
        <v>736961890.60000002</v>
      </c>
      <c r="G7" s="25">
        <f>G6</f>
        <v>80877189.810000002</v>
      </c>
      <c r="H7" s="25">
        <f>H6</f>
        <v>223405610.05000001</v>
      </c>
      <c r="I7" s="25">
        <f>I6</f>
        <v>3355603.5</v>
      </c>
      <c r="J7" s="33">
        <f t="shared" si="0"/>
        <v>48.119737632304179</v>
      </c>
      <c r="K7" s="33">
        <f t="shared" si="1"/>
        <v>74.822080528682065</v>
      </c>
      <c r="L7" s="33">
        <f t="shared" ref="L7:L21" si="2">IF($D$7=0,"",100*$D7/$D$7)</f>
        <v>100</v>
      </c>
    </row>
    <row r="8" spans="2:13" ht="23.15" customHeight="1" outlineLevel="1" x14ac:dyDescent="0.25">
      <c r="B8" s="30" t="s">
        <v>35</v>
      </c>
      <c r="C8" s="23">
        <f>15170485733</f>
        <v>15170485733</v>
      </c>
      <c r="D8" s="23">
        <f>11361321512.41</f>
        <v>11361321512.41</v>
      </c>
      <c r="E8" s="23">
        <f>0</f>
        <v>0</v>
      </c>
      <c r="F8" s="23">
        <f>0</f>
        <v>0</v>
      </c>
      <c r="G8" s="23">
        <f>0</f>
        <v>0</v>
      </c>
      <c r="H8" s="23">
        <f>0</f>
        <v>0</v>
      </c>
      <c r="I8" s="24">
        <f>0</f>
        <v>0</v>
      </c>
      <c r="J8" s="34">
        <f t="shared" si="0"/>
        <v>4.5306688571178269</v>
      </c>
      <c r="K8" s="34">
        <f t="shared" si="1"/>
        <v>74.89095413534443</v>
      </c>
      <c r="L8" s="34">
        <f t="shared" si="2"/>
        <v>9.4154064008783305</v>
      </c>
    </row>
    <row r="9" spans="2:13" ht="23.15" customHeight="1" outlineLevel="1" x14ac:dyDescent="0.25">
      <c r="B9" s="30" t="s">
        <v>19</v>
      </c>
      <c r="C9" s="23">
        <f>54055134166.23</f>
        <v>54055134166.230003</v>
      </c>
      <c r="D9" s="23">
        <f>40477357755</f>
        <v>40477357755</v>
      </c>
      <c r="E9" s="23">
        <f>0</f>
        <v>0</v>
      </c>
      <c r="F9" s="23">
        <f>0</f>
        <v>0</v>
      </c>
      <c r="G9" s="23">
        <f>0</f>
        <v>0</v>
      </c>
      <c r="H9" s="23">
        <f>0</f>
        <v>0</v>
      </c>
      <c r="I9" s="24">
        <f>0</f>
        <v>0</v>
      </c>
      <c r="J9" s="34">
        <f t="shared" si="0"/>
        <v>16.141564517708478</v>
      </c>
      <c r="K9" s="34">
        <f t="shared" si="1"/>
        <v>74.881615556672728</v>
      </c>
      <c r="L9" s="34">
        <f t="shared" si="2"/>
        <v>33.544581313078844</v>
      </c>
    </row>
    <row r="10" spans="2:13" ht="13" customHeight="1" outlineLevel="1" x14ac:dyDescent="0.25">
      <c r="B10" s="30" t="s">
        <v>20</v>
      </c>
      <c r="C10" s="23">
        <f>1763208043.97</f>
        <v>1763208043.97</v>
      </c>
      <c r="D10" s="23">
        <f>1354880355.94</f>
        <v>1354880355.9400001</v>
      </c>
      <c r="E10" s="23">
        <f>110690516.99</f>
        <v>110690516.98999999</v>
      </c>
      <c r="F10" s="23">
        <f>2315644.22</f>
        <v>2315644.2200000002</v>
      </c>
      <c r="G10" s="23">
        <f>1911626.8</f>
        <v>1911626.8</v>
      </c>
      <c r="H10" s="23">
        <f>1885625.04</f>
        <v>1885625.04</v>
      </c>
      <c r="I10" s="24">
        <f>2221.64</f>
        <v>2221.64</v>
      </c>
      <c r="J10" s="34">
        <f t="shared" si="0"/>
        <v>0.54029931527533659</v>
      </c>
      <c r="K10" s="34">
        <f t="shared" si="1"/>
        <v>76.841774887175617</v>
      </c>
      <c r="L10" s="34">
        <f t="shared" si="2"/>
        <v>1.1228226541963062</v>
      </c>
    </row>
    <row r="11" spans="2:13" ht="13" customHeight="1" outlineLevel="1" x14ac:dyDescent="0.25">
      <c r="B11" s="30" t="s">
        <v>21</v>
      </c>
      <c r="C11" s="23">
        <f>27811672218.91</f>
        <v>27811672218.91</v>
      </c>
      <c r="D11" s="23">
        <f>21377390212.85</f>
        <v>21377390212.849998</v>
      </c>
      <c r="E11" s="23">
        <f>1894124831.96</f>
        <v>1894124831.96</v>
      </c>
      <c r="F11" s="23">
        <f>595707375.01</f>
        <v>595707375.00999999</v>
      </c>
      <c r="G11" s="23">
        <f>61657821.13</f>
        <v>61657821.130000003</v>
      </c>
      <c r="H11" s="23">
        <f>162577799.29</f>
        <v>162577799.28999999</v>
      </c>
      <c r="I11" s="24">
        <f>2919713.54</f>
        <v>2919713.54</v>
      </c>
      <c r="J11" s="34">
        <f t="shared" si="0"/>
        <v>8.5248776718466406</v>
      </c>
      <c r="K11" s="34">
        <f t="shared" si="1"/>
        <v>76.864814328981126</v>
      </c>
      <c r="L11" s="34">
        <f t="shared" si="2"/>
        <v>17.715968729895241</v>
      </c>
    </row>
    <row r="12" spans="2:13" ht="13" customHeight="1" outlineLevel="1" x14ac:dyDescent="0.25">
      <c r="B12" s="30" t="s">
        <v>22</v>
      </c>
      <c r="C12" s="23">
        <f>327104823.68</f>
        <v>327104823.68000001</v>
      </c>
      <c r="D12" s="23">
        <f>256293396.11</f>
        <v>256293396.11000001</v>
      </c>
      <c r="E12" s="23">
        <f>1467130.27</f>
        <v>1467130.27</v>
      </c>
      <c r="F12" s="23">
        <f>414507.02</f>
        <v>414507.02</v>
      </c>
      <c r="G12" s="23">
        <f>65386.49</f>
        <v>65386.49</v>
      </c>
      <c r="H12" s="23">
        <f>57228.77</f>
        <v>57228.77</v>
      </c>
      <c r="I12" s="24">
        <f>42</f>
        <v>42</v>
      </c>
      <c r="J12" s="34">
        <f t="shared" si="0"/>
        <v>0.10220470451189854</v>
      </c>
      <c r="K12" s="34">
        <f t="shared" si="1"/>
        <v>78.352068681422637</v>
      </c>
      <c r="L12" s="34">
        <f t="shared" si="2"/>
        <v>0.21239663709904674</v>
      </c>
    </row>
    <row r="13" spans="2:13" ht="13" customHeight="1" outlineLevel="1" x14ac:dyDescent="0.25">
      <c r="B13" s="30" t="s">
        <v>23</v>
      </c>
      <c r="C13" s="23">
        <f>1312988072.38</f>
        <v>1312988072.3800001</v>
      </c>
      <c r="D13" s="23">
        <f>1178619577.25</f>
        <v>1178619577.25</v>
      </c>
      <c r="E13" s="23">
        <f>977914998.8</f>
        <v>977914998.79999995</v>
      </c>
      <c r="F13" s="23">
        <f>3780732.45</f>
        <v>3780732.45</v>
      </c>
      <c r="G13" s="23">
        <f>1906342.22</f>
        <v>1906342.22</v>
      </c>
      <c r="H13" s="23">
        <f>5304413.28</f>
        <v>5304413.28</v>
      </c>
      <c r="I13" s="24">
        <f>44836.13</f>
        <v>44836.13</v>
      </c>
      <c r="J13" s="34">
        <f t="shared" si="0"/>
        <v>0.47001002543613696</v>
      </c>
      <c r="K13" s="34">
        <f t="shared" si="1"/>
        <v>89.76620595749695</v>
      </c>
      <c r="L13" s="34">
        <f t="shared" si="2"/>
        <v>0.97675101437087952</v>
      </c>
    </row>
    <row r="14" spans="2:13" ht="33" customHeight="1" outlineLevel="1" x14ac:dyDescent="0.25">
      <c r="B14" s="30" t="s">
        <v>44</v>
      </c>
      <c r="C14" s="23">
        <f>146189090.11</f>
        <v>146189090.11000001</v>
      </c>
      <c r="D14" s="23">
        <f>143427736.52</f>
        <v>143427736.52000001</v>
      </c>
      <c r="E14" s="23">
        <f>0</f>
        <v>0</v>
      </c>
      <c r="F14" s="23">
        <f>0</f>
        <v>0</v>
      </c>
      <c r="G14" s="23">
        <f>49617.94</f>
        <v>49617.94</v>
      </c>
      <c r="H14" s="23">
        <f>369309.21</f>
        <v>369309.21</v>
      </c>
      <c r="I14" s="24">
        <f>0</f>
        <v>0</v>
      </c>
      <c r="J14" s="34">
        <f t="shared" si="0"/>
        <v>5.7196126206644306E-2</v>
      </c>
      <c r="K14" s="34">
        <f t="shared" si="1"/>
        <v>98.111108299584998</v>
      </c>
      <c r="L14" s="34">
        <f t="shared" si="2"/>
        <v>0.11886209073643593</v>
      </c>
    </row>
    <row r="15" spans="2:13" ht="13" customHeight="1" outlineLevel="1" x14ac:dyDescent="0.25">
      <c r="B15" s="30" t="s">
        <v>28</v>
      </c>
      <c r="C15" s="23">
        <f>387193882.03</f>
        <v>387193882.02999997</v>
      </c>
      <c r="D15" s="23">
        <f>397814087.62</f>
        <v>397814087.62</v>
      </c>
      <c r="E15" s="23">
        <f>0</f>
        <v>0</v>
      </c>
      <c r="F15" s="23">
        <f>0</f>
        <v>0</v>
      </c>
      <c r="G15" s="23">
        <f>4680205.95</f>
        <v>4680205.95</v>
      </c>
      <c r="H15" s="23">
        <f>12229400.36</f>
        <v>12229400.359999999</v>
      </c>
      <c r="I15" s="24">
        <f>0</f>
        <v>0</v>
      </c>
      <c r="J15" s="34">
        <f t="shared" si="0"/>
        <v>0.15864033913079126</v>
      </c>
      <c r="K15" s="34">
        <f t="shared" si="1"/>
        <v>102.74286503038732</v>
      </c>
      <c r="L15" s="34">
        <f t="shared" si="2"/>
        <v>0.32967831276014969</v>
      </c>
    </row>
    <row r="16" spans="2:13" ht="23.15" customHeight="1" outlineLevel="1" x14ac:dyDescent="0.25">
      <c r="B16" s="30" t="s">
        <v>29</v>
      </c>
      <c r="C16" s="23">
        <f>3714967780.46</f>
        <v>3714967780.46</v>
      </c>
      <c r="D16" s="23">
        <f>3294132899.19</f>
        <v>3294132899.1900001</v>
      </c>
      <c r="E16" s="23">
        <f>0</f>
        <v>0</v>
      </c>
      <c r="F16" s="23">
        <f>0</f>
        <v>0</v>
      </c>
      <c r="G16" s="23">
        <f>157456.72</f>
        <v>157456.72</v>
      </c>
      <c r="H16" s="23">
        <f>12963080.98</f>
        <v>12963080.98</v>
      </c>
      <c r="I16" s="24">
        <f>0</f>
        <v>0</v>
      </c>
      <c r="J16" s="34">
        <f t="shared" si="0"/>
        <v>1.3136346261537608</v>
      </c>
      <c r="K16" s="34">
        <f t="shared" si="1"/>
        <v>88.671910333017991</v>
      </c>
      <c r="L16" s="34">
        <f t="shared" si="2"/>
        <v>2.7299289040010883</v>
      </c>
    </row>
    <row r="17" spans="2:12" ht="13" customHeight="1" outlineLevel="1" x14ac:dyDescent="0.25">
      <c r="B17" s="30" t="s">
        <v>30</v>
      </c>
      <c r="C17" s="23">
        <f>567568365.83</f>
        <v>567568365.83000004</v>
      </c>
      <c r="D17" s="23">
        <f>462527749.04</f>
        <v>462527749.04000002</v>
      </c>
      <c r="E17" s="23">
        <f>0</f>
        <v>0</v>
      </c>
      <c r="F17" s="23">
        <f>0</f>
        <v>0</v>
      </c>
      <c r="G17" s="23">
        <f>4992</f>
        <v>4992</v>
      </c>
      <c r="H17" s="23">
        <f>196.3</f>
        <v>196.3</v>
      </c>
      <c r="I17" s="24">
        <f>0</f>
        <v>0</v>
      </c>
      <c r="J17" s="34">
        <f t="shared" si="0"/>
        <v>0.18444685909463546</v>
      </c>
      <c r="K17" s="34">
        <f t="shared" si="1"/>
        <v>81.492869738011052</v>
      </c>
      <c r="L17" s="34">
        <f t="shared" si="2"/>
        <v>0.38330811465358222</v>
      </c>
    </row>
    <row r="18" spans="2:12" ht="13" customHeight="1" outlineLevel="1" x14ac:dyDescent="0.25">
      <c r="B18" s="30" t="s">
        <v>31</v>
      </c>
      <c r="C18" s="23">
        <f>475489166.63</f>
        <v>475489166.63</v>
      </c>
      <c r="D18" s="23">
        <f>452549460.36</f>
        <v>452549460.36000001</v>
      </c>
      <c r="E18" s="23">
        <f>0</f>
        <v>0</v>
      </c>
      <c r="F18" s="23">
        <f>0</f>
        <v>0</v>
      </c>
      <c r="G18" s="23">
        <f>30546.23</f>
        <v>30546.23</v>
      </c>
      <c r="H18" s="23">
        <f>945872.8</f>
        <v>945872.8</v>
      </c>
      <c r="I18" s="24">
        <f>0</f>
        <v>0</v>
      </c>
      <c r="J18" s="34">
        <f t="shared" si="0"/>
        <v>0.18046771619999719</v>
      </c>
      <c r="K18" s="34">
        <f t="shared" si="1"/>
        <v>95.175556483739953</v>
      </c>
      <c r="L18" s="34">
        <f t="shared" si="2"/>
        <v>0.37503886155614435</v>
      </c>
    </row>
    <row r="19" spans="2:12" ht="13" customHeight="1" outlineLevel="1" x14ac:dyDescent="0.25">
      <c r="B19" s="30" t="s">
        <v>32</v>
      </c>
      <c r="C19" s="23">
        <f>129671293.79</f>
        <v>129671293.79000001</v>
      </c>
      <c r="D19" s="23">
        <f>88029099.68</f>
        <v>88029099.680000007</v>
      </c>
      <c r="E19" s="23">
        <f>1594600.64</f>
        <v>1594600.64</v>
      </c>
      <c r="F19" s="23">
        <f>6102</f>
        <v>6102</v>
      </c>
      <c r="G19" s="23">
        <f>19662.8</f>
        <v>19662.8</v>
      </c>
      <c r="H19" s="23">
        <f>97130.31</f>
        <v>97130.31</v>
      </c>
      <c r="I19" s="24">
        <f>0</f>
        <v>0</v>
      </c>
      <c r="J19" s="34">
        <f t="shared" si="0"/>
        <v>3.5104252617501677E-2</v>
      </c>
      <c r="K19" s="34">
        <f t="shared" si="1"/>
        <v>67.886343312469236</v>
      </c>
      <c r="L19" s="34">
        <f t="shared" si="2"/>
        <v>7.295187867760769E-2</v>
      </c>
    </row>
    <row r="20" spans="2:12" ht="13" customHeight="1" outlineLevel="1" x14ac:dyDescent="0.25">
      <c r="B20" s="30" t="s">
        <v>24</v>
      </c>
      <c r="C20" s="23">
        <f>11533518981.92</f>
        <v>11533518981.92</v>
      </c>
      <c r="D20" s="23">
        <f>7345853410.02</f>
        <v>7345853410.0200005</v>
      </c>
      <c r="E20" s="23">
        <f>0</f>
        <v>0</v>
      </c>
      <c r="F20" s="23">
        <f>17426.08</f>
        <v>17426.080000000002</v>
      </c>
      <c r="G20" s="23">
        <f>0</f>
        <v>0</v>
      </c>
      <c r="H20" s="23">
        <f>0</f>
        <v>0</v>
      </c>
      <c r="I20" s="24">
        <f>4840.65</f>
        <v>4840.6499999999996</v>
      </c>
      <c r="J20" s="34">
        <f t="shared" si="0"/>
        <v>2.9293801110528208</v>
      </c>
      <c r="K20" s="34">
        <f t="shared" si="1"/>
        <v>63.691345386740984</v>
      </c>
      <c r="L20" s="34">
        <f t="shared" si="2"/>
        <v>6.0876892834225309</v>
      </c>
    </row>
    <row r="21" spans="2:12" ht="13" customHeight="1" outlineLevel="1" x14ac:dyDescent="0.25">
      <c r="B21" s="30" t="s">
        <v>25</v>
      </c>
      <c r="C21" s="23">
        <f>C7-C8-C9-C10-C11-C12-C13-C14-C15-C16-C17-C18-C19-C20</f>
        <v>43877189992.56002</v>
      </c>
      <c r="D21" s="23">
        <f t="shared" ref="D21:I21" si="3">D7-D8-D9-D10-D11-D12-D13-D14-D15-D16-D17-D18-D19-D20</f>
        <v>32477153987.889996</v>
      </c>
      <c r="E21" s="23">
        <f t="shared" si="3"/>
        <v>19542722.290000066</v>
      </c>
      <c r="F21" s="23">
        <f t="shared" si="3"/>
        <v>134720103.81999999</v>
      </c>
      <c r="G21" s="23">
        <f t="shared" si="3"/>
        <v>10393531.530000003</v>
      </c>
      <c r="H21" s="23">
        <f t="shared" si="3"/>
        <v>26975553.710000023</v>
      </c>
      <c r="I21" s="24">
        <f t="shared" si="3"/>
        <v>383949.5399999998</v>
      </c>
      <c r="J21" s="34">
        <f t="shared" si="0"/>
        <v>12.95124250995171</v>
      </c>
      <c r="K21" s="34">
        <f t="shared" si="1"/>
        <v>74.018308814664167</v>
      </c>
      <c r="L21" s="34">
        <f t="shared" si="2"/>
        <v>26.914615804673804</v>
      </c>
    </row>
    <row r="22" spans="2:12" ht="28" customHeight="1" x14ac:dyDescent="0.25">
      <c r="B22" s="77" t="s">
        <v>106</v>
      </c>
      <c r="C22" s="58">
        <f>C23+C42+C44</f>
        <v>100562417840.51999</v>
      </c>
      <c r="D22" s="58">
        <f>D23+D42+D44</f>
        <v>69392474499.300003</v>
      </c>
      <c r="E22" s="60" t="s">
        <v>59</v>
      </c>
      <c r="F22" s="60" t="s">
        <v>59</v>
      </c>
      <c r="G22" s="60" t="s">
        <v>59</v>
      </c>
      <c r="H22" s="60" t="s">
        <v>59</v>
      </c>
      <c r="I22" s="60" t="s">
        <v>59</v>
      </c>
      <c r="J22" s="59">
        <f t="shared" si="0"/>
        <v>27.672337481947658</v>
      </c>
      <c r="K22" s="59">
        <f t="shared" si="1"/>
        <v>69.004381546740646</v>
      </c>
      <c r="L22" s="61"/>
    </row>
    <row r="23" spans="2:12" ht="28" customHeight="1" outlineLevel="1" x14ac:dyDescent="0.25">
      <c r="B23" s="82" t="s">
        <v>61</v>
      </c>
      <c r="C23" s="58">
        <f>C24+C26+C28+C30+C32+C34+C36+C38+C40</f>
        <v>78990563922.539993</v>
      </c>
      <c r="D23" s="58">
        <f>D24+D26+D28+D30+D32+D34+D36+D38+D40</f>
        <v>58650902423.840004</v>
      </c>
      <c r="E23" s="60" t="s">
        <v>59</v>
      </c>
      <c r="F23" s="60" t="s">
        <v>59</v>
      </c>
      <c r="G23" s="60" t="s">
        <v>59</v>
      </c>
      <c r="H23" s="60" t="s">
        <v>59</v>
      </c>
      <c r="I23" s="60" t="s">
        <v>59</v>
      </c>
      <c r="J23" s="59">
        <f t="shared" si="0"/>
        <v>23.388812363358717</v>
      </c>
      <c r="K23" s="59">
        <f t="shared" si="1"/>
        <v>74.250517417946853</v>
      </c>
      <c r="L23" s="61"/>
    </row>
    <row r="24" spans="2:12" ht="25" customHeight="1" outlineLevel="1" x14ac:dyDescent="0.25">
      <c r="B24" s="81" t="s">
        <v>9</v>
      </c>
      <c r="C24" s="24">
        <f>41531927908.52</f>
        <v>41531927908.519997</v>
      </c>
      <c r="D24" s="24">
        <f>37119665168.98</f>
        <v>37119665168.980003</v>
      </c>
      <c r="E24" s="24" t="s">
        <v>59</v>
      </c>
      <c r="F24" s="24" t="s">
        <v>59</v>
      </c>
      <c r="G24" s="24" t="s">
        <v>59</v>
      </c>
      <c r="H24" s="24" t="s">
        <v>59</v>
      </c>
      <c r="I24" s="24" t="s">
        <v>59</v>
      </c>
      <c r="J24" s="34">
        <f t="shared" si="0"/>
        <v>14.802583553685986</v>
      </c>
      <c r="K24" s="34">
        <f t="shared" si="1"/>
        <v>89.376214970663938</v>
      </c>
      <c r="L24" s="29"/>
    </row>
    <row r="25" spans="2:12" ht="13" customHeight="1" outlineLevel="1" x14ac:dyDescent="0.25">
      <c r="B25" s="83" t="s">
        <v>6</v>
      </c>
      <c r="C25" s="24">
        <f>128178513.54</f>
        <v>128178513.54000001</v>
      </c>
      <c r="D25" s="24">
        <f>75101419.43</f>
        <v>75101419.430000007</v>
      </c>
      <c r="E25" s="24" t="s">
        <v>59</v>
      </c>
      <c r="F25" s="24" t="s">
        <v>59</v>
      </c>
      <c r="G25" s="24" t="s">
        <v>59</v>
      </c>
      <c r="H25" s="24" t="s">
        <v>59</v>
      </c>
      <c r="I25" s="24" t="s">
        <v>59</v>
      </c>
      <c r="J25" s="34">
        <f t="shared" si="0"/>
        <v>2.994895107626153E-2</v>
      </c>
      <c r="K25" s="34">
        <f t="shared" si="1"/>
        <v>58.591270374315506</v>
      </c>
      <c r="L25" s="29"/>
    </row>
    <row r="26" spans="2:12" ht="13" customHeight="1" outlineLevel="1" x14ac:dyDescent="0.25">
      <c r="B26" s="81" t="s">
        <v>7</v>
      </c>
      <c r="C26" s="24">
        <f>6869953754.67</f>
        <v>6869953754.6700001</v>
      </c>
      <c r="D26" s="24">
        <f>4633106808.98</f>
        <v>4633106808.9799995</v>
      </c>
      <c r="E26" s="24" t="s">
        <v>59</v>
      </c>
      <c r="F26" s="24" t="s">
        <v>59</v>
      </c>
      <c r="G26" s="24" t="s">
        <v>59</v>
      </c>
      <c r="H26" s="24" t="s">
        <v>59</v>
      </c>
      <c r="I26" s="24" t="s">
        <v>59</v>
      </c>
      <c r="J26" s="34">
        <f t="shared" si="0"/>
        <v>1.8475907673431859</v>
      </c>
      <c r="K26" s="34">
        <f t="shared" si="1"/>
        <v>67.440145515252482</v>
      </c>
      <c r="L26" s="29"/>
    </row>
    <row r="27" spans="2:12" ht="13" customHeight="1" outlineLevel="1" x14ac:dyDescent="0.25">
      <c r="B27" s="83" t="s">
        <v>6</v>
      </c>
      <c r="C27" s="24">
        <f>1078938769.71</f>
        <v>1078938769.71</v>
      </c>
      <c r="D27" s="24">
        <f>316716263.77</f>
        <v>316716263.76999998</v>
      </c>
      <c r="E27" s="24" t="s">
        <v>59</v>
      </c>
      <c r="F27" s="24" t="s">
        <v>59</v>
      </c>
      <c r="G27" s="24" t="s">
        <v>59</v>
      </c>
      <c r="H27" s="24" t="s">
        <v>59</v>
      </c>
      <c r="I27" s="24" t="s">
        <v>59</v>
      </c>
      <c r="J27" s="34">
        <f t="shared" si="0"/>
        <v>0.12630014133814182</v>
      </c>
      <c r="K27" s="34">
        <f t="shared" si="1"/>
        <v>29.354424241806402</v>
      </c>
      <c r="L27" s="29"/>
    </row>
    <row r="28" spans="2:12" ht="33" customHeight="1" outlineLevel="1" x14ac:dyDescent="0.25">
      <c r="B28" s="81" t="s">
        <v>10</v>
      </c>
      <c r="C28" s="24">
        <f>381377330.72</f>
        <v>381377330.72000003</v>
      </c>
      <c r="D28" s="24">
        <f>276036374.85</f>
        <v>276036374.85000002</v>
      </c>
      <c r="E28" s="24" t="s">
        <v>59</v>
      </c>
      <c r="F28" s="24" t="s">
        <v>59</v>
      </c>
      <c r="G28" s="24" t="s">
        <v>59</v>
      </c>
      <c r="H28" s="24" t="s">
        <v>59</v>
      </c>
      <c r="I28" s="24" t="s">
        <v>59</v>
      </c>
      <c r="J28" s="34">
        <f t="shared" si="0"/>
        <v>0.11007781142348029</v>
      </c>
      <c r="K28" s="34">
        <f t="shared" si="1"/>
        <v>72.378810331718611</v>
      </c>
      <c r="L28" s="29"/>
    </row>
    <row r="29" spans="2:12" ht="13" customHeight="1" outlineLevel="1" x14ac:dyDescent="0.25">
      <c r="B29" s="83" t="s">
        <v>6</v>
      </c>
      <c r="C29" s="24">
        <f>25389431.41</f>
        <v>25389431.41</v>
      </c>
      <c r="D29" s="24">
        <f>10105490.37</f>
        <v>10105490.369999999</v>
      </c>
      <c r="E29" s="24" t="s">
        <v>59</v>
      </c>
      <c r="F29" s="24" t="s">
        <v>59</v>
      </c>
      <c r="G29" s="24" t="s">
        <v>59</v>
      </c>
      <c r="H29" s="24" t="s">
        <v>59</v>
      </c>
      <c r="I29" s="24" t="s">
        <v>59</v>
      </c>
      <c r="J29" s="34">
        <f t="shared" si="0"/>
        <v>4.0298683964935271E-3</v>
      </c>
      <c r="K29" s="34">
        <f t="shared" si="1"/>
        <v>39.801956203004231</v>
      </c>
      <c r="L29" s="29"/>
    </row>
    <row r="30" spans="2:12" ht="28" customHeight="1" outlineLevel="1" x14ac:dyDescent="0.25">
      <c r="B30" s="81" t="s">
        <v>11</v>
      </c>
      <c r="C30" s="24">
        <f>1739222406.1</f>
        <v>1739222406.0999999</v>
      </c>
      <c r="D30" s="24">
        <f>1100840571.75</f>
        <v>1100840571.75</v>
      </c>
      <c r="E30" s="24" t="s">
        <v>59</v>
      </c>
      <c r="F30" s="24" t="s">
        <v>59</v>
      </c>
      <c r="G30" s="24" t="s">
        <v>59</v>
      </c>
      <c r="H30" s="24" t="s">
        <v>59</v>
      </c>
      <c r="I30" s="24" t="s">
        <v>59</v>
      </c>
      <c r="J30" s="34">
        <f t="shared" si="0"/>
        <v>0.43899330633602801</v>
      </c>
      <c r="K30" s="34">
        <f t="shared" si="1"/>
        <v>63.294985614778533</v>
      </c>
      <c r="L30" s="29"/>
    </row>
    <row r="31" spans="2:12" ht="13" customHeight="1" outlineLevel="1" x14ac:dyDescent="0.25">
      <c r="B31" s="83" t="s">
        <v>6</v>
      </c>
      <c r="C31" s="24">
        <f>398422397.87</f>
        <v>398422397.87</v>
      </c>
      <c r="D31" s="24">
        <f>127406869.36</f>
        <v>127406869.36</v>
      </c>
      <c r="E31" s="24" t="s">
        <v>59</v>
      </c>
      <c r="F31" s="24" t="s">
        <v>59</v>
      </c>
      <c r="G31" s="24" t="s">
        <v>59</v>
      </c>
      <c r="H31" s="24" t="s">
        <v>59</v>
      </c>
      <c r="I31" s="24" t="s">
        <v>59</v>
      </c>
      <c r="J31" s="34">
        <f t="shared" si="0"/>
        <v>5.0807323299645435E-2</v>
      </c>
      <c r="K31" s="34">
        <f t="shared" si="1"/>
        <v>31.977838103763229</v>
      </c>
      <c r="L31" s="29"/>
    </row>
    <row r="32" spans="2:12" ht="30" outlineLevel="1" x14ac:dyDescent="0.25">
      <c r="B32" s="81" t="s">
        <v>80</v>
      </c>
      <c r="C32" s="24">
        <f>1990241669.15</f>
        <v>1990241669.1500001</v>
      </c>
      <c r="D32" s="24">
        <f>1009234778.76</f>
        <v>1009234778.76</v>
      </c>
      <c r="E32" s="24" t="s">
        <v>59</v>
      </c>
      <c r="F32" s="24" t="s">
        <v>59</v>
      </c>
      <c r="G32" s="24" t="s">
        <v>59</v>
      </c>
      <c r="H32" s="24" t="s">
        <v>59</v>
      </c>
      <c r="I32" s="24" t="s">
        <v>59</v>
      </c>
      <c r="J32" s="34">
        <f t="shared" si="0"/>
        <v>0.40246273962527773</v>
      </c>
      <c r="K32" s="34">
        <f t="shared" si="1"/>
        <v>50.709157305053701</v>
      </c>
      <c r="L32" s="29"/>
    </row>
    <row r="33" spans="2:12" ht="13" customHeight="1" outlineLevel="1" x14ac:dyDescent="0.25">
      <c r="B33" s="83" t="s">
        <v>6</v>
      </c>
      <c r="C33" s="24">
        <f>1671340314.15</f>
        <v>1671340314.1500001</v>
      </c>
      <c r="D33" s="24">
        <f>786054887.5</f>
        <v>786054887.5</v>
      </c>
      <c r="E33" s="24" t="s">
        <v>59</v>
      </c>
      <c r="F33" s="24" t="s">
        <v>59</v>
      </c>
      <c r="G33" s="24" t="s">
        <v>59</v>
      </c>
      <c r="H33" s="24" t="s">
        <v>59</v>
      </c>
      <c r="I33" s="24" t="s">
        <v>59</v>
      </c>
      <c r="J33" s="34">
        <f t="shared" si="0"/>
        <v>0.31346304167974043</v>
      </c>
      <c r="K33" s="34">
        <f t="shared" si="1"/>
        <v>47.031408316131412</v>
      </c>
      <c r="L33" s="29"/>
    </row>
    <row r="34" spans="2:12" ht="13" customHeight="1" outlineLevel="1" x14ac:dyDescent="0.25">
      <c r="B34" s="81" t="s">
        <v>8</v>
      </c>
      <c r="C34" s="24">
        <f>717957727.67</f>
        <v>717957727.66999996</v>
      </c>
      <c r="D34" s="24">
        <f>306856251.76</f>
        <v>306856251.75999999</v>
      </c>
      <c r="E34" s="24" t="s">
        <v>59</v>
      </c>
      <c r="F34" s="24" t="s">
        <v>59</v>
      </c>
      <c r="G34" s="24" t="s">
        <v>59</v>
      </c>
      <c r="H34" s="24" t="s">
        <v>59</v>
      </c>
      <c r="I34" s="24" t="s">
        <v>59</v>
      </c>
      <c r="J34" s="34">
        <f t="shared" si="0"/>
        <v>0.12236816482504703</v>
      </c>
      <c r="K34" s="34">
        <f t="shared" si="1"/>
        <v>42.740155852329309</v>
      </c>
      <c r="L34" s="29"/>
    </row>
    <row r="35" spans="2:12" ht="13" customHeight="1" outlineLevel="1" x14ac:dyDescent="0.25">
      <c r="B35" s="83" t="s">
        <v>6</v>
      </c>
      <c r="C35" s="24">
        <f>577825702.89</f>
        <v>577825702.88999999</v>
      </c>
      <c r="D35" s="24">
        <f>206387753.54</f>
        <v>206387753.53999999</v>
      </c>
      <c r="E35" s="24" t="s">
        <v>59</v>
      </c>
      <c r="F35" s="24" t="s">
        <v>59</v>
      </c>
      <c r="G35" s="24" t="s">
        <v>59</v>
      </c>
      <c r="H35" s="24" t="s">
        <v>59</v>
      </c>
      <c r="I35" s="24" t="s">
        <v>59</v>
      </c>
      <c r="J35" s="34">
        <f t="shared" si="0"/>
        <v>8.2303327692364245E-2</v>
      </c>
      <c r="K35" s="34">
        <f t="shared" si="1"/>
        <v>35.717994631901966</v>
      </c>
      <c r="L35" s="29"/>
    </row>
    <row r="36" spans="2:12" ht="40" outlineLevel="1" x14ac:dyDescent="0.25">
      <c r="B36" s="81" t="s">
        <v>99</v>
      </c>
      <c r="C36" s="24">
        <f>11994673.3</f>
        <v>11994673.300000001</v>
      </c>
      <c r="D36" s="24">
        <f>5919903</f>
        <v>5919903</v>
      </c>
      <c r="E36" s="24" t="s">
        <v>59</v>
      </c>
      <c r="F36" s="24" t="s">
        <v>59</v>
      </c>
      <c r="G36" s="24" t="s">
        <v>59</v>
      </c>
      <c r="H36" s="24" t="s">
        <v>59</v>
      </c>
      <c r="I36" s="24" t="s">
        <v>59</v>
      </c>
      <c r="J36" s="34">
        <f t="shared" si="0"/>
        <v>2.3607394729531789E-3</v>
      </c>
      <c r="K36" s="34">
        <f t="shared" si="1"/>
        <v>49.354433021531314</v>
      </c>
      <c r="L36" s="29"/>
    </row>
    <row r="37" spans="2:12" ht="13" customHeight="1" outlineLevel="1" x14ac:dyDescent="0.25">
      <c r="B37" s="83" t="s">
        <v>97</v>
      </c>
      <c r="C37" s="24">
        <f>10697074.3</f>
        <v>10697074.300000001</v>
      </c>
      <c r="D37" s="24">
        <f>5041954</f>
        <v>5041954</v>
      </c>
      <c r="E37" s="24" t="s">
        <v>59</v>
      </c>
      <c r="F37" s="24" t="s">
        <v>59</v>
      </c>
      <c r="G37" s="24" t="s">
        <v>59</v>
      </c>
      <c r="H37" s="24" t="s">
        <v>59</v>
      </c>
      <c r="I37" s="24" t="s">
        <v>59</v>
      </c>
      <c r="J37" s="34">
        <f t="shared" si="0"/>
        <v>2.0106308884814787E-3</v>
      </c>
      <c r="K37" s="34">
        <f t="shared" si="1"/>
        <v>47.13395325299367</v>
      </c>
      <c r="L37" s="29"/>
    </row>
    <row r="38" spans="2:12" ht="40" outlineLevel="1" x14ac:dyDescent="0.25">
      <c r="B38" s="84" t="s">
        <v>96</v>
      </c>
      <c r="C38" s="24">
        <f>20740308099.85</f>
        <v>20740308099.849998</v>
      </c>
      <c r="D38" s="24">
        <f>9422615516.06999</f>
        <v>9422615516.0699902</v>
      </c>
      <c r="E38" s="24" t="s">
        <v>59</v>
      </c>
      <c r="F38" s="24" t="s">
        <v>59</v>
      </c>
      <c r="G38" s="24" t="s">
        <v>59</v>
      </c>
      <c r="H38" s="24" t="s">
        <v>59</v>
      </c>
      <c r="I38" s="24" t="s">
        <v>59</v>
      </c>
      <c r="J38" s="34">
        <f t="shared" si="0"/>
        <v>3.7575514982673726</v>
      </c>
      <c r="K38" s="34">
        <f t="shared" si="1"/>
        <v>45.431415342080371</v>
      </c>
      <c r="L38" s="29"/>
    </row>
    <row r="39" spans="2:12" ht="13" customHeight="1" outlineLevel="1" x14ac:dyDescent="0.25">
      <c r="B39" s="85" t="s">
        <v>6</v>
      </c>
      <c r="C39" s="24">
        <f>9820242953.1</f>
        <v>9820242953.1000004</v>
      </c>
      <c r="D39" s="24">
        <f>1266869117.59</f>
        <v>1266869117.5899999</v>
      </c>
      <c r="E39" s="24" t="s">
        <v>59</v>
      </c>
      <c r="F39" s="24" t="s">
        <v>59</v>
      </c>
      <c r="G39" s="24" t="s">
        <v>59</v>
      </c>
      <c r="H39" s="24" t="s">
        <v>59</v>
      </c>
      <c r="I39" s="24" t="s">
        <v>59</v>
      </c>
      <c r="J39" s="34">
        <f t="shared" si="0"/>
        <v>0.50520218540068562</v>
      </c>
      <c r="K39" s="34">
        <f t="shared" si="1"/>
        <v>12.900588342267861</v>
      </c>
      <c r="L39" s="29"/>
    </row>
    <row r="40" spans="2:12" ht="20" outlineLevel="1" x14ac:dyDescent="0.25">
      <c r="B40" s="84" t="s">
        <v>109</v>
      </c>
      <c r="C40" s="24">
        <f>5007580352.56</f>
        <v>5007580352.5600004</v>
      </c>
      <c r="D40" s="24">
        <f>4776627049.69</f>
        <v>4776627049.6899996</v>
      </c>
      <c r="E40" s="24" t="s">
        <v>59</v>
      </c>
      <c r="F40" s="24" t="s">
        <v>59</v>
      </c>
      <c r="G40" s="24" t="s">
        <v>59</v>
      </c>
      <c r="H40" s="24" t="s">
        <v>59</v>
      </c>
      <c r="I40" s="24" t="s">
        <v>59</v>
      </c>
      <c r="J40" s="34">
        <f t="shared" si="0"/>
        <v>1.9048237823793848</v>
      </c>
      <c r="K40" s="34">
        <f t="shared" si="1"/>
        <v>95.387926171730186</v>
      </c>
      <c r="L40" s="29"/>
    </row>
    <row r="41" spans="2:12" ht="13" customHeight="1" outlineLevel="1" x14ac:dyDescent="0.25">
      <c r="B41" s="85" t="s">
        <v>6</v>
      </c>
      <c r="C41" s="24">
        <f>1857779.32</f>
        <v>1857779.32</v>
      </c>
      <c r="D41" s="24">
        <f>1444344.32</f>
        <v>1444344.32</v>
      </c>
      <c r="E41" s="24" t="s">
        <v>59</v>
      </c>
      <c r="F41" s="24" t="s">
        <v>59</v>
      </c>
      <c r="G41" s="24" t="s">
        <v>59</v>
      </c>
      <c r="H41" s="24" t="s">
        <v>59</v>
      </c>
      <c r="I41" s="24" t="s">
        <v>59</v>
      </c>
      <c r="J41" s="34">
        <f t="shared" si="0"/>
        <v>5.7597576324472171E-4</v>
      </c>
      <c r="K41" s="34">
        <f t="shared" si="1"/>
        <v>77.745742158438929</v>
      </c>
      <c r="L41" s="29"/>
    </row>
    <row r="42" spans="2:12" ht="14.15" customHeight="1" outlineLevel="1" x14ac:dyDescent="0.25">
      <c r="B42" s="82" t="s">
        <v>72</v>
      </c>
      <c r="C42" s="58">
        <f>2736842422.09</f>
        <v>2736842422.0900002</v>
      </c>
      <c r="D42" s="58">
        <f>1404959499.17</f>
        <v>1404959499.1700001</v>
      </c>
      <c r="E42" s="60" t="s">
        <v>59</v>
      </c>
      <c r="F42" s="60" t="s">
        <v>59</v>
      </c>
      <c r="G42" s="60" t="s">
        <v>59</v>
      </c>
      <c r="H42" s="60" t="s">
        <v>59</v>
      </c>
      <c r="I42" s="60" t="s">
        <v>59</v>
      </c>
      <c r="J42" s="59">
        <f t="shared" si="0"/>
        <v>0.56026988070432027</v>
      </c>
      <c r="K42" s="59">
        <f t="shared" si="1"/>
        <v>51.335052680785957</v>
      </c>
      <c r="L42" s="29"/>
    </row>
    <row r="43" spans="2:12" ht="13" customHeight="1" outlineLevel="1" x14ac:dyDescent="0.25">
      <c r="B43" s="88" t="s">
        <v>73</v>
      </c>
      <c r="C43" s="23">
        <f>1771816388.51</f>
        <v>1771816388.51</v>
      </c>
      <c r="D43" s="23">
        <f>760725133.27</f>
        <v>760725133.26999998</v>
      </c>
      <c r="E43" s="23" t="s">
        <v>59</v>
      </c>
      <c r="F43" s="23" t="s">
        <v>59</v>
      </c>
      <c r="G43" s="23" t="s">
        <v>59</v>
      </c>
      <c r="H43" s="23" t="s">
        <v>59</v>
      </c>
      <c r="I43" s="23" t="s">
        <v>59</v>
      </c>
      <c r="J43" s="34">
        <f t="shared" si="0"/>
        <v>0.30336203991485278</v>
      </c>
      <c r="K43" s="34">
        <f t="shared" si="1"/>
        <v>42.934761084907223</v>
      </c>
      <c r="L43" s="29"/>
    </row>
    <row r="44" spans="2:12" ht="14.15" customHeight="1" outlineLevel="1" x14ac:dyDescent="0.25">
      <c r="B44" s="82" t="s">
        <v>86</v>
      </c>
      <c r="C44" s="58">
        <f>18835011495.89</f>
        <v>18835011495.889999</v>
      </c>
      <c r="D44" s="58">
        <f>9336612576.29</f>
        <v>9336612576.2900009</v>
      </c>
      <c r="E44" s="60" t="s">
        <v>59</v>
      </c>
      <c r="F44" s="60" t="s">
        <v>59</v>
      </c>
      <c r="G44" s="60" t="s">
        <v>59</v>
      </c>
      <c r="H44" s="60" t="s">
        <v>59</v>
      </c>
      <c r="I44" s="60" t="s">
        <v>59</v>
      </c>
      <c r="J44" s="59">
        <f t="shared" si="0"/>
        <v>3.7232552378846204</v>
      </c>
      <c r="K44" s="59">
        <f t="shared" si="1"/>
        <v>49.570517004076954</v>
      </c>
      <c r="L44" s="29"/>
    </row>
    <row r="45" spans="2:12" ht="13" customHeight="1" outlineLevel="1" x14ac:dyDescent="0.25">
      <c r="B45" s="88" t="s">
        <v>87</v>
      </c>
      <c r="C45" s="23">
        <f>14396283210.83</f>
        <v>14396283210.83</v>
      </c>
      <c r="D45" s="23">
        <f>6249235110.37</f>
        <v>6249235110.3699999</v>
      </c>
      <c r="E45" s="23" t="s">
        <v>59</v>
      </c>
      <c r="F45" s="23" t="s">
        <v>59</v>
      </c>
      <c r="G45" s="23" t="s">
        <v>59</v>
      </c>
      <c r="H45" s="23" t="s">
        <v>59</v>
      </c>
      <c r="I45" s="23" t="s">
        <v>59</v>
      </c>
      <c r="J45" s="34">
        <f t="shared" si="0"/>
        <v>2.4920705627803992</v>
      </c>
      <c r="K45" s="34">
        <f t="shared" si="1"/>
        <v>43.408670271704857</v>
      </c>
      <c r="L45" s="29"/>
    </row>
    <row r="46" spans="2:12" ht="28" customHeight="1" x14ac:dyDescent="0.25">
      <c r="B46" s="77" t="s">
        <v>62</v>
      </c>
      <c r="C46" s="58">
        <f>C47+C48+C49+C50+C51+C52</f>
        <v>74094807727.179993</v>
      </c>
      <c r="D46" s="58">
        <f>D47+D48+D49+D50+D51+D52</f>
        <v>60704948088</v>
      </c>
      <c r="E46" s="60" t="s">
        <v>59</v>
      </c>
      <c r="F46" s="60" t="s">
        <v>59</v>
      </c>
      <c r="G46" s="60" t="s">
        <v>59</v>
      </c>
      <c r="H46" s="60" t="s">
        <v>59</v>
      </c>
      <c r="I46" s="60" t="s">
        <v>59</v>
      </c>
      <c r="J46" s="59">
        <f t="shared" si="0"/>
        <v>24.207924885748163</v>
      </c>
      <c r="K46" s="59">
        <f t="shared" si="1"/>
        <v>81.928747708635697</v>
      </c>
      <c r="L46" s="29"/>
    </row>
    <row r="47" spans="2:12" ht="15" customHeight="1" outlineLevel="1" x14ac:dyDescent="0.25">
      <c r="B47" s="30" t="s">
        <v>48</v>
      </c>
      <c r="C47" s="23">
        <f>14709638385</f>
        <v>14709638385</v>
      </c>
      <c r="D47" s="23">
        <f>11034268659</f>
        <v>11034268659</v>
      </c>
      <c r="E47" s="23" t="s">
        <v>59</v>
      </c>
      <c r="F47" s="23" t="s">
        <v>59</v>
      </c>
      <c r="G47" s="23" t="s">
        <v>59</v>
      </c>
      <c r="H47" s="23" t="s">
        <v>59</v>
      </c>
      <c r="I47" s="23" t="s">
        <v>59</v>
      </c>
      <c r="J47" s="34">
        <f t="shared" si="0"/>
        <v>4.4002466895946508</v>
      </c>
      <c r="K47" s="34">
        <f t="shared" si="1"/>
        <v>75.013867575779969</v>
      </c>
      <c r="L47" s="29"/>
    </row>
    <row r="48" spans="2:12" ht="15" customHeight="1" outlineLevel="1" x14ac:dyDescent="0.25">
      <c r="B48" s="30" t="s">
        <v>47</v>
      </c>
      <c r="C48" s="23">
        <f>55602275185.25</f>
        <v>55602275185.25</v>
      </c>
      <c r="D48" s="23">
        <f>46709694361</f>
        <v>46709694361</v>
      </c>
      <c r="E48" s="23" t="s">
        <v>59</v>
      </c>
      <c r="F48" s="23" t="s">
        <v>59</v>
      </c>
      <c r="G48" s="23" t="s">
        <v>59</v>
      </c>
      <c r="H48" s="23" t="s">
        <v>59</v>
      </c>
      <c r="I48" s="23" t="s">
        <v>59</v>
      </c>
      <c r="J48" s="34">
        <f t="shared" si="0"/>
        <v>18.626896293333051</v>
      </c>
      <c r="K48" s="34">
        <f t="shared" si="1"/>
        <v>84.006804047815308</v>
      </c>
      <c r="L48" s="29"/>
    </row>
    <row r="49" spans="1:26" ht="15" customHeight="1" outlineLevel="1" x14ac:dyDescent="0.25">
      <c r="B49" s="30" t="s">
        <v>46</v>
      </c>
      <c r="C49" s="23">
        <f>3078384</f>
        <v>3078384</v>
      </c>
      <c r="D49" s="23">
        <f>0</f>
        <v>0</v>
      </c>
      <c r="E49" s="23" t="s">
        <v>59</v>
      </c>
      <c r="F49" s="23" t="s">
        <v>59</v>
      </c>
      <c r="G49" s="23" t="s">
        <v>59</v>
      </c>
      <c r="H49" s="23" t="s">
        <v>59</v>
      </c>
      <c r="I49" s="23" t="s">
        <v>59</v>
      </c>
      <c r="J49" s="34">
        <f t="shared" si="0"/>
        <v>0</v>
      </c>
      <c r="K49" s="34">
        <f t="shared" si="1"/>
        <v>0</v>
      </c>
      <c r="L49" s="29"/>
    </row>
    <row r="50" spans="1:26" ht="15" customHeight="1" outlineLevel="1" x14ac:dyDescent="0.25">
      <c r="B50" s="30" t="s">
        <v>45</v>
      </c>
      <c r="C50" s="23">
        <f>2188812909</f>
        <v>2188812909</v>
      </c>
      <c r="D50" s="23">
        <f>1641416202</f>
        <v>1641416202</v>
      </c>
      <c r="E50" s="23" t="s">
        <v>59</v>
      </c>
      <c r="F50" s="23" t="s">
        <v>59</v>
      </c>
      <c r="G50" s="23" t="s">
        <v>59</v>
      </c>
      <c r="H50" s="23" t="s">
        <v>59</v>
      </c>
      <c r="I50" s="23" t="s">
        <v>59</v>
      </c>
      <c r="J50" s="34">
        <f t="shared" si="0"/>
        <v>0.65456410681159616</v>
      </c>
      <c r="K50" s="34">
        <f t="shared" si="1"/>
        <v>74.991160516771245</v>
      </c>
      <c r="L50" s="29"/>
    </row>
    <row r="51" spans="1:26" ht="15" customHeight="1" outlineLevel="1" x14ac:dyDescent="0.25">
      <c r="B51" s="30" t="s">
        <v>58</v>
      </c>
      <c r="C51" s="23">
        <f>884998923</f>
        <v>884998923</v>
      </c>
      <c r="D51" s="23">
        <f>663749199</f>
        <v>663749199</v>
      </c>
      <c r="E51" s="23" t="s">
        <v>59</v>
      </c>
      <c r="F51" s="23" t="s">
        <v>59</v>
      </c>
      <c r="G51" s="23" t="s">
        <v>59</v>
      </c>
      <c r="H51" s="23" t="s">
        <v>59</v>
      </c>
      <c r="I51" s="23" t="s">
        <v>59</v>
      </c>
      <c r="J51" s="34">
        <f t="shared" si="0"/>
        <v>0.264689967761356</v>
      </c>
      <c r="K51" s="34">
        <f t="shared" si="1"/>
        <v>75.000000762712787</v>
      </c>
      <c r="L51" s="29"/>
    </row>
    <row r="52" spans="1:26" ht="15" customHeight="1" outlineLevel="1" x14ac:dyDescent="0.25">
      <c r="B52" s="30" t="s">
        <v>43</v>
      </c>
      <c r="C52" s="23">
        <f>706003940.93</f>
        <v>706003940.92999995</v>
      </c>
      <c r="D52" s="23">
        <f>655819667</f>
        <v>655819667</v>
      </c>
      <c r="E52" s="23" t="s">
        <v>59</v>
      </c>
      <c r="F52" s="23" t="s">
        <v>59</v>
      </c>
      <c r="G52" s="23" t="s">
        <v>59</v>
      </c>
      <c r="H52" s="23" t="s">
        <v>59</v>
      </c>
      <c r="I52" s="23" t="s">
        <v>59</v>
      </c>
      <c r="J52" s="34">
        <f t="shared" si="0"/>
        <v>0.26152782824750831</v>
      </c>
      <c r="K52" s="34">
        <f t="shared" si="1"/>
        <v>92.891785580701779</v>
      </c>
      <c r="L52" s="29"/>
    </row>
    <row r="53" spans="1:26" s="6" customFormat="1" ht="13.5" customHeight="1" x14ac:dyDescent="0.25">
      <c r="A53" s="3"/>
      <c r="B53" s="21"/>
      <c r="C53" s="8"/>
      <c r="D53" s="9"/>
      <c r="E53" s="16"/>
      <c r="F53" s="16"/>
      <c r="G53" s="16"/>
      <c r="H53" s="16"/>
      <c r="I53" s="16"/>
      <c r="J53" s="10"/>
      <c r="K53" s="10"/>
      <c r="L53" s="4"/>
    </row>
    <row r="54" spans="1:26" s="6" customFormat="1" ht="18.75" customHeight="1" x14ac:dyDescent="0.25">
      <c r="A54" s="3"/>
      <c r="B54" s="62" t="s">
        <v>5</v>
      </c>
      <c r="C54" s="63">
        <f t="shared" ref="C54:I54" si="4">+C6</f>
        <v>335929607179.20001</v>
      </c>
      <c r="D54" s="63">
        <f t="shared" si="4"/>
        <v>250764773827.17999</v>
      </c>
      <c r="E54" s="63">
        <f t="shared" si="4"/>
        <v>3005334800.9499998</v>
      </c>
      <c r="F54" s="63">
        <f t="shared" si="4"/>
        <v>736961890.60000002</v>
      </c>
      <c r="G54" s="63">
        <f t="shared" si="4"/>
        <v>80877189.810000002</v>
      </c>
      <c r="H54" s="63">
        <f t="shared" si="4"/>
        <v>223405610.05000001</v>
      </c>
      <c r="I54" s="63">
        <f t="shared" si="4"/>
        <v>3355603.5</v>
      </c>
      <c r="J54" s="64">
        <f>IF($D$54=0,"",100*$D54/$D$54)</f>
        <v>100</v>
      </c>
      <c r="K54" s="64">
        <f>IF(C54=0,"",100*D54/C54)</f>
        <v>74.648012103741351</v>
      </c>
      <c r="L54" s="4"/>
    </row>
    <row r="55" spans="1:26" s="6" customFormat="1" ht="20.149999999999999" customHeight="1" x14ac:dyDescent="0.25">
      <c r="A55" s="3"/>
      <c r="B55" s="55" t="s">
        <v>75</v>
      </c>
      <c r="C55" s="56">
        <f>43237734434.27</f>
        <v>43237734434.269997</v>
      </c>
      <c r="D55" s="56">
        <f>17039640152.26</f>
        <v>17039640152.26</v>
      </c>
      <c r="E55" s="56">
        <f>0</f>
        <v>0</v>
      </c>
      <c r="F55" s="56">
        <f>0</f>
        <v>0</v>
      </c>
      <c r="G55" s="56">
        <f>0</f>
        <v>0</v>
      </c>
      <c r="H55" s="56">
        <f>0</f>
        <v>0</v>
      </c>
      <c r="I55" s="56">
        <f>4840.65</f>
        <v>4840.6499999999996</v>
      </c>
      <c r="J55" s="35">
        <f>IF($D$54=0,"",100*$D55/$D$54)</f>
        <v>6.7950692962972701</v>
      </c>
      <c r="K55" s="35">
        <f>IF(C55=0,"",100*D55/C55)</f>
        <v>39.409188236177499</v>
      </c>
      <c r="L55" s="4"/>
    </row>
    <row r="56" spans="1:26" s="6" customFormat="1" ht="20.149999999999999" customHeight="1" x14ac:dyDescent="0.25">
      <c r="A56" s="3"/>
      <c r="B56" s="55" t="s">
        <v>76</v>
      </c>
      <c r="C56" s="56">
        <f>+C54-C55</f>
        <v>292691872744.92999</v>
      </c>
      <c r="D56" s="56">
        <f t="shared" ref="D56:I56" si="5">+D54-D55</f>
        <v>233725133674.91998</v>
      </c>
      <c r="E56" s="56">
        <f t="shared" si="5"/>
        <v>3005334800.9499998</v>
      </c>
      <c r="F56" s="56">
        <f t="shared" si="5"/>
        <v>736961890.60000002</v>
      </c>
      <c r="G56" s="56">
        <f t="shared" si="5"/>
        <v>80877189.810000002</v>
      </c>
      <c r="H56" s="56">
        <f t="shared" si="5"/>
        <v>223405610.05000001</v>
      </c>
      <c r="I56" s="56">
        <f t="shared" si="5"/>
        <v>3350762.85</v>
      </c>
      <c r="J56" s="35">
        <f>IF($D$54=0,"",100*$D56/$D$54)</f>
        <v>93.204930703702729</v>
      </c>
      <c r="K56" s="35">
        <f>IF(C56=0,"",100*D56/C56)</f>
        <v>79.853646595306287</v>
      </c>
      <c r="L56" s="4"/>
    </row>
    <row r="57" spans="1:26" s="6" customFormat="1" ht="13.5" customHeight="1" x14ac:dyDescent="0.25">
      <c r="A57" s="3"/>
      <c r="B57" s="92" t="s">
        <v>110</v>
      </c>
      <c r="C57" s="92"/>
      <c r="D57" s="92"/>
      <c r="E57" s="92"/>
      <c r="F57" s="92"/>
      <c r="G57" s="16"/>
      <c r="H57" s="16"/>
      <c r="I57" s="16"/>
      <c r="J57" s="16"/>
      <c r="K57" s="10"/>
      <c r="L57" s="10"/>
      <c r="M57" s="4"/>
    </row>
    <row r="58" spans="1:26" ht="27" customHeight="1" x14ac:dyDescent="0.25">
      <c r="B58" s="87" t="str">
        <f>CONCATENATE("Informacja z wykonania budżetów jednostek samorządu terytorialnego za ",$D$114," ",$C$115," roku")</f>
        <v>Informacja z wykonania budżetów jednostek samorządu terytorialnego za III Kwartały 2022 roku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</row>
    <row r="59" spans="1:26" s="6" customFormat="1" ht="9.75" customHeight="1" x14ac:dyDescent="0.25">
      <c r="B59" s="7"/>
      <c r="C59" s="8"/>
      <c r="D59" s="9"/>
      <c r="E59" s="9"/>
      <c r="F59" s="5"/>
      <c r="G59" s="5"/>
      <c r="H59" s="5"/>
      <c r="I59" s="5"/>
      <c r="J59" s="5"/>
      <c r="K59" s="10"/>
      <c r="L59" s="10"/>
      <c r="M59" s="4"/>
    </row>
    <row r="60" spans="1:26" ht="29.25" customHeight="1" x14ac:dyDescent="0.25">
      <c r="B60" s="105" t="s">
        <v>0</v>
      </c>
      <c r="C60" s="93" t="s">
        <v>54</v>
      </c>
      <c r="D60" s="93" t="s">
        <v>56</v>
      </c>
      <c r="E60" s="93" t="s">
        <v>55</v>
      </c>
      <c r="F60" s="93" t="s">
        <v>12</v>
      </c>
      <c r="G60" s="93"/>
      <c r="H60" s="93"/>
      <c r="I60" s="119" t="s">
        <v>88</v>
      </c>
      <c r="J60" s="119" t="s">
        <v>2</v>
      </c>
      <c r="K60" s="116" t="s">
        <v>18</v>
      </c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</row>
    <row r="61" spans="1:26" ht="18" customHeight="1" x14ac:dyDescent="0.25">
      <c r="B61" s="105"/>
      <c r="C61" s="93"/>
      <c r="D61" s="93"/>
      <c r="E61" s="93"/>
      <c r="F61" s="110" t="s">
        <v>57</v>
      </c>
      <c r="G61" s="94" t="s">
        <v>34</v>
      </c>
      <c r="H61" s="95"/>
      <c r="I61" s="120"/>
      <c r="J61" s="120"/>
      <c r="K61" s="117"/>
      <c r="L61" s="12"/>
      <c r="M61" s="13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66.75" customHeight="1" x14ac:dyDescent="0.25">
      <c r="B62" s="105"/>
      <c r="C62" s="93"/>
      <c r="D62" s="93"/>
      <c r="E62" s="93"/>
      <c r="F62" s="95"/>
      <c r="G62" s="18" t="s">
        <v>52</v>
      </c>
      <c r="H62" s="18" t="s">
        <v>53</v>
      </c>
      <c r="I62" s="121"/>
      <c r="J62" s="121"/>
      <c r="K62" s="118"/>
      <c r="L62" s="12"/>
      <c r="M62" s="11"/>
      <c r="N62" s="22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13.5" customHeight="1" x14ac:dyDescent="0.25">
      <c r="B63" s="105"/>
      <c r="C63" s="107" t="s">
        <v>79</v>
      </c>
      <c r="D63" s="108"/>
      <c r="E63" s="108"/>
      <c r="F63" s="108"/>
      <c r="G63" s="108"/>
      <c r="H63" s="109"/>
      <c r="I63" s="72"/>
      <c r="J63" s="106" t="s">
        <v>4</v>
      </c>
      <c r="K63" s="106"/>
      <c r="N63" s="22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1.25" customHeight="1" x14ac:dyDescent="0.25">
      <c r="B64" s="17">
        <v>1</v>
      </c>
      <c r="C64" s="19">
        <v>2</v>
      </c>
      <c r="D64" s="19">
        <v>3</v>
      </c>
      <c r="E64" s="19">
        <v>4</v>
      </c>
      <c r="F64" s="17">
        <v>5</v>
      </c>
      <c r="G64" s="17">
        <v>6</v>
      </c>
      <c r="H64" s="19">
        <v>7</v>
      </c>
      <c r="I64" s="19">
        <v>8</v>
      </c>
      <c r="J64" s="17">
        <v>9</v>
      </c>
      <c r="K64" s="19">
        <v>10</v>
      </c>
      <c r="M64" s="11"/>
      <c r="N64" s="22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2:13" ht="27" customHeight="1" x14ac:dyDescent="0.25">
      <c r="B65" s="57" t="s">
        <v>63</v>
      </c>
      <c r="C65" s="63">
        <f>382717939137.89</f>
        <v>382717939137.89001</v>
      </c>
      <c r="D65" s="63">
        <f>235898745173.96</f>
        <v>235898745173.95999</v>
      </c>
      <c r="E65" s="63">
        <f>310482503453.72</f>
        <v>310482503453.71997</v>
      </c>
      <c r="F65" s="63">
        <f>7744946832.07</f>
        <v>7744946832.0699997</v>
      </c>
      <c r="G65" s="63">
        <f>2165633.93</f>
        <v>2165633.9300000002</v>
      </c>
      <c r="H65" s="63">
        <f>16205578.25</f>
        <v>16205578.25</v>
      </c>
      <c r="I65" s="69">
        <f>0</f>
        <v>0</v>
      </c>
      <c r="J65" s="50">
        <f>IF($D$65=0,"",100*$D65/$D$65)</f>
        <v>100</v>
      </c>
      <c r="K65" s="50">
        <f>IF(C65=0,"",100*D65/C65)</f>
        <v>61.637754871210177</v>
      </c>
    </row>
    <row r="66" spans="2:13" ht="16.5" customHeight="1" x14ac:dyDescent="0.25">
      <c r="B66" s="76" t="s">
        <v>14</v>
      </c>
      <c r="C66" s="26">
        <f>91552244447.81</f>
        <v>91552244447.809998</v>
      </c>
      <c r="D66" s="26">
        <f>32023857790.28</f>
        <v>32023857790.279999</v>
      </c>
      <c r="E66" s="26">
        <f>61307798344.58</f>
        <v>61307798344.580002</v>
      </c>
      <c r="F66" s="26">
        <f>2547494639.08</f>
        <v>2547494639.0799999</v>
      </c>
      <c r="G66" s="26">
        <f>64167.48</f>
        <v>64167.48</v>
      </c>
      <c r="H66" s="26">
        <f>1736841.59</f>
        <v>1736841.59</v>
      </c>
      <c r="I66" s="70">
        <f>0</f>
        <v>0</v>
      </c>
      <c r="J66" s="50">
        <f t="shared" ref="J66:J74" si="6">IF($D$65=0,"",100*$D66/$D$65)</f>
        <v>13.575255674490547</v>
      </c>
      <c r="K66" s="50">
        <f t="shared" ref="K66:K74" si="7">IF(C66=0,"",100*D66/C66)</f>
        <v>34.978779584738007</v>
      </c>
    </row>
    <row r="67" spans="2:13" ht="18" customHeight="1" outlineLevel="1" x14ac:dyDescent="0.25">
      <c r="B67" s="30" t="s">
        <v>13</v>
      </c>
      <c r="C67" s="23">
        <f>86976428044.77</f>
        <v>86976428044.770004</v>
      </c>
      <c r="D67" s="23">
        <f>29078578116.25</f>
        <v>29078578116.25</v>
      </c>
      <c r="E67" s="23">
        <f>58137674747.71</f>
        <v>58137674747.709999</v>
      </c>
      <c r="F67" s="23">
        <f>2509899810.83</f>
        <v>2509899810.8299999</v>
      </c>
      <c r="G67" s="23">
        <f>64167.48</f>
        <v>64167.48</v>
      </c>
      <c r="H67" s="23">
        <f>1736841.59</f>
        <v>1736841.59</v>
      </c>
      <c r="I67" s="71">
        <f>0</f>
        <v>0</v>
      </c>
      <c r="J67" s="50">
        <f t="shared" si="6"/>
        <v>12.326720133592248</v>
      </c>
      <c r="K67" s="50">
        <f t="shared" si="7"/>
        <v>33.432711333330651</v>
      </c>
    </row>
    <row r="68" spans="2:13" ht="27" customHeight="1" x14ac:dyDescent="0.25">
      <c r="B68" s="77" t="s">
        <v>64</v>
      </c>
      <c r="C68" s="63">
        <f t="shared" ref="C68:I68" si="8">C65-C66</f>
        <v>291165694690.08002</v>
      </c>
      <c r="D68" s="63">
        <f t="shared" si="8"/>
        <v>203874887383.67999</v>
      </c>
      <c r="E68" s="63">
        <f t="shared" si="8"/>
        <v>249174705109.13995</v>
      </c>
      <c r="F68" s="63">
        <f t="shared" si="8"/>
        <v>5197452192.9899998</v>
      </c>
      <c r="G68" s="63">
        <f t="shared" si="8"/>
        <v>2101466.4500000002</v>
      </c>
      <c r="H68" s="63">
        <f t="shared" si="8"/>
        <v>14468736.66</v>
      </c>
      <c r="I68" s="69">
        <f t="shared" si="8"/>
        <v>0</v>
      </c>
      <c r="J68" s="50">
        <f t="shared" si="6"/>
        <v>86.424744325509451</v>
      </c>
      <c r="K68" s="50">
        <f t="shared" si="7"/>
        <v>70.020229409473075</v>
      </c>
    </row>
    <row r="69" spans="2:13" ht="23.15" customHeight="1" outlineLevel="1" x14ac:dyDescent="0.25">
      <c r="B69" s="30" t="s">
        <v>104</v>
      </c>
      <c r="C69" s="23">
        <f>113797826006.49</f>
        <v>113797826006.49001</v>
      </c>
      <c r="D69" s="23">
        <f>83051362049.53</f>
        <v>83051362049.529999</v>
      </c>
      <c r="E69" s="23">
        <f>106071257141.2</f>
        <v>106071257141.2</v>
      </c>
      <c r="F69" s="23">
        <f>2314610976.84</f>
        <v>2314610976.8400002</v>
      </c>
      <c r="G69" s="23">
        <f>773682.54</f>
        <v>773682.54</v>
      </c>
      <c r="H69" s="23">
        <f>266768.68</f>
        <v>266768.68</v>
      </c>
      <c r="I69" s="71">
        <f>0</f>
        <v>0</v>
      </c>
      <c r="J69" s="50">
        <f t="shared" si="6"/>
        <v>35.20636024930316</v>
      </c>
      <c r="K69" s="50">
        <f t="shared" si="7"/>
        <v>72.981501461015171</v>
      </c>
    </row>
    <row r="70" spans="2:13" ht="18" customHeight="1" outlineLevel="1" x14ac:dyDescent="0.25">
      <c r="B70" s="30" t="s">
        <v>51</v>
      </c>
      <c r="C70" s="23">
        <f>31014083208.83</f>
        <v>31014083208.830002</v>
      </c>
      <c r="D70" s="23">
        <f>23456178152.86</f>
        <v>23456178152.860001</v>
      </c>
      <c r="E70" s="23">
        <f>27322291459.18</f>
        <v>27322291459.18</v>
      </c>
      <c r="F70" s="23">
        <f>76636865.72</f>
        <v>76636865.719999999</v>
      </c>
      <c r="G70" s="23">
        <f>0</f>
        <v>0</v>
      </c>
      <c r="H70" s="23">
        <f>49518.2</f>
        <v>49518.2</v>
      </c>
      <c r="I70" s="71">
        <f>0</f>
        <v>0</v>
      </c>
      <c r="J70" s="50">
        <f t="shared" si="6"/>
        <v>9.9433246817665744</v>
      </c>
      <c r="K70" s="50">
        <f t="shared" si="7"/>
        <v>75.630731996558922</v>
      </c>
    </row>
    <row r="71" spans="2:13" ht="18" customHeight="1" outlineLevel="1" x14ac:dyDescent="0.25">
      <c r="B71" s="30" t="s">
        <v>50</v>
      </c>
      <c r="C71" s="23">
        <f>3992686881.31</f>
        <v>3992686881.3099999</v>
      </c>
      <c r="D71" s="23">
        <f>2401159395.26</f>
        <v>2401159395.2600002</v>
      </c>
      <c r="E71" s="23">
        <f>3009435609.95</f>
        <v>3009435609.9499998</v>
      </c>
      <c r="F71" s="23">
        <f>172112429.34</f>
        <v>172112429.34</v>
      </c>
      <c r="G71" s="23">
        <f>0</f>
        <v>0</v>
      </c>
      <c r="H71" s="23">
        <f>415386.35</f>
        <v>415386.35</v>
      </c>
      <c r="I71" s="71">
        <f>0</f>
        <v>0</v>
      </c>
      <c r="J71" s="50">
        <f t="shared" si="6"/>
        <v>1.0178771377055444</v>
      </c>
      <c r="K71" s="50">
        <f t="shared" si="7"/>
        <v>60.138935675120614</v>
      </c>
    </row>
    <row r="72" spans="2:13" ht="23.15" customHeight="1" outlineLevel="1" x14ac:dyDescent="0.25">
      <c r="B72" s="30" t="s">
        <v>70</v>
      </c>
      <c r="C72" s="23">
        <f>300997463.23</f>
        <v>300997463.23000002</v>
      </c>
      <c r="D72" s="23">
        <f>35834761.31</f>
        <v>35834761.310000002</v>
      </c>
      <c r="E72" s="23">
        <f>67569193.49</f>
        <v>67569193.489999995</v>
      </c>
      <c r="F72" s="23">
        <f>156544.19</f>
        <v>156544.19</v>
      </c>
      <c r="G72" s="23">
        <f>0</f>
        <v>0</v>
      </c>
      <c r="H72" s="23">
        <f>0</f>
        <v>0</v>
      </c>
      <c r="I72" s="71">
        <f>0</f>
        <v>0</v>
      </c>
      <c r="J72" s="50">
        <f t="shared" si="6"/>
        <v>1.5190738417694504E-2</v>
      </c>
      <c r="K72" s="50">
        <f t="shared" si="7"/>
        <v>11.905336651497864</v>
      </c>
    </row>
    <row r="73" spans="2:13" ht="23.15" customHeight="1" outlineLevel="1" x14ac:dyDescent="0.25">
      <c r="B73" s="30" t="s">
        <v>71</v>
      </c>
      <c r="C73" s="23">
        <f>53262838371.7701</f>
        <v>53262838371.770103</v>
      </c>
      <c r="D73" s="23">
        <f>38891403902.9</f>
        <v>38891403902.900002</v>
      </c>
      <c r="E73" s="23">
        <f>42430573748.14</f>
        <v>42430573748.139999</v>
      </c>
      <c r="F73" s="23">
        <f>199493276.39</f>
        <v>199493276.38999999</v>
      </c>
      <c r="G73" s="23">
        <f>203040.83</f>
        <v>203040.83</v>
      </c>
      <c r="H73" s="23">
        <f>275461.03</f>
        <v>275461.03000000003</v>
      </c>
      <c r="I73" s="71">
        <f>0</f>
        <v>0</v>
      </c>
      <c r="J73" s="50">
        <f t="shared" si="6"/>
        <v>16.486481890448427</v>
      </c>
      <c r="K73" s="50">
        <f t="shared" si="7"/>
        <v>73.017895951096889</v>
      </c>
    </row>
    <row r="74" spans="2:13" ht="18" customHeight="1" outlineLevel="1" x14ac:dyDescent="0.25">
      <c r="B74" s="30" t="s">
        <v>49</v>
      </c>
      <c r="C74" s="23">
        <f t="shared" ref="C74:I74" si="9">C68-C69-C70-C71-C72-C73</f>
        <v>88797262758.44989</v>
      </c>
      <c r="D74" s="23">
        <f t="shared" si="9"/>
        <v>56038949121.82</v>
      </c>
      <c r="E74" s="23">
        <f t="shared" si="9"/>
        <v>70273577957.179947</v>
      </c>
      <c r="F74" s="23">
        <f t="shared" si="9"/>
        <v>2434442100.5099998</v>
      </c>
      <c r="G74" s="23">
        <f t="shared" si="9"/>
        <v>1124743.08</v>
      </c>
      <c r="H74" s="23">
        <f t="shared" si="9"/>
        <v>13461602.400000002</v>
      </c>
      <c r="I74" s="71">
        <f t="shared" si="9"/>
        <v>0</v>
      </c>
      <c r="J74" s="50">
        <f t="shared" si="6"/>
        <v>23.755509627868058</v>
      </c>
      <c r="K74" s="50">
        <f t="shared" si="7"/>
        <v>63.108870004540059</v>
      </c>
    </row>
    <row r="75" spans="2:13" ht="18.75" customHeight="1" x14ac:dyDescent="0.25">
      <c r="B75" s="20" t="s">
        <v>15</v>
      </c>
      <c r="C75" s="26">
        <f>C6-C65</f>
        <v>-46788331958.690002</v>
      </c>
      <c r="D75" s="26">
        <f>D6-D65</f>
        <v>14866028653.220001</v>
      </c>
      <c r="E75" s="28"/>
      <c r="F75" s="28"/>
      <c r="G75" s="14"/>
    </row>
    <row r="76" spans="2:13" ht="39" x14ac:dyDescent="0.25">
      <c r="B76" s="51" t="s">
        <v>107</v>
      </c>
      <c r="C76" s="52">
        <f>+C56-C68</f>
        <v>1526178054.8499756</v>
      </c>
      <c r="D76" s="52">
        <f>+D56-D68</f>
        <v>29850246291.23999</v>
      </c>
      <c r="E76" s="28"/>
      <c r="F76" s="28"/>
      <c r="G76" s="14"/>
    </row>
    <row r="77" spans="2:13" ht="12" customHeight="1" x14ac:dyDescent="0.25">
      <c r="B77" s="53"/>
      <c r="C77" s="54"/>
      <c r="D77" s="54"/>
      <c r="E77" s="54"/>
      <c r="F77" s="2"/>
      <c r="G77" s="2"/>
      <c r="H77" s="2"/>
      <c r="I77" s="2"/>
      <c r="L77" s="11"/>
      <c r="M77" s="11"/>
    </row>
    <row r="78" spans="2:13" ht="12" customHeight="1" x14ac:dyDescent="0.25">
      <c r="B78" s="90" t="s">
        <v>111</v>
      </c>
      <c r="C78" s="54"/>
      <c r="D78" s="54"/>
      <c r="E78" s="54"/>
      <c r="F78" s="2"/>
      <c r="G78" s="2"/>
      <c r="H78" s="2"/>
      <c r="I78" s="2"/>
      <c r="L78" s="11"/>
      <c r="M78" s="11"/>
    </row>
    <row r="79" spans="2:13" ht="28" customHeight="1" x14ac:dyDescent="0.25">
      <c r="B79" s="91" t="s">
        <v>74</v>
      </c>
      <c r="C79" s="63">
        <f>29684599259.35</f>
        <v>29684599259.349998</v>
      </c>
      <c r="D79" s="63">
        <f>12788766060.83</f>
        <v>12788766060.83</v>
      </c>
      <c r="E79" s="63">
        <f>21228579289.74</f>
        <v>21228579289.740002</v>
      </c>
      <c r="F79" s="63">
        <f>659695884.01</f>
        <v>659695884.00999999</v>
      </c>
      <c r="G79" s="63">
        <f>0</f>
        <v>0</v>
      </c>
      <c r="H79" s="63">
        <f>581567.7</f>
        <v>581567.69999999995</v>
      </c>
      <c r="I79" s="69">
        <f>0</f>
        <v>0</v>
      </c>
      <c r="J79" s="50">
        <f>IF($D$79=0,"",100*$D79/$D$79)</f>
        <v>100</v>
      </c>
      <c r="K79" s="50">
        <f>IF(C79=0,"",100*D79/C79)</f>
        <v>43.082158357929721</v>
      </c>
      <c r="L79" s="11"/>
    </row>
    <row r="80" spans="2:13" ht="20.149999999999999" customHeight="1" x14ac:dyDescent="0.25">
      <c r="B80" s="55" t="s">
        <v>77</v>
      </c>
      <c r="C80" s="65">
        <f>22806373308.81</f>
        <v>22806373308.810001</v>
      </c>
      <c r="D80" s="65">
        <f>9230382616.57001</f>
        <v>9230382616.5700092</v>
      </c>
      <c r="E80" s="65">
        <f>16582553404.11</f>
        <v>16582553404.110001</v>
      </c>
      <c r="F80" s="65">
        <f>583920562.72</f>
        <v>583920562.72000003</v>
      </c>
      <c r="G80" s="65">
        <f>0</f>
        <v>0</v>
      </c>
      <c r="H80" s="65">
        <f>542700.7</f>
        <v>542700.69999999995</v>
      </c>
      <c r="I80" s="74">
        <f>0</f>
        <v>0</v>
      </c>
      <c r="J80" s="50">
        <f>IF($D$79=0,"",100*$D80/$D$79)</f>
        <v>72.175709311324681</v>
      </c>
      <c r="K80" s="50">
        <f>IF(C80=0,"",100*D80/C80)</f>
        <v>40.472820871542751</v>
      </c>
      <c r="L80" s="11"/>
    </row>
    <row r="81" spans="2:13" ht="20.149999999999999" customHeight="1" x14ac:dyDescent="0.25">
      <c r="B81" s="55" t="s">
        <v>78</v>
      </c>
      <c r="C81" s="65">
        <f t="shared" ref="C81:I81" si="10">C79-C80</f>
        <v>6878225950.5399971</v>
      </c>
      <c r="D81" s="65">
        <f t="shared" si="10"/>
        <v>3558383444.2599907</v>
      </c>
      <c r="E81" s="65">
        <f t="shared" si="10"/>
        <v>4646025885.6300011</v>
      </c>
      <c r="F81" s="65">
        <f t="shared" si="10"/>
        <v>75775321.289999962</v>
      </c>
      <c r="G81" s="65">
        <f t="shared" si="10"/>
        <v>0</v>
      </c>
      <c r="H81" s="65">
        <f t="shared" si="10"/>
        <v>38867</v>
      </c>
      <c r="I81" s="74">
        <f t="shared" si="10"/>
        <v>0</v>
      </c>
      <c r="J81" s="50">
        <f>IF($D$79=0,"",100*$D81/$D$79)</f>
        <v>27.824290688675319</v>
      </c>
      <c r="K81" s="50">
        <f>IF(C81=0,"",100*D81/C81)</f>
        <v>51.734029528073712</v>
      </c>
    </row>
    <row r="82" spans="2:13" ht="20" x14ac:dyDescent="0.25">
      <c r="B82" s="87" t="str">
        <f>CONCATENATE("Informacja z wykonania budżetów jednostek samorządu terytorialnego za ",$D$114," ",$C$115," roku")</f>
        <v>Informacja z wykonania budżetów jednostek samorządu terytorialnego za III Kwartały 2022 roku</v>
      </c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</row>
    <row r="83" spans="2:13" ht="18" customHeight="1" x14ac:dyDescent="0.25">
      <c r="B83" s="40" t="s">
        <v>16</v>
      </c>
      <c r="C83" s="73" t="s">
        <v>17</v>
      </c>
      <c r="D83" s="73" t="s">
        <v>1</v>
      </c>
      <c r="E83" s="96" t="s">
        <v>59</v>
      </c>
      <c r="F83" s="97"/>
      <c r="G83" s="97"/>
      <c r="H83" s="97"/>
      <c r="I83" s="98"/>
      <c r="J83" s="19" t="s">
        <v>26</v>
      </c>
      <c r="K83" s="19" t="s">
        <v>27</v>
      </c>
    </row>
    <row r="84" spans="2:13" ht="13" x14ac:dyDescent="0.25">
      <c r="B84" s="40"/>
      <c r="C84" s="110" t="s">
        <v>79</v>
      </c>
      <c r="D84" s="111"/>
      <c r="E84" s="99"/>
      <c r="F84" s="100"/>
      <c r="G84" s="100"/>
      <c r="H84" s="100"/>
      <c r="I84" s="101"/>
      <c r="J84" s="114" t="s">
        <v>4</v>
      </c>
      <c r="K84" s="115"/>
    </row>
    <row r="85" spans="2:13" x14ac:dyDescent="0.25">
      <c r="B85" s="38">
        <v>1</v>
      </c>
      <c r="C85" s="73">
        <v>2</v>
      </c>
      <c r="D85" s="73">
        <v>3</v>
      </c>
      <c r="E85" s="102"/>
      <c r="F85" s="103"/>
      <c r="G85" s="103"/>
      <c r="H85" s="103"/>
      <c r="I85" s="104"/>
      <c r="J85" s="39">
        <v>4</v>
      </c>
      <c r="K85" s="39">
        <v>5</v>
      </c>
    </row>
    <row r="86" spans="2:13" ht="26" x14ac:dyDescent="0.25">
      <c r="B86" s="37" t="s">
        <v>65</v>
      </c>
      <c r="C86" s="42">
        <f>57903996972.45</f>
        <v>57903996972.449997</v>
      </c>
      <c r="D86" s="42">
        <f>61540940215.14</f>
        <v>61540940215.139999</v>
      </c>
      <c r="E86" s="42" t="s">
        <v>59</v>
      </c>
      <c r="F86" s="42" t="s">
        <v>59</v>
      </c>
      <c r="G86" s="42" t="s">
        <v>59</v>
      </c>
      <c r="H86" s="42" t="s">
        <v>59</v>
      </c>
      <c r="I86" s="42" t="s">
        <v>59</v>
      </c>
      <c r="J86" s="41">
        <f>IF($D$86=0,"",100*$D86/$D$86)</f>
        <v>100</v>
      </c>
      <c r="K86" s="36">
        <f t="shared" ref="K86:K99" si="11">IF(C86=0,"",100*D86/C86)</f>
        <v>106.28098824407651</v>
      </c>
    </row>
    <row r="87" spans="2:13" ht="20" x14ac:dyDescent="0.25">
      <c r="B87" s="78" t="s">
        <v>89</v>
      </c>
      <c r="C87" s="43">
        <f>17132991840.34</f>
        <v>17132991840.34</v>
      </c>
      <c r="D87" s="43">
        <f>1536154432.53</f>
        <v>1536154432.53</v>
      </c>
      <c r="E87" s="42" t="s">
        <v>59</v>
      </c>
      <c r="F87" s="42" t="s">
        <v>59</v>
      </c>
      <c r="G87" s="42" t="s">
        <v>59</v>
      </c>
      <c r="H87" s="42" t="s">
        <v>59</v>
      </c>
      <c r="I87" s="42" t="s">
        <v>59</v>
      </c>
      <c r="J87" s="48">
        <f t="shared" ref="J87:J94" si="12">IF($D$86=0,"",100*$D87/$D$86)</f>
        <v>2.4961504116768154</v>
      </c>
      <c r="K87" s="49">
        <f t="shared" si="11"/>
        <v>8.9660606089421648</v>
      </c>
    </row>
    <row r="88" spans="2:13" x14ac:dyDescent="0.25">
      <c r="B88" s="79" t="s">
        <v>90</v>
      </c>
      <c r="C88" s="67">
        <f>1423954316.09</f>
        <v>1423954316.0899999</v>
      </c>
      <c r="D88" s="67">
        <f>11080000</f>
        <v>11080000</v>
      </c>
      <c r="E88" s="42" t="s">
        <v>59</v>
      </c>
      <c r="F88" s="42" t="s">
        <v>59</v>
      </c>
      <c r="G88" s="42" t="s">
        <v>59</v>
      </c>
      <c r="H88" s="42" t="s">
        <v>59</v>
      </c>
      <c r="I88" s="42" t="s">
        <v>59</v>
      </c>
      <c r="J88" s="68">
        <f t="shared" si="12"/>
        <v>1.8004274814888435E-2</v>
      </c>
      <c r="K88" s="66">
        <f t="shared" si="11"/>
        <v>0.77811485065225205</v>
      </c>
    </row>
    <row r="89" spans="2:13" x14ac:dyDescent="0.25">
      <c r="B89" s="31" t="s">
        <v>91</v>
      </c>
      <c r="C89" s="67">
        <f>347797525.98</f>
        <v>347797525.98000002</v>
      </c>
      <c r="D89" s="67">
        <f>56362540.08</f>
        <v>56362540.079999998</v>
      </c>
      <c r="E89" s="42" t="s">
        <v>59</v>
      </c>
      <c r="F89" s="42" t="s">
        <v>59</v>
      </c>
      <c r="G89" s="42" t="s">
        <v>59</v>
      </c>
      <c r="H89" s="42" t="s">
        <v>59</v>
      </c>
      <c r="I89" s="42" t="s">
        <v>59</v>
      </c>
      <c r="J89" s="68">
        <f t="shared" si="12"/>
        <v>9.1585438706271116E-2</v>
      </c>
      <c r="K89" s="66">
        <f t="shared" si="11"/>
        <v>16.205560957107298</v>
      </c>
    </row>
    <row r="90" spans="2:13" ht="48" customHeight="1" x14ac:dyDescent="0.25">
      <c r="B90" s="31" t="s">
        <v>100</v>
      </c>
      <c r="C90" s="67">
        <f>5066198184.53</f>
        <v>5066198184.5299997</v>
      </c>
      <c r="D90" s="67">
        <f>8902910149.91</f>
        <v>8902910149.9099998</v>
      </c>
      <c r="E90" s="42" t="s">
        <v>59</v>
      </c>
      <c r="F90" s="42" t="s">
        <v>59</v>
      </c>
      <c r="G90" s="42" t="s">
        <v>59</v>
      </c>
      <c r="H90" s="42" t="s">
        <v>59</v>
      </c>
      <c r="I90" s="42" t="s">
        <v>59</v>
      </c>
      <c r="J90" s="68">
        <f t="shared" si="12"/>
        <v>14.466646298848307</v>
      </c>
      <c r="K90" s="66">
        <f t="shared" si="11"/>
        <v>175.73158067711753</v>
      </c>
    </row>
    <row r="91" spans="2:13" ht="30" x14ac:dyDescent="0.25">
      <c r="B91" s="31" t="s">
        <v>101</v>
      </c>
      <c r="C91" s="67">
        <f>10367620392.42</f>
        <v>10367620392.42</v>
      </c>
      <c r="D91" s="67">
        <f>11632096982.1</f>
        <v>11632096982.1</v>
      </c>
      <c r="E91" s="42" t="s">
        <v>59</v>
      </c>
      <c r="F91" s="42" t="s">
        <v>59</v>
      </c>
      <c r="G91" s="42" t="s">
        <v>59</v>
      </c>
      <c r="H91" s="42" t="s">
        <v>59</v>
      </c>
      <c r="I91" s="42" t="s">
        <v>59</v>
      </c>
      <c r="J91" s="68">
        <f t="shared" si="12"/>
        <v>18.901396276097728</v>
      </c>
      <c r="K91" s="66">
        <f t="shared" si="11"/>
        <v>112.19640131311604</v>
      </c>
    </row>
    <row r="92" spans="2:13" x14ac:dyDescent="0.25">
      <c r="B92" s="31" t="s">
        <v>92</v>
      </c>
      <c r="C92" s="67">
        <f>0</f>
        <v>0</v>
      </c>
      <c r="D92" s="67">
        <f>340937</f>
        <v>340937</v>
      </c>
      <c r="E92" s="42" t="s">
        <v>59</v>
      </c>
      <c r="F92" s="42" t="s">
        <v>59</v>
      </c>
      <c r="G92" s="42" t="s">
        <v>59</v>
      </c>
      <c r="H92" s="42" t="s">
        <v>59</v>
      </c>
      <c r="I92" s="42" t="s">
        <v>59</v>
      </c>
      <c r="J92" s="68">
        <f t="shared" si="12"/>
        <v>5.5400031070068764E-4</v>
      </c>
      <c r="K92" s="66" t="str">
        <f t="shared" si="11"/>
        <v/>
      </c>
    </row>
    <row r="93" spans="2:13" ht="20" x14ac:dyDescent="0.25">
      <c r="B93" s="31" t="s">
        <v>93</v>
      </c>
      <c r="C93" s="67">
        <f>24270266894.17</f>
        <v>24270266894.169998</v>
      </c>
      <c r="D93" s="67">
        <f>38869792239.6</f>
        <v>38869792239.599998</v>
      </c>
      <c r="E93" s="42" t="s">
        <v>59</v>
      </c>
      <c r="F93" s="42" t="s">
        <v>59</v>
      </c>
      <c r="G93" s="42" t="s">
        <v>59</v>
      </c>
      <c r="H93" s="42" t="s">
        <v>59</v>
      </c>
      <c r="I93" s="42" t="s">
        <v>59</v>
      </c>
      <c r="J93" s="68">
        <f t="shared" si="12"/>
        <v>63.160868364564642</v>
      </c>
      <c r="K93" s="66">
        <f t="shared" si="11"/>
        <v>160.15395466844652</v>
      </c>
    </row>
    <row r="94" spans="2:13" x14ac:dyDescent="0.25">
      <c r="B94" s="31" t="s">
        <v>81</v>
      </c>
      <c r="C94" s="67">
        <f>719122135.01</f>
        <v>719122135.00999999</v>
      </c>
      <c r="D94" s="67">
        <f>543282933.92</f>
        <v>543282933.91999996</v>
      </c>
      <c r="E94" s="42" t="s">
        <v>59</v>
      </c>
      <c r="F94" s="42" t="s">
        <v>59</v>
      </c>
      <c r="G94" s="42" t="s">
        <v>59</v>
      </c>
      <c r="H94" s="42" t="s">
        <v>59</v>
      </c>
      <c r="I94" s="42" t="s">
        <v>59</v>
      </c>
      <c r="J94" s="68">
        <f t="shared" si="12"/>
        <v>0.88279920979553728</v>
      </c>
      <c r="K94" s="66">
        <f t="shared" si="11"/>
        <v>75.548075559160083</v>
      </c>
    </row>
    <row r="95" spans="2:13" ht="26" x14ac:dyDescent="0.25">
      <c r="B95" s="37" t="s">
        <v>66</v>
      </c>
      <c r="C95" s="46">
        <f>11072850887.91</f>
        <v>11072850887.91</v>
      </c>
      <c r="D95" s="46">
        <f>9366182407.11</f>
        <v>9366182407.1100006</v>
      </c>
      <c r="E95" s="42" t="s">
        <v>59</v>
      </c>
      <c r="F95" s="42" t="s">
        <v>59</v>
      </c>
      <c r="G95" s="42" t="s">
        <v>59</v>
      </c>
      <c r="H95" s="42" t="s">
        <v>59</v>
      </c>
      <c r="I95" s="42" t="s">
        <v>59</v>
      </c>
      <c r="J95" s="41">
        <f>IF($D$95=0,"",100*$D95/$D$95)</f>
        <v>100</v>
      </c>
      <c r="K95" s="36">
        <f t="shared" si="11"/>
        <v>84.586909928829243</v>
      </c>
    </row>
    <row r="96" spans="2:13" ht="20" x14ac:dyDescent="0.25">
      <c r="B96" s="78" t="s">
        <v>94</v>
      </c>
      <c r="C96" s="43">
        <f>9293585426.05</f>
        <v>9293585426.0499992</v>
      </c>
      <c r="D96" s="45">
        <f>6145371043.97</f>
        <v>6145371043.9700003</v>
      </c>
      <c r="E96" s="42" t="s">
        <v>59</v>
      </c>
      <c r="F96" s="42" t="s">
        <v>59</v>
      </c>
      <c r="G96" s="42" t="s">
        <v>59</v>
      </c>
      <c r="H96" s="42" t="s">
        <v>59</v>
      </c>
      <c r="I96" s="42" t="s">
        <v>59</v>
      </c>
      <c r="J96" s="48">
        <f>IF($D$95=0,"",100*$D96/$D$95)</f>
        <v>65.612335707929006</v>
      </c>
      <c r="K96" s="49">
        <f t="shared" si="11"/>
        <v>66.124867446147022</v>
      </c>
    </row>
    <row r="97" spans="2:11" x14ac:dyDescent="0.25">
      <c r="B97" s="79" t="s">
        <v>95</v>
      </c>
      <c r="C97" s="67">
        <f>647097628.27</f>
        <v>647097628.26999998</v>
      </c>
      <c r="D97" s="67">
        <f>563333175.28</f>
        <v>563333175.27999997</v>
      </c>
      <c r="E97" s="42" t="s">
        <v>59</v>
      </c>
      <c r="F97" s="42" t="s">
        <v>59</v>
      </c>
      <c r="G97" s="42" t="s">
        <v>59</v>
      </c>
      <c r="H97" s="42" t="s">
        <v>59</v>
      </c>
      <c r="I97" s="42" t="s">
        <v>59</v>
      </c>
      <c r="J97" s="68">
        <f>IF($D$95=0,"",100*$D97/$D$95)</f>
        <v>6.0145441418305703</v>
      </c>
      <c r="K97" s="66">
        <f t="shared" si="11"/>
        <v>87.055360840381653</v>
      </c>
    </row>
    <row r="98" spans="2:11" x14ac:dyDescent="0.25">
      <c r="B98" s="31" t="s">
        <v>102</v>
      </c>
      <c r="C98" s="67">
        <f>435985187.59</f>
        <v>435985187.58999997</v>
      </c>
      <c r="D98" s="67">
        <f>277041731.76</f>
        <v>277041731.75999999</v>
      </c>
      <c r="E98" s="42" t="s">
        <v>59</v>
      </c>
      <c r="F98" s="42" t="s">
        <v>59</v>
      </c>
      <c r="G98" s="42" t="s">
        <v>59</v>
      </c>
      <c r="H98" s="42" t="s">
        <v>59</v>
      </c>
      <c r="I98" s="42" t="s">
        <v>59</v>
      </c>
      <c r="J98" s="68">
        <f>IF($D$95=0,"",100*$D98/$D$95)</f>
        <v>2.957893832493522</v>
      </c>
      <c r="K98" s="66">
        <f t="shared" si="11"/>
        <v>63.543840397745292</v>
      </c>
    </row>
    <row r="99" spans="2:11" x14ac:dyDescent="0.25">
      <c r="B99" s="80" t="s">
        <v>33</v>
      </c>
      <c r="C99" s="43">
        <f>1343280274.27</f>
        <v>1343280274.27</v>
      </c>
      <c r="D99" s="43">
        <f>2943769631.38</f>
        <v>2943769631.3800001</v>
      </c>
      <c r="E99" s="42" t="s">
        <v>59</v>
      </c>
      <c r="F99" s="42" t="s">
        <v>59</v>
      </c>
      <c r="G99" s="42" t="s">
        <v>59</v>
      </c>
      <c r="H99" s="42" t="s">
        <v>59</v>
      </c>
      <c r="I99" s="42" t="s">
        <v>59</v>
      </c>
      <c r="J99" s="48">
        <f>IF($D$95=0,"",100*$D99/$D$95)</f>
        <v>31.429770459577458</v>
      </c>
      <c r="K99" s="49">
        <f t="shared" si="11"/>
        <v>219.14783442939927</v>
      </c>
    </row>
    <row r="101" spans="2:11" ht="18" customHeight="1" x14ac:dyDescent="0.25">
      <c r="B101" s="40" t="s">
        <v>16</v>
      </c>
      <c r="C101" s="73" t="s">
        <v>17</v>
      </c>
      <c r="D101" s="19" t="s">
        <v>1</v>
      </c>
    </row>
    <row r="102" spans="2:11" ht="13" x14ac:dyDescent="0.25">
      <c r="B102" s="40"/>
      <c r="C102" s="110" t="s">
        <v>79</v>
      </c>
      <c r="D102" s="111"/>
    </row>
    <row r="103" spans="2:11" x14ac:dyDescent="0.25">
      <c r="B103" s="38">
        <v>1</v>
      </c>
      <c r="C103" s="73">
        <v>2</v>
      </c>
      <c r="D103" s="19">
        <v>3</v>
      </c>
    </row>
    <row r="104" spans="2:11" ht="30" x14ac:dyDescent="0.25">
      <c r="B104" s="47" t="s">
        <v>108</v>
      </c>
      <c r="C104" s="44">
        <f>46902694083.42</f>
        <v>46902694083.419998</v>
      </c>
      <c r="D104" s="27">
        <f>0</f>
        <v>0</v>
      </c>
    </row>
    <row r="105" spans="2:11" ht="30" x14ac:dyDescent="0.25">
      <c r="B105" s="86" t="s">
        <v>82</v>
      </c>
      <c r="C105" s="45">
        <f>1044813275.35</f>
        <v>1044813275.35</v>
      </c>
      <c r="D105" s="75">
        <f>0</f>
        <v>0</v>
      </c>
    </row>
    <row r="106" spans="2:11" x14ac:dyDescent="0.25">
      <c r="B106" s="86" t="s">
        <v>83</v>
      </c>
      <c r="C106" s="45">
        <f>11537940254.77</f>
        <v>11537940254.77</v>
      </c>
      <c r="D106" s="75">
        <f>0</f>
        <v>0</v>
      </c>
    </row>
    <row r="107" spans="2:11" ht="20" x14ac:dyDescent="0.25">
      <c r="B107" s="86" t="s">
        <v>84</v>
      </c>
      <c r="C107" s="45">
        <f>0</f>
        <v>0</v>
      </c>
      <c r="D107" s="75">
        <f>0</f>
        <v>0</v>
      </c>
    </row>
    <row r="108" spans="2:11" ht="40" x14ac:dyDescent="0.25">
      <c r="B108" s="86" t="s">
        <v>103</v>
      </c>
      <c r="C108" s="45">
        <f>4259708317.98</f>
        <v>4259708317.98</v>
      </c>
      <c r="D108" s="75">
        <f>0</f>
        <v>0</v>
      </c>
    </row>
    <row r="109" spans="2:11" ht="60" x14ac:dyDescent="0.25">
      <c r="B109" s="86" t="s">
        <v>85</v>
      </c>
      <c r="C109" s="45">
        <f>19979423394.76</f>
        <v>19979423394.759998</v>
      </c>
      <c r="D109" s="75">
        <f>0</f>
        <v>0</v>
      </c>
    </row>
    <row r="110" spans="2:11" ht="110" x14ac:dyDescent="0.25">
      <c r="B110" s="86" t="s">
        <v>105</v>
      </c>
      <c r="C110" s="45">
        <f>9942737691.43</f>
        <v>9942737691.4300003</v>
      </c>
      <c r="D110" s="75">
        <f>0</f>
        <v>0</v>
      </c>
    </row>
    <row r="111" spans="2:11" ht="20" x14ac:dyDescent="0.25">
      <c r="B111" s="86" t="s">
        <v>98</v>
      </c>
      <c r="C111" s="45">
        <f>138071149.13</f>
        <v>138071149.13</v>
      </c>
      <c r="D111" s="75">
        <f>0</f>
        <v>0</v>
      </c>
    </row>
    <row r="114" spans="2:4" x14ac:dyDescent="0.25">
      <c r="B114" s="32" t="s">
        <v>67</v>
      </c>
      <c r="C114" s="32">
        <f>3</f>
        <v>3</v>
      </c>
      <c r="D114" s="32" t="str">
        <f>IF(C114=1,"I Kwartał",IF(C114=2,"II Kwartały",IF(C114=3,"III Kwartały",IF(C114=4,"IV Kwartały",IF(C114="M1","Styczeń",IF(C114="M11","Listopad",IF(C114="M12","Grudzień","-")))))))</f>
        <v>III Kwartały</v>
      </c>
    </row>
    <row r="115" spans="2:4" x14ac:dyDescent="0.25">
      <c r="B115" s="32" t="s">
        <v>68</v>
      </c>
      <c r="C115" s="89">
        <f>2022</f>
        <v>2022</v>
      </c>
    </row>
    <row r="116" spans="2:4" x14ac:dyDescent="0.25">
      <c r="B116" s="32" t="s">
        <v>69</v>
      </c>
      <c r="C116" s="112" t="str">
        <f>"Nov 18 2022 12:00AM"</f>
        <v>Nov 18 2022 12:00AM</v>
      </c>
      <c r="D116" s="113"/>
    </row>
  </sheetData>
  <mergeCells count="20">
    <mergeCell ref="C116:D116"/>
    <mergeCell ref="C102:D102"/>
    <mergeCell ref="J84:K84"/>
    <mergeCell ref="J63:K63"/>
    <mergeCell ref="K60:K62"/>
    <mergeCell ref="I60:I62"/>
    <mergeCell ref="J60:J62"/>
    <mergeCell ref="F60:H60"/>
    <mergeCell ref="C60:C62"/>
    <mergeCell ref="G61:H61"/>
    <mergeCell ref="E83:I85"/>
    <mergeCell ref="B3:B4"/>
    <mergeCell ref="J4:L4"/>
    <mergeCell ref="B60:B63"/>
    <mergeCell ref="C4:I4"/>
    <mergeCell ref="D60:D62"/>
    <mergeCell ref="E60:E62"/>
    <mergeCell ref="C63:H63"/>
    <mergeCell ref="C84:D84"/>
    <mergeCell ref="F61:F62"/>
  </mergeCells>
  <phoneticPr fontId="0" type="noConversion"/>
  <pageMargins left="0.19685039370078741" right="0.19685039370078741" top="0.55118110236220474" bottom="0.39370078740157483" header="0.31496062992125984" footer="0.19685039370078741"/>
  <pageSetup paperSize="9" scale="55" orientation="landscape" useFirstPageNumber="1" r:id="rId1"/>
  <headerFooter alignWithMargins="0">
    <oddFooter>&amp;RStrona &amp;P z &amp;N</oddFooter>
  </headerFooter>
  <rowBreaks count="3" manualBreakCount="3">
    <brk id="21" max="16383" man="1"/>
    <brk id="57" max="16383" man="1"/>
    <brk id="81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doch_wyd</vt:lpstr>
      <vt:lpstr>doch_wyd!Obszar_wydruku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2018-03-19T09:12:59Z</cp:lastPrinted>
  <dcterms:created xsi:type="dcterms:W3CDTF">2001-05-17T08:58:03Z</dcterms:created>
  <dcterms:modified xsi:type="dcterms:W3CDTF">2022-11-29T14:30:41Z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MF\hhcy;Kołacz Bernard</vt:lpwstr>
  </property>
  <property fmtid="{D5CDD505-2E9C-101B-9397-08002B2CF9AE}" pid="4" name="MFClassificationDate">
    <vt:lpwstr>2022-11-29T15:30:34.8494598+01:00</vt:lpwstr>
  </property>
  <property fmtid="{D5CDD505-2E9C-101B-9397-08002B2CF9AE}" pid="5" name="MFClassifiedBySID">
    <vt:lpwstr>MF\S-1-5-21-1525952054-1005573771-2909822258-435687</vt:lpwstr>
  </property>
  <property fmtid="{D5CDD505-2E9C-101B-9397-08002B2CF9AE}" pid="6" name="MFGRNItemId">
    <vt:lpwstr>GRN-1cddf017-952c-42ac-8211-59a80c20f2e2</vt:lpwstr>
  </property>
  <property fmtid="{D5CDD505-2E9C-101B-9397-08002B2CF9AE}" pid="7" name="MFHash">
    <vt:lpwstr>hlleJ3EXlnqcEfaxj4ZGTwJNikhYfnDe/elagEsND3o=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