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doch_wyd" sheetId="4" r:id="rId1"/>
  </sheets>
  <definedNames>
    <definedName name="_xlnm.Print_Area" localSheetId="0">doch_wyd!$B$1:$L$99</definedName>
  </definedNames>
  <calcPr calcId="152511"/>
</workbook>
</file>

<file path=xl/calcChain.xml><?xml version="1.0" encoding="utf-8"?>
<calcChain xmlns="http://schemas.openxmlformats.org/spreadsheetml/2006/main">
  <c r="C99" i="4" l="1"/>
  <c r="C98" i="4"/>
  <c r="C97" i="4"/>
  <c r="C96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2" i="4"/>
  <c r="C82" i="4"/>
  <c r="K82" i="4" s="1"/>
  <c r="D81" i="4"/>
  <c r="C81" i="4"/>
  <c r="D80" i="4"/>
  <c r="C80" i="4"/>
  <c r="D79" i="4"/>
  <c r="C79" i="4"/>
  <c r="D78" i="4"/>
  <c r="C78" i="4"/>
  <c r="D77" i="4"/>
  <c r="C77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I63" i="4"/>
  <c r="H63" i="4"/>
  <c r="G63" i="4"/>
  <c r="F63" i="4"/>
  <c r="E63" i="4"/>
  <c r="D63" i="4"/>
  <c r="C63" i="4"/>
  <c r="I62" i="4"/>
  <c r="H62" i="4"/>
  <c r="G62" i="4"/>
  <c r="F62" i="4"/>
  <c r="E62" i="4"/>
  <c r="D62" i="4"/>
  <c r="C62" i="4"/>
  <c r="I56" i="4"/>
  <c r="H56" i="4"/>
  <c r="G56" i="4"/>
  <c r="F56" i="4"/>
  <c r="E56" i="4"/>
  <c r="D56" i="4"/>
  <c r="C56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0" i="4"/>
  <c r="H50" i="4"/>
  <c r="G50" i="4"/>
  <c r="F50" i="4"/>
  <c r="E50" i="4"/>
  <c r="D50" i="4"/>
  <c r="C50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D39" i="4"/>
  <c r="C39" i="4"/>
  <c r="D37" i="4"/>
  <c r="C37" i="4"/>
  <c r="D36" i="4"/>
  <c r="C36" i="4"/>
  <c r="D35" i="4"/>
  <c r="C35" i="4"/>
  <c r="D34" i="4"/>
  <c r="C34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K15" i="4" s="1"/>
  <c r="D14" i="4"/>
  <c r="C14" i="4"/>
  <c r="K14" i="4" s="1"/>
  <c r="D13" i="4"/>
  <c r="K13" i="4" s="1"/>
  <c r="C13" i="4"/>
  <c r="C12" i="4" s="1"/>
  <c r="D9" i="4"/>
  <c r="C9" i="4"/>
  <c r="D8" i="4"/>
  <c r="C8" i="4"/>
  <c r="D7" i="4"/>
  <c r="C7" i="4"/>
  <c r="D5" i="4"/>
  <c r="C5" i="4"/>
  <c r="D96" i="4"/>
  <c r="B65" i="4" s="1"/>
  <c r="C58" i="4"/>
  <c r="C38" i="4"/>
  <c r="C40" i="4" s="1"/>
  <c r="C59" i="4" s="1"/>
  <c r="K5" i="4"/>
  <c r="K8" i="4"/>
  <c r="K17" i="4"/>
  <c r="K19" i="4"/>
  <c r="K21" i="4"/>
  <c r="K23" i="4"/>
  <c r="K25" i="4"/>
  <c r="K27" i="4"/>
  <c r="K29" i="4"/>
  <c r="K31" i="4"/>
  <c r="K34" i="4"/>
  <c r="C33" i="4"/>
  <c r="K36" i="4"/>
  <c r="K39" i="4"/>
  <c r="E51" i="4"/>
  <c r="E57" i="4" s="1"/>
  <c r="I51" i="4"/>
  <c r="I57" i="4" s="1"/>
  <c r="K50" i="4"/>
  <c r="K55" i="4"/>
  <c r="E64" i="4"/>
  <c r="I64" i="4"/>
  <c r="K69" i="4"/>
  <c r="K71" i="4"/>
  <c r="K73" i="4"/>
  <c r="K75" i="4"/>
  <c r="K77" i="4"/>
  <c r="K79" i="4"/>
  <c r="K81" i="4"/>
  <c r="D58" i="4"/>
  <c r="J27" i="4"/>
  <c r="J30" i="4"/>
  <c r="J31" i="4"/>
  <c r="J34" i="4"/>
  <c r="J29" i="4"/>
  <c r="J20" i="4"/>
  <c r="D38" i="4"/>
  <c r="D40" i="4" s="1"/>
  <c r="J28" i="4"/>
  <c r="J13" i="4"/>
  <c r="J24" i="4"/>
  <c r="J22" i="4"/>
  <c r="J16" i="4"/>
  <c r="J26" i="4"/>
  <c r="J5" i="4"/>
  <c r="J21" i="4"/>
  <c r="J32" i="4"/>
  <c r="J18" i="4"/>
  <c r="J23" i="4"/>
  <c r="J15" i="4"/>
  <c r="J17" i="4"/>
  <c r="J9" i="4"/>
  <c r="J37" i="4"/>
  <c r="J7" i="4"/>
  <c r="J35" i="4"/>
  <c r="J36" i="4"/>
  <c r="J14" i="4"/>
  <c r="J25" i="4"/>
  <c r="J19" i="4"/>
  <c r="J8" i="4"/>
  <c r="D12" i="4"/>
  <c r="D11" i="4" s="1"/>
  <c r="D33" i="4"/>
  <c r="J33" i="4" s="1"/>
  <c r="F51" i="4"/>
  <c r="F57" i="4"/>
  <c r="K49" i="4"/>
  <c r="K54" i="4"/>
  <c r="F64" i="4"/>
  <c r="K63" i="4"/>
  <c r="J74" i="4"/>
  <c r="J70" i="4"/>
  <c r="J75" i="4"/>
  <c r="J69" i="4"/>
  <c r="J73" i="4"/>
  <c r="J72" i="4"/>
  <c r="J71" i="4"/>
  <c r="J76" i="4"/>
  <c r="J77" i="4"/>
  <c r="K7" i="4"/>
  <c r="K9" i="4"/>
  <c r="K16" i="4"/>
  <c r="K18" i="4"/>
  <c r="K20" i="4"/>
  <c r="K22" i="4"/>
  <c r="K24" i="4"/>
  <c r="K26" i="4"/>
  <c r="K28" i="4"/>
  <c r="K30" i="4"/>
  <c r="K32" i="4"/>
  <c r="K35" i="4"/>
  <c r="K37" i="4"/>
  <c r="K48" i="4"/>
  <c r="C51" i="4"/>
  <c r="C57" i="4" s="1"/>
  <c r="G51" i="4"/>
  <c r="G57" i="4" s="1"/>
  <c r="K53" i="4"/>
  <c r="C64" i="4"/>
  <c r="K64" i="4"/>
  <c r="K62" i="4"/>
  <c r="G64" i="4"/>
  <c r="K70" i="4"/>
  <c r="K72" i="4"/>
  <c r="K74" i="4"/>
  <c r="K76" i="4"/>
  <c r="K78" i="4"/>
  <c r="K80" i="4"/>
  <c r="J49" i="4"/>
  <c r="D51" i="4"/>
  <c r="D57" i="4" s="1"/>
  <c r="J57" i="4" s="1"/>
  <c r="J48" i="4"/>
  <c r="J53" i="4"/>
  <c r="J56" i="4"/>
  <c r="J50" i="4"/>
  <c r="J54" i="4"/>
  <c r="J55" i="4"/>
  <c r="J52" i="4"/>
  <c r="H51" i="4"/>
  <c r="H57" i="4"/>
  <c r="K52" i="4"/>
  <c r="K56" i="4"/>
  <c r="D64" i="4"/>
  <c r="J64" i="4"/>
  <c r="J62" i="4"/>
  <c r="J63" i="4"/>
  <c r="H64" i="4"/>
  <c r="J81" i="4"/>
  <c r="J82" i="4"/>
  <c r="J80" i="4"/>
  <c r="J79" i="4"/>
  <c r="J78" i="4"/>
  <c r="K38" i="4"/>
  <c r="J51" i="4" l="1"/>
  <c r="J38" i="4"/>
  <c r="B1" i="4"/>
  <c r="B41" i="4"/>
  <c r="K51" i="4"/>
  <c r="K57" i="4"/>
  <c r="K33" i="4"/>
  <c r="J11" i="4"/>
  <c r="D6" i="4"/>
  <c r="L7" i="4" s="1"/>
  <c r="J12" i="4"/>
  <c r="C11" i="4"/>
  <c r="K12" i="4"/>
  <c r="D59" i="4"/>
  <c r="J40" i="4"/>
  <c r="K40" i="4"/>
  <c r="J39" i="4"/>
  <c r="L9" i="4" l="1"/>
  <c r="L8" i="4"/>
  <c r="L6" i="4"/>
  <c r="J6" i="4"/>
  <c r="D10" i="4"/>
  <c r="K11" i="4"/>
  <c r="C6" i="4"/>
  <c r="J10" i="4" l="1"/>
  <c r="L10" i="4"/>
  <c r="C10" i="4"/>
  <c r="K10" i="4" s="1"/>
  <c r="K6" i="4"/>
</calcChain>
</file>

<file path=xl/sharedStrings.xml><?xml version="1.0" encoding="utf-8"?>
<sst xmlns="http://schemas.openxmlformats.org/spreadsheetml/2006/main" count="368" uniqueCount="99">
  <si>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</si>
  <si>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</si>
  <si>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</si>
  <si>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</si>
  <si>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</si>
  <si>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</si>
  <si>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</si>
  <si>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</si>
  <si>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</si>
  <si>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</si>
  <si>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</si>
  <si>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</si>
  <si>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</si>
  <si>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</si>
  <si>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</si>
  <si>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</si>
  <si>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</si>
  <si>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</si>
  <si>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</si>
  <si>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</si>
  <si>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>dochody z majątku</t>
  </si>
  <si>
    <t xml:space="preserve">pozostałe dochody </t>
  </si>
  <si>
    <t>Struktura</t>
  </si>
  <si>
    <t>Wskaźnik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</si>
  <si>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</si>
  <si>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</si>
  <si>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</si>
  <si>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</si>
  <si>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</si>
  <si>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t>uzupełnienie subwencji ogólnej</t>
  </si>
  <si>
    <t>część równoważąca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</si>
  <si>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</si>
  <si>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</si>
  <si>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</si>
  <si>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</si>
  <si>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</si>
  <si>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</si>
  <si>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</si>
  <si>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</si>
  <si>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</si>
  <si>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</si>
  <si>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</si>
  <si>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</si>
  <si>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</si>
  <si>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</si>
  <si>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</si>
  <si>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</si>
  <si>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</si>
  <si>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</si>
  <si>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</si>
  <si>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</si>
  <si>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</si>
  <si>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</si>
  <si>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</si>
  <si>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</si>
  <si>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tytul</t>
  </si>
  <si>
    <t>majątkowe</t>
  </si>
  <si>
    <t>bieżące</t>
  </si>
  <si>
    <t>UE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</si>
  <si>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</si>
  <si>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</si>
  <si>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</si>
  <si>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</si>
  <si>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</si>
  <si>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</si>
  <si>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</si>
  <si>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</si>
  <si>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</si>
  <si>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w tym: inwestycyjne § 625</t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</si>
  <si>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</si>
  <si>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Dotacje §§ 200 i 620</t>
  </si>
  <si>
    <t>Dotacje §§ 205 i 625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</si>
  <si>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</si>
  <si>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</si>
  <si>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</si>
  <si>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</si>
  <si>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</si>
  <si>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wykup papierów wartościowych</t>
  </si>
  <si>
    <t>spłaty kredytów i  pożyczek, wykup papierów wartościowych w tym:</t>
  </si>
  <si>
    <t>otrzymane ze środków z Funduszu Przeciwdziałania COVID-19 (m.in. z Rządowego Funduszu Inwestycji Lokalnych)</t>
  </si>
  <si>
    <t>na finansowanie lub dofinansowanie zadań inwestycyjnych obiektów zabytkowych oraz prac remontowych i konserwatorskich przy zabytkach</t>
  </si>
  <si>
    <t>w tym: inwestycyjne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</si>
  <si>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</si>
  <si>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</si>
  <si>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</si>
  <si>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</si>
  <si>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</si>
  <si>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udzielone pożyczki</t>
  </si>
  <si>
    <t>wynagrodzenia i składki od nich naliczane</t>
  </si>
  <si>
    <t>#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</si>
  <si>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</si>
  <si>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</si>
  <si>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</si>
  <si>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</si>
  <si>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</si>
  <si>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Dotacje ogółem 
z tego:</t>
  </si>
  <si>
    <t>FINANSOWANIE DEFICYTU (E1+E2+E3+E4+E5+E6+E7) 
z tego:</t>
  </si>
  <si>
    <t>Wydatki ogółem UE 
z tego:</t>
  </si>
  <si>
    <t>Dochody bieżące
minus
wydatki bieżące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</si>
</sst>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8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sz val="14"/>
      <name val="Arial"/>
      <family val="2"/>
      <charset val="238"/>
    </font>
    <font>
      <b/>
      <sz val="7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sz val="7"/>
      <name val="Arial"/>
      <family val="2"/>
      <charset val="238"/>
    </font>
    <font>
      <b/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2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3" borderId="0" applyNumberFormat="0" applyBorder="0" applyAlignment="0" applyProtection="0"/>
    <xf numFmtId="0" fontId="13" fillId="10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3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12" borderId="0" applyNumberFormat="0" applyBorder="0" applyAlignment="0" applyProtection="0"/>
    <xf numFmtId="0" fontId="14" fillId="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3" borderId="0" applyNumberFormat="0" applyBorder="0" applyAlignment="0" applyProtection="0"/>
    <xf numFmtId="0" fontId="14" fillId="15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5" fillId="18" borderId="0" applyNumberFormat="0" applyBorder="0" applyAlignment="0" applyProtection="0"/>
    <xf numFmtId="0" fontId="16" fillId="7" borderId="1" applyNumberFormat="0" applyAlignment="0" applyProtection="0"/>
    <xf numFmtId="0" fontId="17" fillId="17" borderId="2" applyNumberFormat="0" applyAlignment="0" applyProtection="0"/>
    <xf numFmtId="43" fontId="30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8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2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1" applyNumberFormat="0" applyAlignment="0" applyProtection="0"/>
    <xf numFmtId="0" fontId="24" fillId="0" borderId="7" applyNumberFormat="0" applyFill="0" applyAlignment="0" applyProtection="0"/>
    <xf numFmtId="0" fontId="25" fillId="10" borderId="0" applyNumberFormat="0" applyBorder="0" applyAlignment="0" applyProtection="0"/>
    <xf numFmtId="0" fontId="36" fillId="0" borderId="0"/>
    <xf numFmtId="0" fontId="1" fillId="4" borderId="8" applyNumberFormat="0" applyFont="0" applyAlignment="0" applyProtection="0"/>
    <xf numFmtId="0" fontId="26" fillId="7" borderId="3" applyNumberFormat="0" applyAlignment="0" applyProtection="0"/>
    <xf numFmtId="0" fontId="27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</cellStyleXfs>
  <cellXfs count="160">
    <xf numFmtId="0" fontId="0" fillId="0" borderId="0" xfId="0"/>
    <xf numFmtId="0" fontId="2" fillId="0" borderId="0" xfId="0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 indent="1"/>
    </xf>
    <xf numFmtId="164" fontId="6" fillId="0" borderId="0" xfId="0" applyNumberFormat="1" applyFont="1" applyAlignment="1">
      <alignment horizontal="right" vertical="center"/>
    </xf>
    <xf numFmtId="164" fontId="6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horizontal="left" vertical="center" wrapText="1" indent="1"/>
    </xf>
    <xf numFmtId="0" fontId="7" fillId="0" borderId="13" xfId="0" applyFont="1" applyBorder="1" applyAlignment="1">
      <alignment horizontal="center" vertical="center"/>
    </xf>
    <xf numFmtId="0" fontId="6" fillId="0" borderId="10" xfId="0" applyFont="1" applyBorder="1"/>
    <xf numFmtId="0" fontId="6" fillId="0" borderId="0" xfId="0" applyFont="1"/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/>
    </xf>
    <xf numFmtId="4" fontId="32" fillId="20" borderId="10" xfId="0" applyNumberFormat="1" applyFont="1" applyFill="1" applyBorder="1" applyAlignment="1">
      <alignment horizontal="right" vertical="center"/>
    </xf>
    <xf numFmtId="164" fontId="32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/>
    </xf>
    <xf numFmtId="164" fontId="33" fillId="0" borderId="10" xfId="0" applyNumberFormat="1" applyFont="1" applyFill="1" applyBorder="1" applyAlignment="1">
      <alignment horizontal="right" vertical="center"/>
    </xf>
    <xf numFmtId="164" fontId="33" fillId="20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Border="1" applyAlignment="1">
      <alignment horizontal="right" vertical="center"/>
    </xf>
    <xf numFmtId="164" fontId="34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4" fontId="32" fillId="20" borderId="10" xfId="0" applyNumberFormat="1" applyFont="1" applyFill="1" applyBorder="1" applyAlignment="1">
      <alignment horizontal="right" vertical="center" wrapText="1"/>
    </xf>
    <xf numFmtId="164" fontId="35" fillId="20" borderId="10" xfId="0" applyNumberFormat="1" applyFont="1" applyFill="1" applyBorder="1" applyAlignment="1">
      <alignment horizontal="right" vertical="center"/>
    </xf>
    <xf numFmtId="0" fontId="34" fillId="0" borderId="0" xfId="0" applyFont="1"/>
    <xf numFmtId="0" fontId="34" fillId="0" borderId="0" xfId="0" applyFont="1" applyBorder="1"/>
    <xf numFmtId="3" fontId="32" fillId="0" borderId="0" xfId="0" applyNumberFormat="1" applyFont="1" applyBorder="1" applyAlignment="1">
      <alignment horizontal="right" vertical="center"/>
    </xf>
    <xf numFmtId="164" fontId="34" fillId="0" borderId="0" xfId="0" applyNumberFormat="1" applyFont="1"/>
    <xf numFmtId="4" fontId="35" fillId="20" borderId="14" xfId="0" applyNumberFormat="1" applyFont="1" applyFill="1" applyBorder="1" applyAlignment="1">
      <alignment horizontal="right" vertical="center"/>
    </xf>
    <xf numFmtId="164" fontId="35" fillId="20" borderId="10" xfId="28" applyNumberFormat="1" applyFont="1" applyFill="1" applyBorder="1" applyAlignment="1">
      <alignment horizontal="right" vertical="center"/>
    </xf>
    <xf numFmtId="4" fontId="34" fillId="0" borderId="14" xfId="0" applyNumberFormat="1" applyFont="1" applyBorder="1" applyAlignment="1">
      <alignment horizontal="right" vertical="center"/>
    </xf>
    <xf numFmtId="164" fontId="35" fillId="22" borderId="10" xfId="28" applyNumberFormat="1" applyFont="1" applyFill="1" applyBorder="1" applyAlignment="1">
      <alignment horizontal="right" vertical="center"/>
    </xf>
    <xf numFmtId="164" fontId="35" fillId="22" borderId="10" xfId="0" applyNumberFormat="1" applyFont="1" applyFill="1" applyBorder="1" applyAlignment="1">
      <alignment horizontal="right" vertical="center"/>
    </xf>
    <xf numFmtId="4" fontId="34" fillId="23" borderId="14" xfId="0" applyNumberFormat="1" applyFont="1" applyFill="1" applyBorder="1" applyAlignment="1">
      <alignment horizontal="right" vertical="center"/>
    </xf>
    <xf numFmtId="164" fontId="35" fillId="23" borderId="10" xfId="0" applyNumberFormat="1" applyFont="1" applyFill="1" applyBorder="1" applyAlignment="1">
      <alignment horizontal="right" vertical="center"/>
    </xf>
    <xf numFmtId="4" fontId="35" fillId="23" borderId="14" xfId="0" applyNumberFormat="1" applyFont="1" applyFill="1" applyBorder="1" applyAlignment="1">
      <alignment horizontal="right" vertical="center"/>
    </xf>
    <xf numFmtId="0" fontId="11" fillId="19" borderId="10" xfId="0" applyFont="1" applyFill="1" applyBorder="1" applyAlignment="1">
      <alignment horizontal="center" vertical="center" wrapText="1"/>
    </xf>
    <xf numFmtId="0" fontId="37" fillId="23" borderId="10" xfId="38" applyFont="1" applyFill="1" applyBorder="1" applyAlignment="1">
      <alignment horizontal="left" vertical="top" wrapText="1"/>
    </xf>
    <xf numFmtId="4" fontId="32" fillId="23" borderId="10" xfId="0" applyNumberFormat="1" applyFont="1" applyFill="1" applyBorder="1" applyAlignment="1">
      <alignment horizontal="right" vertical="center"/>
    </xf>
    <xf numFmtId="164" fontId="32" fillId="23" borderId="10" xfId="0" applyNumberFormat="1" applyFont="1" applyFill="1" applyBorder="1" applyAlignment="1">
      <alignment horizontal="right" vertical="center"/>
    </xf>
    <xf numFmtId="4" fontId="34" fillId="0" borderId="10" xfId="0" applyNumberFormat="1" applyFont="1" applyFill="1" applyBorder="1" applyAlignment="1">
      <alignment horizontal="right" vertical="center"/>
    </xf>
    <xf numFmtId="164" fontId="33" fillId="0" borderId="0" xfId="0" applyNumberFormat="1" applyFont="1" applyFill="1" applyBorder="1" applyAlignment="1">
      <alignment horizontal="right" vertical="center"/>
    </xf>
    <xf numFmtId="4" fontId="33" fillId="23" borderId="10" xfId="0" applyNumberFormat="1" applyFont="1" applyFill="1" applyBorder="1" applyAlignment="1">
      <alignment horizontal="right" vertical="center"/>
    </xf>
    <xf numFmtId="164" fontId="33" fillId="23" borderId="10" xfId="0" applyNumberFormat="1" applyFont="1" applyFill="1" applyBorder="1" applyAlignment="1">
      <alignment horizontal="right" vertical="center"/>
    </xf>
    <xf numFmtId="4" fontId="35" fillId="23" borderId="10" xfId="0" applyNumberFormat="1" applyFont="1" applyFill="1" applyBorder="1" applyAlignment="1">
      <alignment horizontal="right" vertical="center"/>
    </xf>
    <xf numFmtId="4" fontId="33" fillId="0" borderId="10" xfId="0" applyNumberFormat="1" applyFont="1" applyFill="1" applyBorder="1" applyAlignment="1">
      <alignment horizontal="right" vertical="center" wrapText="1"/>
    </xf>
    <xf numFmtId="4" fontId="33" fillId="23" borderId="10" xfId="0" applyNumberFormat="1" applyFont="1" applyFill="1" applyBorder="1" applyAlignment="1">
      <alignment horizontal="right" vertical="center" wrapText="1"/>
    </xf>
    <xf numFmtId="164" fontId="34" fillId="23" borderId="10" xfId="0" applyNumberFormat="1" applyFont="1" applyFill="1" applyBorder="1" applyAlignment="1">
      <alignment horizontal="right" vertical="center"/>
    </xf>
    <xf numFmtId="4" fontId="32" fillId="23" borderId="10" xfId="0" applyNumberFormat="1" applyFont="1" applyFill="1" applyBorder="1" applyAlignment="1">
      <alignment horizontal="right" vertical="center" wrapText="1"/>
    </xf>
    <xf numFmtId="4" fontId="32" fillId="20" borderId="11" xfId="0" applyNumberFormat="1" applyFont="1" applyFill="1" applyBorder="1" applyAlignment="1">
      <alignment horizontal="right" vertical="center" wrapText="1"/>
    </xf>
    <xf numFmtId="4" fontId="34" fillId="0" borderId="14" xfId="0" applyNumberFormat="1" applyFont="1" applyFill="1" applyBorder="1" applyAlignment="1">
      <alignment horizontal="right" vertical="center"/>
    </xf>
    <xf numFmtId="164" fontId="35" fillId="0" borderId="10" xfId="28" applyNumberFormat="1" applyFont="1" applyFill="1" applyBorder="1" applyAlignment="1">
      <alignment horizontal="right" vertical="center"/>
    </xf>
    <xf numFmtId="164" fontId="35" fillId="0" borderId="10" xfId="0" applyNumberFormat="1" applyFont="1" applyFill="1" applyBorder="1" applyAlignment="1">
      <alignment horizontal="right" vertical="center"/>
    </xf>
    <xf numFmtId="4" fontId="33" fillId="22" borderId="10" xfId="0" applyNumberFormat="1" applyFont="1" applyFill="1" applyBorder="1" applyAlignment="1">
      <alignment horizontal="right" vertical="center"/>
    </xf>
    <xf numFmtId="164" fontId="33" fillId="22" borderId="10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horizontal="center" vertical="center"/>
    </xf>
    <xf numFmtId="4" fontId="35" fillId="23" borderId="1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4" fontId="33" fillId="0" borderId="0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horizontal="right" vertical="center"/>
    </xf>
    <xf numFmtId="4" fontId="35" fillId="0" borderId="0" xfId="0" applyNumberFormat="1" applyFont="1" applyFill="1" applyBorder="1" applyAlignment="1">
      <alignment horizontal="right" vertical="center"/>
    </xf>
    <xf numFmtId="4" fontId="32" fillId="0" borderId="0" xfId="0" applyNumberFormat="1" applyFont="1" applyFill="1" applyBorder="1" applyAlignment="1">
      <alignment horizontal="right" vertical="center" wrapText="1"/>
    </xf>
    <xf numFmtId="0" fontId="6" fillId="19" borderId="10" xfId="0" applyFont="1" applyFill="1" applyBorder="1" applyAlignment="1">
      <alignment vertical="center"/>
    </xf>
    <xf numFmtId="4" fontId="35" fillId="23" borderId="10" xfId="0" applyNumberFormat="1" applyFont="1" applyFill="1" applyBorder="1" applyAlignment="1">
      <alignment vertical="center"/>
    </xf>
    <xf numFmtId="4" fontId="32" fillId="23" borderId="10" xfId="0" applyNumberFormat="1" applyFont="1" applyFill="1" applyBorder="1" applyAlignment="1">
      <alignment vertical="center" wrapText="1"/>
    </xf>
    <xf numFmtId="4" fontId="33" fillId="0" borderId="10" xfId="0" applyNumberFormat="1" applyFont="1" applyBorder="1" applyAlignment="1">
      <alignment vertical="center"/>
    </xf>
    <xf numFmtId="4" fontId="33" fillId="0" borderId="10" xfId="0" applyNumberFormat="1" applyFont="1" applyFill="1" applyBorder="1" applyAlignment="1">
      <alignment vertical="center" wrapText="1"/>
    </xf>
    <xf numFmtId="4" fontId="33" fillId="0" borderId="10" xfId="0" applyNumberFormat="1" applyFont="1" applyFill="1" applyBorder="1" applyAlignment="1">
      <alignment vertical="center"/>
    </xf>
    <xf numFmtId="4" fontId="33" fillId="0" borderId="14" xfId="0" applyNumberFormat="1" applyFont="1" applyFill="1" applyBorder="1" applyAlignment="1">
      <alignment vertical="center" wrapText="1"/>
    </xf>
    <xf numFmtId="4" fontId="33" fillId="0" borderId="15" xfId="0" applyNumberFormat="1" applyFont="1" applyBorder="1" applyAlignment="1">
      <alignment horizontal="right" vertical="center"/>
    </xf>
    <xf numFmtId="4" fontId="33" fillId="0" borderId="16" xfId="0" applyNumberFormat="1" applyFont="1" applyBorder="1" applyAlignment="1">
      <alignment vertical="center" wrapText="1"/>
    </xf>
    <xf numFmtId="4" fontId="34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left" vertical="center"/>
    </xf>
    <xf numFmtId="0" fontId="34" fillId="0" borderId="0" xfId="0" applyFont="1" applyFill="1" applyBorder="1"/>
    <xf numFmtId="4" fontId="32" fillId="0" borderId="17" xfId="0" applyNumberFormat="1" applyFont="1" applyFill="1" applyBorder="1" applyAlignment="1">
      <alignment horizontal="right" vertical="center" wrapText="1"/>
    </xf>
    <xf numFmtId="4" fontId="32" fillId="0" borderId="16" xfId="0" applyNumberFormat="1" applyFont="1" applyFill="1" applyBorder="1" applyAlignment="1">
      <alignment horizontal="right" vertical="center" wrapText="1"/>
    </xf>
    <xf numFmtId="4" fontId="32" fillId="0" borderId="18" xfId="0" applyNumberFormat="1" applyFont="1" applyFill="1" applyBorder="1" applyAlignment="1">
      <alignment horizontal="right" vertical="center" wrapText="1"/>
    </xf>
    <xf numFmtId="4" fontId="34" fillId="0" borderId="18" xfId="0" applyNumberFormat="1" applyFont="1" applyFill="1" applyBorder="1" applyAlignment="1">
      <alignment horizontal="right" vertical="center"/>
    </xf>
    <xf numFmtId="0" fontId="6" fillId="19" borderId="14" xfId="0" applyFont="1" applyFill="1" applyBorder="1" applyAlignment="1">
      <alignment vertical="center"/>
    </xf>
    <xf numFmtId="4" fontId="34" fillId="23" borderId="10" xfId="0" applyNumberFormat="1" applyFont="1" applyFill="1" applyBorder="1" applyAlignment="1">
      <alignment horizontal="right" vertical="center"/>
    </xf>
    <xf numFmtId="4" fontId="32" fillId="23" borderId="10" xfId="0" applyNumberFormat="1" applyFont="1" applyFill="1" applyBorder="1" applyAlignment="1">
      <alignment horizontal="center" vertical="center"/>
    </xf>
    <xf numFmtId="4" fontId="34" fillId="0" borderId="10" xfId="0" applyNumberFormat="1" applyFont="1" applyBorder="1" applyAlignment="1">
      <alignment horizontal="right" vertical="center"/>
    </xf>
    <xf numFmtId="4" fontId="34" fillId="22" borderId="10" xfId="0" applyNumberFormat="1" applyFont="1" applyFill="1" applyBorder="1" applyAlignment="1">
      <alignment horizontal="right" vertical="center"/>
    </xf>
    <xf numFmtId="0" fontId="6" fillId="0" borderId="15" xfId="0" applyFont="1" applyBorder="1"/>
    <xf numFmtId="165" fontId="6" fillId="0" borderId="11" xfId="0" applyNumberFormat="1" applyFont="1" applyBorder="1"/>
    <xf numFmtId="4" fontId="35" fillId="20" borderId="10" xfId="0" applyNumberFormat="1" applyFont="1" applyFill="1" applyBorder="1" applyAlignment="1">
      <alignment horizontal="center" vertical="center"/>
    </xf>
    <xf numFmtId="0" fontId="7" fillId="23" borderId="10" xfId="0" applyFont="1" applyFill="1" applyBorder="1" applyAlignment="1">
      <alignment horizontal="left" vertical="center" wrapText="1"/>
    </xf>
    <xf numFmtId="0" fontId="10" fillId="23" borderId="11" xfId="0" applyFont="1" applyFill="1" applyBorder="1" applyAlignment="1">
      <alignment horizontal="center" vertical="top" wrapText="1"/>
    </xf>
    <xf numFmtId="0" fontId="7" fillId="23" borderId="12" xfId="0" applyFont="1" applyFill="1" applyBorder="1" applyAlignment="1">
      <alignment horizontal="left" vertical="top" wrapText="1"/>
    </xf>
    <xf numFmtId="0" fontId="10" fillId="20" borderId="10" xfId="0" applyFont="1" applyFill="1" applyBorder="1" applyAlignment="1">
      <alignment horizontal="left" vertical="top" wrapText="1"/>
    </xf>
    <xf numFmtId="0" fontId="10" fillId="0" borderId="12" xfId="0" applyFont="1" applyFill="1" applyBorder="1" applyAlignment="1">
      <alignment horizontal="right"/>
    </xf>
    <xf numFmtId="0" fontId="7" fillId="23" borderId="10" xfId="0" applyFont="1" applyFill="1" applyBorder="1" applyAlignment="1">
      <alignment vertical="center" wrapText="1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2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3"/>
    </xf>
    <xf numFmtId="0" fontId="4" fillId="22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3"/>
    </xf>
    <xf numFmtId="0" fontId="4" fillId="0" borderId="10" xfId="0" applyFont="1" applyFill="1" applyBorder="1" applyAlignment="1">
      <alignment horizontal="left" vertical="center" wrapText="1" indent="4"/>
    </xf>
    <xf numFmtId="0" fontId="4" fillId="0" borderId="10" xfId="0" applyFont="1" applyBorder="1" applyAlignment="1">
      <alignment horizontal="left" vertical="center" wrapText="1" indent="4"/>
    </xf>
    <xf numFmtId="0" fontId="7" fillId="0" borderId="10" xfId="0" applyFont="1" applyFill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6" fillId="0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6" fillId="0" borderId="10" xfId="38" applyFont="1" applyFill="1" applyBorder="1" applyAlignment="1">
      <alignment horizontal="left" vertical="center" wrapText="1" indent="1"/>
    </xf>
    <xf numFmtId="0" fontId="7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26" xfId="0" applyFont="1" applyFill="1" applyBorder="1" applyAlignment="1">
      <alignment horizontal="center" vertical="center" wrapText="1"/>
    </xf>
    <xf numFmtId="0" fontId="6" fillId="19" borderId="11" xfId="0" applyFont="1" applyFill="1" applyBorder="1" applyAlignment="1">
      <alignment horizontal="center" vertical="center" wrapText="1"/>
    </xf>
    <xf numFmtId="0" fontId="4" fillId="19" borderId="14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22" xfId="0" applyFont="1" applyFill="1" applyBorder="1" applyAlignment="1">
      <alignment horizontal="center" vertical="center"/>
    </xf>
    <xf numFmtId="0" fontId="4" fillId="19" borderId="23" xfId="0" applyFont="1" applyFill="1" applyBorder="1" applyAlignment="1">
      <alignment horizontal="center" vertical="center"/>
    </xf>
    <xf numFmtId="0" fontId="4" fillId="19" borderId="24" xfId="0" applyFont="1" applyFill="1" applyBorder="1" applyAlignment="1">
      <alignment horizontal="center" vertical="center"/>
    </xf>
    <xf numFmtId="165" fontId="6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/>
    </xf>
    <xf numFmtId="0" fontId="6" fillId="19" borderId="16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4" xfId="0" applyFont="1" applyFill="1" applyBorder="1" applyAlignment="1">
      <alignment horizontal="center" vertical="center" wrapText="1"/>
    </xf>
    <xf numFmtId="0" fontId="6" fillId="19" borderId="19" xfId="0" applyFont="1" applyFill="1" applyBorder="1" applyAlignment="1">
      <alignment horizontal="center" vertical="center" wrapText="1"/>
    </xf>
    <xf numFmtId="0" fontId="6" fillId="19" borderId="14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4" fontId="32" fillId="0" borderId="18" xfId="0" applyNumberFormat="1" applyFont="1" applyFill="1" applyBorder="1" applyAlignment="1">
      <alignment horizontal="right" vertical="center" wrapText="1"/>
    </xf>
    <xf numFmtId="0" fontId="4" fillId="19" borderId="10" xfId="0" applyFont="1" applyFill="1" applyBorder="1" applyAlignment="1">
      <alignment horizontal="center" vertical="center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y" xfId="0" builtinId="0"/>
    <cellStyle name="Normalny 2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99"/>
  <sheetViews>
    <sheetView tabSelected="1" topLeftCell="B1" zoomScaleNormal="100" workbookViewId="0">
      <selection activeCell="B2" sqref="B2:B3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4.7109375" style="1" customWidth="1"/>
    <col min="5" max="9" width="14.7109375" style="1" customWidth="1" outlineLevel="1"/>
    <col min="10" max="10" width="9.7109375" style="1" customWidth="1"/>
    <col min="11" max="11" width="7.42578125" style="1" customWidth="1"/>
    <col min="12" max="12" width="9.140625" style="1" customWidth="1"/>
    <col min="13" max="13" width="8.140625" style="1" hidden="1" customWidth="1"/>
    <col min="14" max="16384" width="9.140625" style="1"/>
  </cols>
  <sheetData>
    <row r="1" spans="2:13" ht="20.100000000000001" customHeight="1" x14ac:dyDescent="0.2">
      <c r="B1" s="120" t="str">
        <f>CONCATENATE("Informacja z wykonania budżetów powiatów za ",$D$96," ",$C$97," rok     ",$C$99,"")</f>
        <v xml:space="preserve">Informacja z wykonania budżetów powiatów za II Kwartały 2022 rok     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2:13" ht="57.75" customHeight="1" x14ac:dyDescent="0.2">
      <c r="B2" s="126" t="s">
        <v>0</v>
      </c>
      <c r="C2" s="14" t="s">
        <v>27</v>
      </c>
      <c r="D2" s="14" t="s">
        <v>28</v>
      </c>
      <c r="E2" s="14" t="s">
        <v>90</v>
      </c>
      <c r="F2" s="14" t="s">
        <v>91</v>
      </c>
      <c r="G2" s="14" t="s">
        <v>92</v>
      </c>
      <c r="H2" s="14" t="s">
        <v>93</v>
      </c>
      <c r="I2" s="14" t="s">
        <v>94</v>
      </c>
      <c r="J2" s="16" t="s">
        <v>2</v>
      </c>
      <c r="K2" s="14" t="s">
        <v>18</v>
      </c>
      <c r="L2" s="14" t="s">
        <v>3</v>
      </c>
    </row>
    <row r="3" spans="2:13" x14ac:dyDescent="0.2">
      <c r="B3" s="126"/>
      <c r="C3" s="131" t="s">
        <v>61</v>
      </c>
      <c r="D3" s="133"/>
      <c r="E3" s="135" t="s">
        <v>89</v>
      </c>
      <c r="F3" s="136"/>
      <c r="G3" s="136"/>
      <c r="H3" s="136"/>
      <c r="I3" s="137"/>
      <c r="J3" s="131" t="s">
        <v>4</v>
      </c>
      <c r="K3" s="132"/>
      <c r="L3" s="133"/>
    </row>
    <row r="4" spans="2:13" ht="9" customHeight="1" x14ac:dyDescent="0.2">
      <c r="B4" s="16">
        <v>1</v>
      </c>
      <c r="C4" s="18">
        <v>2</v>
      </c>
      <c r="D4" s="18">
        <v>3</v>
      </c>
      <c r="E4" s="138"/>
      <c r="F4" s="139"/>
      <c r="G4" s="139"/>
      <c r="H4" s="139"/>
      <c r="I4" s="140"/>
      <c r="J4" s="18">
        <v>4</v>
      </c>
      <c r="K4" s="18">
        <v>5</v>
      </c>
      <c r="L4" s="18">
        <v>6</v>
      </c>
    </row>
    <row r="5" spans="2:13" ht="12.95" customHeight="1" x14ac:dyDescent="0.2">
      <c r="B5" s="109" t="s">
        <v>5</v>
      </c>
      <c r="C5" s="55">
        <f>37770935353.54</f>
        <v>37770935353.540001</v>
      </c>
      <c r="D5" s="55">
        <f>18659902851.05</f>
        <v>18659902851.049999</v>
      </c>
      <c r="E5" s="98" t="s">
        <v>89</v>
      </c>
      <c r="F5" s="98" t="s">
        <v>89</v>
      </c>
      <c r="G5" s="98" t="s">
        <v>89</v>
      </c>
      <c r="H5" s="98" t="s">
        <v>89</v>
      </c>
      <c r="I5" s="98" t="s">
        <v>89</v>
      </c>
      <c r="J5" s="56">
        <f t="shared" ref="J5:J37" si="0">IF($D$5=0,"",100*$D5/$D$5)</f>
        <v>100</v>
      </c>
      <c r="K5" s="56">
        <f t="shared" ref="K5:K40" si="1">IF(C5=0,"",100*D5/C5)</f>
        <v>49.402808472682267</v>
      </c>
      <c r="L5" s="56"/>
    </row>
    <row r="6" spans="2:13" ht="26.85" customHeight="1" x14ac:dyDescent="0.2">
      <c r="B6" s="110" t="s">
        <v>42</v>
      </c>
      <c r="C6" s="31">
        <f>C5-C11-C33</f>
        <v>14082569338.120003</v>
      </c>
      <c r="D6" s="31">
        <f>D5-D11-D33</f>
        <v>6882325215.7299995</v>
      </c>
      <c r="E6" s="98" t="s">
        <v>89</v>
      </c>
      <c r="F6" s="98" t="s">
        <v>89</v>
      </c>
      <c r="G6" s="98" t="s">
        <v>89</v>
      </c>
      <c r="H6" s="98" t="s">
        <v>89</v>
      </c>
      <c r="I6" s="98" t="s">
        <v>89</v>
      </c>
      <c r="J6" s="32">
        <f t="shared" si="0"/>
        <v>36.882963811050757</v>
      </c>
      <c r="K6" s="32">
        <f t="shared" si="1"/>
        <v>48.871232588930241</v>
      </c>
      <c r="L6" s="32">
        <f>IF($D$6=0,"",100*$D6/$D$6)</f>
        <v>100</v>
      </c>
    </row>
    <row r="7" spans="2:13" ht="22.5" outlineLevel="1" x14ac:dyDescent="0.2">
      <c r="B7" s="112" t="s">
        <v>19</v>
      </c>
      <c r="C7" s="33">
        <f>6017743665.23</f>
        <v>6017743665.2299995</v>
      </c>
      <c r="D7" s="33">
        <f>3009631122</f>
        <v>3009631122</v>
      </c>
      <c r="E7" s="98" t="s">
        <v>89</v>
      </c>
      <c r="F7" s="98" t="s">
        <v>89</v>
      </c>
      <c r="G7" s="98" t="s">
        <v>89</v>
      </c>
      <c r="H7" s="98" t="s">
        <v>89</v>
      </c>
      <c r="I7" s="98" t="s">
        <v>89</v>
      </c>
      <c r="J7" s="34">
        <f t="shared" si="0"/>
        <v>16.128868119110528</v>
      </c>
      <c r="K7" s="34">
        <f t="shared" si="1"/>
        <v>50.01261750960559</v>
      </c>
      <c r="L7" s="34">
        <f>IF($D$6=0,"",100*$D7/$D$6)</f>
        <v>43.729859134254411</v>
      </c>
    </row>
    <row r="8" spans="2:13" ht="22.5" outlineLevel="1" x14ac:dyDescent="0.2">
      <c r="B8" s="112" t="s">
        <v>26</v>
      </c>
      <c r="C8" s="33">
        <f>313445302</f>
        <v>313445302</v>
      </c>
      <c r="D8" s="33">
        <f>156576358.26</f>
        <v>156576358.25999999</v>
      </c>
      <c r="E8" s="98" t="s">
        <v>89</v>
      </c>
      <c r="F8" s="98" t="s">
        <v>89</v>
      </c>
      <c r="G8" s="98" t="s">
        <v>89</v>
      </c>
      <c r="H8" s="98" t="s">
        <v>89</v>
      </c>
      <c r="I8" s="98" t="s">
        <v>89</v>
      </c>
      <c r="J8" s="34">
        <f t="shared" si="0"/>
        <v>0.8391059670023383</v>
      </c>
      <c r="K8" s="34">
        <f t="shared" si="1"/>
        <v>49.953327505926374</v>
      </c>
      <c r="L8" s="34">
        <f>IF($D$6=0,"",100*$D8/$D$6)</f>
        <v>2.2750502679259417</v>
      </c>
    </row>
    <row r="9" spans="2:13" ht="12.95" customHeight="1" outlineLevel="1" x14ac:dyDescent="0.2">
      <c r="B9" s="112" t="s">
        <v>20</v>
      </c>
      <c r="C9" s="33">
        <f>515925191.68</f>
        <v>515925191.68000001</v>
      </c>
      <c r="D9" s="57">
        <f>225596952.17</f>
        <v>225596952.16999999</v>
      </c>
      <c r="E9" s="98" t="s">
        <v>89</v>
      </c>
      <c r="F9" s="98" t="s">
        <v>89</v>
      </c>
      <c r="G9" s="98" t="s">
        <v>89</v>
      </c>
      <c r="H9" s="98" t="s">
        <v>89</v>
      </c>
      <c r="I9" s="98" t="s">
        <v>89</v>
      </c>
      <c r="J9" s="34">
        <f t="shared" si="0"/>
        <v>1.2089931762817596</v>
      </c>
      <c r="K9" s="34">
        <f t="shared" si="1"/>
        <v>43.726678946494509</v>
      </c>
      <c r="L9" s="34">
        <f>IF($D$6=0,"",100*$D9/$D$6)</f>
        <v>3.2779176382770108</v>
      </c>
    </row>
    <row r="10" spans="2:13" ht="12.95" customHeight="1" outlineLevel="1" x14ac:dyDescent="0.2">
      <c r="B10" s="112" t="s">
        <v>21</v>
      </c>
      <c r="C10" s="33">
        <f>C6-C8-C7-C9</f>
        <v>7235455179.2100029</v>
      </c>
      <c r="D10" s="33">
        <f>D6-D8-D7-D9</f>
        <v>3490520783.2999992</v>
      </c>
      <c r="E10" s="98" t="s">
        <v>89</v>
      </c>
      <c r="F10" s="98" t="s">
        <v>89</v>
      </c>
      <c r="G10" s="98" t="s">
        <v>89</v>
      </c>
      <c r="H10" s="98" t="s">
        <v>89</v>
      </c>
      <c r="I10" s="98" t="s">
        <v>89</v>
      </c>
      <c r="J10" s="34">
        <f t="shared" si="0"/>
        <v>18.705996548656127</v>
      </c>
      <c r="K10" s="34">
        <f t="shared" si="1"/>
        <v>48.241896284970267</v>
      </c>
      <c r="L10" s="34">
        <f>IF($D$6=0,"",100*$D10/$D$6)</f>
        <v>50.71717295954263</v>
      </c>
    </row>
    <row r="11" spans="2:13" ht="26.85" customHeight="1" x14ac:dyDescent="0.2">
      <c r="B11" s="111" t="s">
        <v>95</v>
      </c>
      <c r="C11" s="55">
        <f>C12+C29+C31</f>
        <v>9386405684.4200001</v>
      </c>
      <c r="D11" s="55">
        <f>D12+D29+D31</f>
        <v>3473455692.3199997</v>
      </c>
      <c r="E11" s="98" t="s">
        <v>89</v>
      </c>
      <c r="F11" s="98" t="s">
        <v>89</v>
      </c>
      <c r="G11" s="98" t="s">
        <v>89</v>
      </c>
      <c r="H11" s="98" t="s">
        <v>89</v>
      </c>
      <c r="I11" s="98" t="s">
        <v>89</v>
      </c>
      <c r="J11" s="56">
        <f t="shared" si="0"/>
        <v>18.614543280564547</v>
      </c>
      <c r="K11" s="56">
        <f t="shared" si="1"/>
        <v>37.00517332300484</v>
      </c>
      <c r="L11" s="58"/>
    </row>
    <row r="12" spans="2:13" ht="26.85" customHeight="1" outlineLevel="1" x14ac:dyDescent="0.2">
      <c r="B12" s="113" t="s">
        <v>43</v>
      </c>
      <c r="C12" s="55">
        <f>C13+C15+C17+C19+C21+C23+C25+C27</f>
        <v>7830383830.9899998</v>
      </c>
      <c r="D12" s="55">
        <f>D13+D15+D17+D19+D21+D23+D25+D27</f>
        <v>2980436026.4200001</v>
      </c>
      <c r="E12" s="98" t="s">
        <v>89</v>
      </c>
      <c r="F12" s="98" t="s">
        <v>89</v>
      </c>
      <c r="G12" s="98" t="s">
        <v>89</v>
      </c>
      <c r="H12" s="98" t="s">
        <v>89</v>
      </c>
      <c r="I12" s="98" t="s">
        <v>89</v>
      </c>
      <c r="J12" s="56">
        <f t="shared" si="0"/>
        <v>15.972409128873304</v>
      </c>
      <c r="K12" s="56">
        <f t="shared" si="1"/>
        <v>38.062451225244494</v>
      </c>
      <c r="L12" s="37"/>
    </row>
    <row r="13" spans="2:13" ht="22.5" outlineLevel="1" x14ac:dyDescent="0.2">
      <c r="B13" s="114" t="s">
        <v>9</v>
      </c>
      <c r="C13" s="33">
        <f>3354624488.65</f>
        <v>3354624488.6500001</v>
      </c>
      <c r="D13" s="33">
        <f>1943051133.99</f>
        <v>1943051133.99</v>
      </c>
      <c r="E13" s="98" t="s">
        <v>89</v>
      </c>
      <c r="F13" s="98" t="s">
        <v>89</v>
      </c>
      <c r="G13" s="98" t="s">
        <v>89</v>
      </c>
      <c r="H13" s="98" t="s">
        <v>89</v>
      </c>
      <c r="I13" s="98" t="s">
        <v>89</v>
      </c>
      <c r="J13" s="34">
        <f t="shared" si="0"/>
        <v>10.412975616754959</v>
      </c>
      <c r="K13" s="34">
        <f t="shared" si="1"/>
        <v>57.921568883912286</v>
      </c>
      <c r="L13" s="37"/>
    </row>
    <row r="14" spans="2:13" ht="12.95" customHeight="1" outlineLevel="1" x14ac:dyDescent="0.2">
      <c r="B14" s="117" t="s">
        <v>6</v>
      </c>
      <c r="C14" s="33">
        <f>85828360.34</f>
        <v>85828360.340000004</v>
      </c>
      <c r="D14" s="33">
        <f>6666344.95</f>
        <v>6666344.9500000002</v>
      </c>
      <c r="E14" s="98" t="s">
        <v>89</v>
      </c>
      <c r="F14" s="98" t="s">
        <v>89</v>
      </c>
      <c r="G14" s="98" t="s">
        <v>89</v>
      </c>
      <c r="H14" s="98" t="s">
        <v>89</v>
      </c>
      <c r="I14" s="98" t="s">
        <v>89</v>
      </c>
      <c r="J14" s="34">
        <f t="shared" si="0"/>
        <v>3.5725507271999982E-2</v>
      </c>
      <c r="K14" s="34">
        <f t="shared" si="1"/>
        <v>7.7670654823090839</v>
      </c>
      <c r="L14" s="37"/>
    </row>
    <row r="15" spans="2:13" ht="12.95" customHeight="1" outlineLevel="1" x14ac:dyDescent="0.2">
      <c r="B15" s="114" t="s">
        <v>7</v>
      </c>
      <c r="C15" s="33">
        <f>870795591.47</f>
        <v>870795591.47000003</v>
      </c>
      <c r="D15" s="33">
        <f>367659065.53</f>
        <v>367659065.52999997</v>
      </c>
      <c r="E15" s="98" t="s">
        <v>89</v>
      </c>
      <c r="F15" s="98" t="s">
        <v>89</v>
      </c>
      <c r="G15" s="98" t="s">
        <v>89</v>
      </c>
      <c r="H15" s="98" t="s">
        <v>89</v>
      </c>
      <c r="I15" s="98" t="s">
        <v>89</v>
      </c>
      <c r="J15" s="34">
        <f t="shared" si="0"/>
        <v>1.9703160754093192</v>
      </c>
      <c r="K15" s="34">
        <f t="shared" si="1"/>
        <v>42.22105269381882</v>
      </c>
      <c r="L15" s="37"/>
    </row>
    <row r="16" spans="2:13" ht="12.95" customHeight="1" outlineLevel="1" x14ac:dyDescent="0.2">
      <c r="B16" s="117" t="s">
        <v>6</v>
      </c>
      <c r="C16" s="33">
        <f>181163311.74</f>
        <v>181163311.74000001</v>
      </c>
      <c r="D16" s="33">
        <f>28323816.89</f>
        <v>28323816.890000001</v>
      </c>
      <c r="E16" s="98" t="s">
        <v>89</v>
      </c>
      <c r="F16" s="98" t="s">
        <v>89</v>
      </c>
      <c r="G16" s="98" t="s">
        <v>89</v>
      </c>
      <c r="H16" s="98" t="s">
        <v>89</v>
      </c>
      <c r="I16" s="98" t="s">
        <v>89</v>
      </c>
      <c r="J16" s="34">
        <f t="shared" si="0"/>
        <v>0.15178973393425899</v>
      </c>
      <c r="K16" s="34">
        <f t="shared" si="1"/>
        <v>15.63441108354735</v>
      </c>
      <c r="L16" s="37"/>
    </row>
    <row r="17" spans="2:12" ht="33.75" outlineLevel="1" x14ac:dyDescent="0.2">
      <c r="B17" s="114" t="s">
        <v>10</v>
      </c>
      <c r="C17" s="33">
        <f>122975818.23</f>
        <v>122975818.23</v>
      </c>
      <c r="D17" s="33">
        <f>102132303.2</f>
        <v>102132303.2</v>
      </c>
      <c r="E17" s="98" t="s">
        <v>89</v>
      </c>
      <c r="F17" s="98" t="s">
        <v>89</v>
      </c>
      <c r="G17" s="98" t="s">
        <v>89</v>
      </c>
      <c r="H17" s="98" t="s">
        <v>89</v>
      </c>
      <c r="I17" s="98" t="s">
        <v>89</v>
      </c>
      <c r="J17" s="34">
        <f t="shared" si="0"/>
        <v>0.54733566415246893</v>
      </c>
      <c r="K17" s="34">
        <f t="shared" si="1"/>
        <v>83.050720596941531</v>
      </c>
      <c r="L17" s="37"/>
    </row>
    <row r="18" spans="2:12" ht="12.95" customHeight="1" outlineLevel="1" x14ac:dyDescent="0.2">
      <c r="B18" s="117" t="s">
        <v>6</v>
      </c>
      <c r="C18" s="33">
        <f>3547649</f>
        <v>3547649</v>
      </c>
      <c r="D18" s="33">
        <f>847822</f>
        <v>847822</v>
      </c>
      <c r="E18" s="98" t="s">
        <v>89</v>
      </c>
      <c r="F18" s="98" t="s">
        <v>89</v>
      </c>
      <c r="G18" s="98" t="s">
        <v>89</v>
      </c>
      <c r="H18" s="98" t="s">
        <v>89</v>
      </c>
      <c r="I18" s="98" t="s">
        <v>89</v>
      </c>
      <c r="J18" s="34">
        <f t="shared" si="0"/>
        <v>4.5435499143142259E-3</v>
      </c>
      <c r="K18" s="34">
        <f t="shared" si="1"/>
        <v>23.898136484189951</v>
      </c>
      <c r="L18" s="37"/>
    </row>
    <row r="19" spans="2:12" ht="25.5" customHeight="1" outlineLevel="1" x14ac:dyDescent="0.2">
      <c r="B19" s="114" t="s">
        <v>11</v>
      </c>
      <c r="C19" s="33">
        <f>419742285.53</f>
        <v>419742285.52999997</v>
      </c>
      <c r="D19" s="33">
        <f>184575180.24</f>
        <v>184575180.24000001</v>
      </c>
      <c r="E19" s="98" t="s">
        <v>89</v>
      </c>
      <c r="F19" s="98" t="s">
        <v>89</v>
      </c>
      <c r="G19" s="98" t="s">
        <v>89</v>
      </c>
      <c r="H19" s="98" t="s">
        <v>89</v>
      </c>
      <c r="I19" s="98" t="s">
        <v>89</v>
      </c>
      <c r="J19" s="34">
        <f t="shared" si="0"/>
        <v>0.98915402568461863</v>
      </c>
      <c r="K19" s="34">
        <f t="shared" si="1"/>
        <v>43.973453855605875</v>
      </c>
      <c r="L19" s="37"/>
    </row>
    <row r="20" spans="2:12" ht="12.95" customHeight="1" outlineLevel="1" x14ac:dyDescent="0.2">
      <c r="B20" s="117" t="s">
        <v>6</v>
      </c>
      <c r="C20" s="33">
        <f>76463094.91</f>
        <v>76463094.909999996</v>
      </c>
      <c r="D20" s="33">
        <f>13945078.35</f>
        <v>13945078.35</v>
      </c>
      <c r="E20" s="98" t="s">
        <v>89</v>
      </c>
      <c r="F20" s="98" t="s">
        <v>89</v>
      </c>
      <c r="G20" s="98" t="s">
        <v>89</v>
      </c>
      <c r="H20" s="98" t="s">
        <v>89</v>
      </c>
      <c r="I20" s="98" t="s">
        <v>89</v>
      </c>
      <c r="J20" s="34">
        <f t="shared" si="0"/>
        <v>7.4732856121034447E-2</v>
      </c>
      <c r="K20" s="34">
        <f t="shared" si="1"/>
        <v>18.237658790052762</v>
      </c>
      <c r="L20" s="37"/>
    </row>
    <row r="21" spans="2:12" ht="35.25" customHeight="1" outlineLevel="1" x14ac:dyDescent="0.2">
      <c r="B21" s="114" t="s">
        <v>62</v>
      </c>
      <c r="C21" s="33">
        <f>1017174910.96</f>
        <v>1017174910.96</v>
      </c>
      <c r="D21" s="33">
        <f>251379278.39</f>
        <v>251379278.38999999</v>
      </c>
      <c r="E21" s="98" t="s">
        <v>89</v>
      </c>
      <c r="F21" s="98" t="s">
        <v>89</v>
      </c>
      <c r="G21" s="98" t="s">
        <v>89</v>
      </c>
      <c r="H21" s="98" t="s">
        <v>89</v>
      </c>
      <c r="I21" s="98" t="s">
        <v>89</v>
      </c>
      <c r="J21" s="34">
        <f t="shared" si="0"/>
        <v>1.3471628464338699</v>
      </c>
      <c r="K21" s="34">
        <f t="shared" si="1"/>
        <v>24.713476087681972</v>
      </c>
      <c r="L21" s="37"/>
    </row>
    <row r="22" spans="2:12" ht="12.95" customHeight="1" outlineLevel="1" x14ac:dyDescent="0.2">
      <c r="B22" s="117" t="s">
        <v>6</v>
      </c>
      <c r="C22" s="33">
        <f>878391549.75</f>
        <v>878391549.75</v>
      </c>
      <c r="D22" s="33">
        <f>193368563.59</f>
        <v>193368563.59</v>
      </c>
      <c r="E22" s="98" t="s">
        <v>89</v>
      </c>
      <c r="F22" s="98" t="s">
        <v>89</v>
      </c>
      <c r="G22" s="98" t="s">
        <v>89</v>
      </c>
      <c r="H22" s="98" t="s">
        <v>89</v>
      </c>
      <c r="I22" s="98" t="s">
        <v>89</v>
      </c>
      <c r="J22" s="34">
        <f t="shared" si="0"/>
        <v>1.0362785119168993</v>
      </c>
      <c r="K22" s="34">
        <f t="shared" si="1"/>
        <v>22.013937138288142</v>
      </c>
      <c r="L22" s="37"/>
    </row>
    <row r="23" spans="2:12" ht="12.95" customHeight="1" outlineLevel="1" x14ac:dyDescent="0.2">
      <c r="B23" s="114" t="s">
        <v>8</v>
      </c>
      <c r="C23" s="33">
        <f>78478505.47</f>
        <v>78478505.469999999</v>
      </c>
      <c r="D23" s="33">
        <f>25664247.79</f>
        <v>25664247.789999999</v>
      </c>
      <c r="E23" s="98" t="s">
        <v>89</v>
      </c>
      <c r="F23" s="98" t="s">
        <v>89</v>
      </c>
      <c r="G23" s="98" t="s">
        <v>89</v>
      </c>
      <c r="H23" s="98" t="s">
        <v>89</v>
      </c>
      <c r="I23" s="98" t="s">
        <v>89</v>
      </c>
      <c r="J23" s="34">
        <f t="shared" si="0"/>
        <v>0.13753687784369073</v>
      </c>
      <c r="K23" s="34">
        <f t="shared" si="1"/>
        <v>32.702263678824359</v>
      </c>
      <c r="L23" s="37"/>
    </row>
    <row r="24" spans="2:12" ht="12.95" customHeight="1" outlineLevel="1" x14ac:dyDescent="0.2">
      <c r="B24" s="117" t="s">
        <v>6</v>
      </c>
      <c r="C24" s="33">
        <f>62304139.13</f>
        <v>62304139.130000003</v>
      </c>
      <c r="D24" s="33">
        <f>18192674.74</f>
        <v>18192674.739999998</v>
      </c>
      <c r="E24" s="98" t="s">
        <v>89</v>
      </c>
      <c r="F24" s="98" t="s">
        <v>89</v>
      </c>
      <c r="G24" s="98" t="s">
        <v>89</v>
      </c>
      <c r="H24" s="98" t="s">
        <v>89</v>
      </c>
      <c r="I24" s="98" t="s">
        <v>89</v>
      </c>
      <c r="J24" s="34">
        <f t="shared" si="0"/>
        <v>9.7496084975470756E-2</v>
      </c>
      <c r="K24" s="34">
        <f t="shared" si="1"/>
        <v>29.199785109044324</v>
      </c>
      <c r="L24" s="37"/>
    </row>
    <row r="25" spans="2:12" ht="67.5" outlineLevel="1" x14ac:dyDescent="0.2">
      <c r="B25" s="114" t="s">
        <v>80</v>
      </c>
      <c r="C25" s="33">
        <f>1182108.21</f>
        <v>1182108.21</v>
      </c>
      <c r="D25" s="33">
        <f>157957.71</f>
        <v>157957.71</v>
      </c>
      <c r="E25" s="98" t="s">
        <v>89</v>
      </c>
      <c r="F25" s="98" t="s">
        <v>89</v>
      </c>
      <c r="G25" s="98" t="s">
        <v>89</v>
      </c>
      <c r="H25" s="98" t="s">
        <v>89</v>
      </c>
      <c r="I25" s="98" t="s">
        <v>89</v>
      </c>
      <c r="J25" s="34">
        <f t="shared" si="0"/>
        <v>8.465087479869257E-4</v>
      </c>
      <c r="K25" s="34">
        <f t="shared" si="1"/>
        <v>13.362373145179324</v>
      </c>
      <c r="L25" s="37"/>
    </row>
    <row r="26" spans="2:12" ht="12.95" customHeight="1" outlineLevel="1" x14ac:dyDescent="0.2">
      <c r="B26" s="117" t="s">
        <v>81</v>
      </c>
      <c r="C26" s="33">
        <f>1042108.21</f>
        <v>1042108.21</v>
      </c>
      <c r="D26" s="33">
        <f>62957.71</f>
        <v>62957.71</v>
      </c>
      <c r="E26" s="98" t="s">
        <v>89</v>
      </c>
      <c r="F26" s="98" t="s">
        <v>89</v>
      </c>
      <c r="G26" s="98" t="s">
        <v>89</v>
      </c>
      <c r="H26" s="98" t="s">
        <v>89</v>
      </c>
      <c r="I26" s="98" t="s">
        <v>89</v>
      </c>
      <c r="J26" s="34">
        <f t="shared" si="0"/>
        <v>3.3739570083805311E-4</v>
      </c>
      <c r="K26" s="34">
        <f t="shared" si="1"/>
        <v>6.0413793304631964</v>
      </c>
      <c r="L26" s="37"/>
    </row>
    <row r="27" spans="2:12" ht="45" outlineLevel="1" x14ac:dyDescent="0.2">
      <c r="B27" s="115" t="s">
        <v>79</v>
      </c>
      <c r="C27" s="70">
        <f>1965410122.47</f>
        <v>1965410122.47</v>
      </c>
      <c r="D27" s="70">
        <f>105816859.57</f>
        <v>105816859.56999999</v>
      </c>
      <c r="E27" s="98" t="s">
        <v>89</v>
      </c>
      <c r="F27" s="98" t="s">
        <v>89</v>
      </c>
      <c r="G27" s="98" t="s">
        <v>89</v>
      </c>
      <c r="H27" s="98" t="s">
        <v>89</v>
      </c>
      <c r="I27" s="98" t="s">
        <v>89</v>
      </c>
      <c r="J27" s="71">
        <f t="shared" si="0"/>
        <v>0.56708151384638983</v>
      </c>
      <c r="K27" s="71">
        <f t="shared" si="1"/>
        <v>5.3839582059858442</v>
      </c>
      <c r="L27" s="37"/>
    </row>
    <row r="28" spans="2:12" ht="12.95" customHeight="1" outlineLevel="1" x14ac:dyDescent="0.2">
      <c r="B28" s="117" t="s">
        <v>6</v>
      </c>
      <c r="C28" s="33">
        <f>1910319179.32</f>
        <v>1910319179.3199999</v>
      </c>
      <c r="D28" s="33">
        <f>69320273.27</f>
        <v>69320273.269999996</v>
      </c>
      <c r="E28" s="98" t="s">
        <v>89</v>
      </c>
      <c r="F28" s="98" t="s">
        <v>89</v>
      </c>
      <c r="G28" s="98" t="s">
        <v>89</v>
      </c>
      <c r="H28" s="98" t="s">
        <v>89</v>
      </c>
      <c r="I28" s="98" t="s">
        <v>89</v>
      </c>
      <c r="J28" s="34">
        <f t="shared" si="0"/>
        <v>0.3714932163545499</v>
      </c>
      <c r="K28" s="34">
        <f t="shared" si="1"/>
        <v>3.6287272839230642</v>
      </c>
      <c r="L28" s="37"/>
    </row>
    <row r="29" spans="2:12" ht="12.95" customHeight="1" outlineLevel="1" x14ac:dyDescent="0.2">
      <c r="B29" s="116" t="s">
        <v>70</v>
      </c>
      <c r="C29" s="31">
        <f>150700881.74</f>
        <v>150700881.74000001</v>
      </c>
      <c r="D29" s="31">
        <f>58180560.49</f>
        <v>58180560.490000002</v>
      </c>
      <c r="E29" s="98" t="s">
        <v>89</v>
      </c>
      <c r="F29" s="98" t="s">
        <v>89</v>
      </c>
      <c r="G29" s="98" t="s">
        <v>89</v>
      </c>
      <c r="H29" s="98" t="s">
        <v>89</v>
      </c>
      <c r="I29" s="98" t="s">
        <v>89</v>
      </c>
      <c r="J29" s="35">
        <f t="shared" si="0"/>
        <v>0.31179455195677058</v>
      </c>
      <c r="K29" s="35">
        <f t="shared" si="1"/>
        <v>38.606649024374846</v>
      </c>
      <c r="L29" s="21"/>
    </row>
    <row r="30" spans="2:12" ht="12.95" customHeight="1" outlineLevel="1" x14ac:dyDescent="0.2">
      <c r="B30" s="118" t="s">
        <v>54</v>
      </c>
      <c r="C30" s="36">
        <f>72963725.92</f>
        <v>72963725.920000002</v>
      </c>
      <c r="D30" s="36">
        <f>16338692.01</f>
        <v>16338692.01</v>
      </c>
      <c r="E30" s="98" t="s">
        <v>89</v>
      </c>
      <c r="F30" s="98" t="s">
        <v>89</v>
      </c>
      <c r="G30" s="98" t="s">
        <v>89</v>
      </c>
      <c r="H30" s="98" t="s">
        <v>89</v>
      </c>
      <c r="I30" s="98" t="s">
        <v>89</v>
      </c>
      <c r="J30" s="34">
        <f t="shared" si="0"/>
        <v>8.7560434480400393E-2</v>
      </c>
      <c r="K30" s="34">
        <f t="shared" si="1"/>
        <v>22.392897023809223</v>
      </c>
      <c r="L30" s="21"/>
    </row>
    <row r="31" spans="2:12" ht="12.95" customHeight="1" outlineLevel="1" x14ac:dyDescent="0.2">
      <c r="B31" s="116" t="s">
        <v>71</v>
      </c>
      <c r="C31" s="59">
        <f>1405320971.69</f>
        <v>1405320971.6900001</v>
      </c>
      <c r="D31" s="59">
        <f>434839105.41</f>
        <v>434839105.41000003</v>
      </c>
      <c r="E31" s="98" t="s">
        <v>89</v>
      </c>
      <c r="F31" s="98" t="s">
        <v>89</v>
      </c>
      <c r="G31" s="98" t="s">
        <v>89</v>
      </c>
      <c r="H31" s="98" t="s">
        <v>89</v>
      </c>
      <c r="I31" s="98" t="s">
        <v>89</v>
      </c>
      <c r="J31" s="60">
        <f t="shared" si="0"/>
        <v>2.3303395997344727</v>
      </c>
      <c r="K31" s="60">
        <f t="shared" si="1"/>
        <v>30.942333756470919</v>
      </c>
      <c r="L31" s="21"/>
    </row>
    <row r="32" spans="2:12" ht="12.95" customHeight="1" outlineLevel="1" x14ac:dyDescent="0.2">
      <c r="B32" s="118" t="s">
        <v>68</v>
      </c>
      <c r="C32" s="36">
        <f>839157057.54</f>
        <v>839157057.53999996</v>
      </c>
      <c r="D32" s="36">
        <f>161231833.9</f>
        <v>161231833.90000001</v>
      </c>
      <c r="E32" s="98" t="s">
        <v>89</v>
      </c>
      <c r="F32" s="98" t="s">
        <v>89</v>
      </c>
      <c r="G32" s="98" t="s">
        <v>89</v>
      </c>
      <c r="H32" s="98" t="s">
        <v>89</v>
      </c>
      <c r="I32" s="98" t="s">
        <v>89</v>
      </c>
      <c r="J32" s="34">
        <f t="shared" si="0"/>
        <v>0.86405505530768312</v>
      </c>
      <c r="K32" s="34">
        <f t="shared" si="1"/>
        <v>19.213546790949152</v>
      </c>
      <c r="L32" s="21"/>
    </row>
    <row r="33" spans="1:26" s="5" customFormat="1" ht="26.85" customHeight="1" x14ac:dyDescent="0.2">
      <c r="B33" s="110" t="s">
        <v>44</v>
      </c>
      <c r="C33" s="31">
        <f>C34+C35+C36+C37</f>
        <v>14301960331</v>
      </c>
      <c r="D33" s="31">
        <f>D34+D35+D36+D37</f>
        <v>8304121943</v>
      </c>
      <c r="E33" s="98" t="s">
        <v>89</v>
      </c>
      <c r="F33" s="98" t="s">
        <v>89</v>
      </c>
      <c r="G33" s="98" t="s">
        <v>89</v>
      </c>
      <c r="H33" s="98" t="s">
        <v>89</v>
      </c>
      <c r="I33" s="98" t="s">
        <v>89</v>
      </c>
      <c r="J33" s="32">
        <f t="shared" si="0"/>
        <v>44.502492908384696</v>
      </c>
      <c r="K33" s="32">
        <f t="shared" si="1"/>
        <v>58.062823213126421</v>
      </c>
      <c r="L33" s="22"/>
    </row>
    <row r="34" spans="1:26" ht="12.95" customHeight="1" outlineLevel="1" x14ac:dyDescent="0.2">
      <c r="B34" s="112" t="s">
        <v>31</v>
      </c>
      <c r="C34" s="33">
        <f>10581948606</f>
        <v>10581948606</v>
      </c>
      <c r="D34" s="33">
        <f>6463406581</f>
        <v>6463406581</v>
      </c>
      <c r="E34" s="98" t="s">
        <v>89</v>
      </c>
      <c r="F34" s="98" t="s">
        <v>89</v>
      </c>
      <c r="G34" s="98" t="s">
        <v>89</v>
      </c>
      <c r="H34" s="98" t="s">
        <v>89</v>
      </c>
      <c r="I34" s="98" t="s">
        <v>89</v>
      </c>
      <c r="J34" s="34">
        <f t="shared" si="0"/>
        <v>34.637943362263016</v>
      </c>
      <c r="K34" s="34">
        <f t="shared" si="1"/>
        <v>61.079549917065627</v>
      </c>
      <c r="L34" s="21"/>
    </row>
    <row r="35" spans="1:26" ht="12.95" customHeight="1" outlineLevel="1" x14ac:dyDescent="0.2">
      <c r="B35" s="112" t="s">
        <v>30</v>
      </c>
      <c r="C35" s="33">
        <f>910657907</f>
        <v>910657907</v>
      </c>
      <c r="D35" s="33">
        <f>455329002</f>
        <v>455329002</v>
      </c>
      <c r="E35" s="98" t="s">
        <v>89</v>
      </c>
      <c r="F35" s="98" t="s">
        <v>89</v>
      </c>
      <c r="G35" s="98" t="s">
        <v>89</v>
      </c>
      <c r="H35" s="98" t="s">
        <v>89</v>
      </c>
      <c r="I35" s="98" t="s">
        <v>89</v>
      </c>
      <c r="J35" s="34">
        <f t="shared" si="0"/>
        <v>2.4401466911944745</v>
      </c>
      <c r="K35" s="34">
        <f t="shared" si="1"/>
        <v>50.000005325819899</v>
      </c>
      <c r="L35" s="21"/>
    </row>
    <row r="36" spans="1:26" ht="12.95" customHeight="1" outlineLevel="1" x14ac:dyDescent="0.2">
      <c r="B36" s="112" t="s">
        <v>32</v>
      </c>
      <c r="C36" s="33">
        <f>2676919627</f>
        <v>2676919627</v>
      </c>
      <c r="D36" s="33">
        <f>1338459906</f>
        <v>1338459906</v>
      </c>
      <c r="E36" s="98" t="s">
        <v>89</v>
      </c>
      <c r="F36" s="98" t="s">
        <v>89</v>
      </c>
      <c r="G36" s="98" t="s">
        <v>89</v>
      </c>
      <c r="H36" s="98" t="s">
        <v>89</v>
      </c>
      <c r="I36" s="98" t="s">
        <v>89</v>
      </c>
      <c r="J36" s="34">
        <f t="shared" si="0"/>
        <v>7.172920012950037</v>
      </c>
      <c r="K36" s="34">
        <f t="shared" si="1"/>
        <v>50.000003455464224</v>
      </c>
      <c r="L36" s="21"/>
    </row>
    <row r="37" spans="1:26" s="5" customFormat="1" ht="12.95" customHeight="1" outlineLevel="1" x14ac:dyDescent="0.2">
      <c r="B37" s="112" t="s">
        <v>29</v>
      </c>
      <c r="C37" s="33">
        <f>132434191</f>
        <v>132434191</v>
      </c>
      <c r="D37" s="33">
        <f>46926454</f>
        <v>46926454</v>
      </c>
      <c r="E37" s="98" t="s">
        <v>89</v>
      </c>
      <c r="F37" s="98" t="s">
        <v>89</v>
      </c>
      <c r="G37" s="98" t="s">
        <v>89</v>
      </c>
      <c r="H37" s="98" t="s">
        <v>89</v>
      </c>
      <c r="I37" s="98" t="s">
        <v>89</v>
      </c>
      <c r="J37" s="34">
        <f t="shared" si="0"/>
        <v>0.25148284197717263</v>
      </c>
      <c r="K37" s="34">
        <f t="shared" si="1"/>
        <v>35.433790659090448</v>
      </c>
      <c r="L37" s="22"/>
    </row>
    <row r="38" spans="1:26" s="5" customFormat="1" ht="12.95" customHeight="1" x14ac:dyDescent="0.2">
      <c r="B38" s="109" t="s">
        <v>5</v>
      </c>
      <c r="C38" s="59">
        <f>+C5</f>
        <v>37770935353.540001</v>
      </c>
      <c r="D38" s="59">
        <f>+D5</f>
        <v>18659902851.049999</v>
      </c>
      <c r="E38" s="98" t="s">
        <v>89</v>
      </c>
      <c r="F38" s="98" t="s">
        <v>89</v>
      </c>
      <c r="G38" s="98" t="s">
        <v>89</v>
      </c>
      <c r="H38" s="98" t="s">
        <v>89</v>
      </c>
      <c r="I38" s="98" t="s">
        <v>89</v>
      </c>
      <c r="J38" s="60">
        <f>IF($D$5=0,"",100*$D38/$D$38)</f>
        <v>100</v>
      </c>
      <c r="K38" s="60">
        <f t="shared" si="1"/>
        <v>49.402808472682267</v>
      </c>
    </row>
    <row r="39" spans="1:26" s="5" customFormat="1" ht="12.95" customHeight="1" x14ac:dyDescent="0.2">
      <c r="B39" s="119" t="s">
        <v>56</v>
      </c>
      <c r="C39" s="33">
        <f>6278740950.85</f>
        <v>6278740950.8500004</v>
      </c>
      <c r="D39" s="33">
        <f>997813715.23</f>
        <v>997813715.23000002</v>
      </c>
      <c r="E39" s="98" t="s">
        <v>89</v>
      </c>
      <c r="F39" s="98" t="s">
        <v>89</v>
      </c>
      <c r="G39" s="98" t="s">
        <v>89</v>
      </c>
      <c r="H39" s="98" t="s">
        <v>89</v>
      </c>
      <c r="I39" s="98" t="s">
        <v>89</v>
      </c>
      <c r="J39" s="34">
        <f>IF($D$5=0,"",100*$D39/$D$38)</f>
        <v>5.3473682215545546</v>
      </c>
      <c r="K39" s="34">
        <f t="shared" si="1"/>
        <v>15.891939531203599</v>
      </c>
    </row>
    <row r="40" spans="1:26" s="5" customFormat="1" ht="12.95" customHeight="1" x14ac:dyDescent="0.2">
      <c r="A40" s="2"/>
      <c r="B40" s="119" t="s">
        <v>57</v>
      </c>
      <c r="C40" s="33">
        <f>C38-C39</f>
        <v>31492194402.690002</v>
      </c>
      <c r="D40" s="33">
        <f>D38-D39</f>
        <v>17662089135.82</v>
      </c>
      <c r="E40" s="98" t="s">
        <v>89</v>
      </c>
      <c r="F40" s="98" t="s">
        <v>89</v>
      </c>
      <c r="G40" s="98" t="s">
        <v>89</v>
      </c>
      <c r="H40" s="98" t="s">
        <v>89</v>
      </c>
      <c r="I40" s="98" t="s">
        <v>89</v>
      </c>
      <c r="J40" s="34">
        <f>IF($D$5=0,"",100*$D40/$D$38)</f>
        <v>94.652631778445453</v>
      </c>
      <c r="K40" s="34">
        <f t="shared" si="1"/>
        <v>56.084021678436415</v>
      </c>
      <c r="M40" s="15"/>
      <c r="N40" s="15"/>
      <c r="O40" s="9"/>
      <c r="P40" s="9"/>
      <c r="Q40" s="3"/>
    </row>
    <row r="41" spans="1:26" ht="20.100000000000001" customHeight="1" x14ac:dyDescent="0.2">
      <c r="B41" s="120" t="str">
        <f>CONCATENATE("Informacja z wykonania budżetów powiatów za ",$D$96," ",$C$97," rok     ",$C$99,"")</f>
        <v xml:space="preserve">Informacja z wykonania budżetów powiatów za II Kwartały 2022 rok     </v>
      </c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</row>
    <row r="42" spans="1:26" s="5" customFormat="1" ht="9" customHeight="1" x14ac:dyDescent="0.2">
      <c r="B42" s="6"/>
      <c r="C42" s="7"/>
      <c r="D42" s="8"/>
      <c r="E42" s="8"/>
      <c r="F42" s="4"/>
      <c r="G42" s="4"/>
      <c r="H42" s="4"/>
      <c r="I42" s="4"/>
      <c r="J42" s="4"/>
      <c r="K42" s="9"/>
      <c r="L42" s="9"/>
      <c r="M42" s="3"/>
    </row>
    <row r="43" spans="1:26" ht="29.25" customHeight="1" x14ac:dyDescent="0.2">
      <c r="B43" s="126" t="s">
        <v>0</v>
      </c>
      <c r="C43" s="127" t="s">
        <v>38</v>
      </c>
      <c r="D43" s="127" t="s">
        <v>40</v>
      </c>
      <c r="E43" s="127" t="s">
        <v>39</v>
      </c>
      <c r="F43" s="127" t="s">
        <v>12</v>
      </c>
      <c r="G43" s="127"/>
      <c r="H43" s="127"/>
      <c r="I43" s="128" t="s">
        <v>69</v>
      </c>
      <c r="J43" s="127" t="s">
        <v>2</v>
      </c>
      <c r="K43" s="159" t="s">
        <v>18</v>
      </c>
      <c r="M43" s="10"/>
      <c r="N43" s="74"/>
      <c r="O43" s="78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8" customHeight="1" x14ac:dyDescent="0.2">
      <c r="B44" s="126"/>
      <c r="C44" s="127"/>
      <c r="D44" s="127"/>
      <c r="E44" s="153"/>
      <c r="F44" s="154" t="s">
        <v>41</v>
      </c>
      <c r="G44" s="152" t="s">
        <v>25</v>
      </c>
      <c r="H44" s="153"/>
      <c r="I44" s="129"/>
      <c r="J44" s="127"/>
      <c r="K44" s="159"/>
      <c r="L44" s="11"/>
      <c r="M44" s="12"/>
      <c r="N44" s="75"/>
      <c r="O44" s="79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57" customHeight="1" x14ac:dyDescent="0.2">
      <c r="B45" s="126"/>
      <c r="C45" s="127"/>
      <c r="D45" s="127"/>
      <c r="E45" s="153"/>
      <c r="F45" s="153"/>
      <c r="G45" s="17" t="s">
        <v>36</v>
      </c>
      <c r="H45" s="17" t="s">
        <v>37</v>
      </c>
      <c r="I45" s="130"/>
      <c r="J45" s="127"/>
      <c r="K45" s="159"/>
      <c r="L45" s="11"/>
      <c r="M45" s="10"/>
      <c r="N45" s="75"/>
      <c r="O45" s="77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3.5" customHeight="1" x14ac:dyDescent="0.2">
      <c r="B46" s="126"/>
      <c r="C46" s="131" t="s">
        <v>61</v>
      </c>
      <c r="D46" s="132"/>
      <c r="E46" s="132"/>
      <c r="F46" s="132"/>
      <c r="G46" s="132"/>
      <c r="H46" s="132"/>
      <c r="I46" s="133"/>
      <c r="J46" s="134" t="s">
        <v>4</v>
      </c>
      <c r="K46" s="134"/>
      <c r="N46" s="10"/>
      <c r="O46" s="79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customHeight="1" x14ac:dyDescent="0.2">
      <c r="B47" s="16">
        <v>1</v>
      </c>
      <c r="C47" s="18">
        <v>2</v>
      </c>
      <c r="D47" s="18">
        <v>3</v>
      </c>
      <c r="E47" s="18">
        <v>4</v>
      </c>
      <c r="F47" s="16">
        <v>5</v>
      </c>
      <c r="G47" s="16">
        <v>6</v>
      </c>
      <c r="H47" s="18">
        <v>7</v>
      </c>
      <c r="I47" s="18">
        <v>8</v>
      </c>
      <c r="J47" s="16">
        <v>9</v>
      </c>
      <c r="K47" s="18">
        <v>10</v>
      </c>
      <c r="M47" s="10"/>
      <c r="N47" s="10"/>
      <c r="O47" s="77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6.85" customHeight="1" x14ac:dyDescent="0.2">
      <c r="B48" s="104" t="s">
        <v>45</v>
      </c>
      <c r="C48" s="61">
        <f>43187773000.28</f>
        <v>43187773000.279999</v>
      </c>
      <c r="D48" s="73">
        <f>16888839731.25</f>
        <v>16888839731.25</v>
      </c>
      <c r="E48" s="73">
        <f>30653779481.16</f>
        <v>30653779481.16</v>
      </c>
      <c r="F48" s="61">
        <f>916625675.1</f>
        <v>916625675.10000002</v>
      </c>
      <c r="G48" s="61">
        <f>204490.11</f>
        <v>204490.11</v>
      </c>
      <c r="H48" s="61">
        <f>8386.34</f>
        <v>8386.34</v>
      </c>
      <c r="I48" s="81">
        <f>0</f>
        <v>0</v>
      </c>
      <c r="J48" s="51">
        <f>IF($D$48=0,"",100*$D48/$D$48)</f>
        <v>100</v>
      </c>
      <c r="K48" s="51">
        <f>IF(C48=0,"",100*D48/C48)</f>
        <v>39.10560456808112</v>
      </c>
      <c r="O48" s="76"/>
    </row>
    <row r="49" spans="2:15" ht="12.95" customHeight="1" x14ac:dyDescent="0.2">
      <c r="B49" s="19" t="s">
        <v>14</v>
      </c>
      <c r="C49" s="39">
        <f>11237588354.82</f>
        <v>11237588354.82</v>
      </c>
      <c r="D49" s="39">
        <f>1489015825.26</f>
        <v>1489015825.26</v>
      </c>
      <c r="E49" s="39">
        <f>5555243769.1</f>
        <v>5555243769.1000004</v>
      </c>
      <c r="F49" s="39">
        <f>231392835.86</f>
        <v>231392835.86000001</v>
      </c>
      <c r="G49" s="39">
        <f>46.23</f>
        <v>46.23</v>
      </c>
      <c r="H49" s="39">
        <f>0</f>
        <v>0</v>
      </c>
      <c r="I49" s="82">
        <f>0</f>
        <v>0</v>
      </c>
      <c r="J49" s="51">
        <f t="shared" ref="J49:J57" si="2">IF($D$48=0,"",100*$D49/$D$48)</f>
        <v>8.8165667325554811</v>
      </c>
      <c r="K49" s="51">
        <f t="shared" ref="K49:K57" si="3">IF(C49=0,"",100*D49/C49)</f>
        <v>13.250314731641998</v>
      </c>
      <c r="O49" s="77"/>
    </row>
    <row r="50" spans="2:15" ht="12.95" customHeight="1" outlineLevel="1" x14ac:dyDescent="0.2">
      <c r="B50" s="20" t="s">
        <v>13</v>
      </c>
      <c r="C50" s="36">
        <f>11172287161.18</f>
        <v>11172287161.18</v>
      </c>
      <c r="D50" s="36">
        <f>1448589862.7</f>
        <v>1448589862.7</v>
      </c>
      <c r="E50" s="36">
        <f>5514172806.54</f>
        <v>5514172806.54</v>
      </c>
      <c r="F50" s="36">
        <f>231392835.86</f>
        <v>231392835.86000001</v>
      </c>
      <c r="G50" s="36">
        <f>46.23</f>
        <v>46.23</v>
      </c>
      <c r="H50" s="36">
        <f>0</f>
        <v>0</v>
      </c>
      <c r="I50" s="83">
        <f>0</f>
        <v>0</v>
      </c>
      <c r="J50" s="51">
        <f t="shared" si="2"/>
        <v>8.5772017838479719</v>
      </c>
      <c r="K50" s="51">
        <f t="shared" si="3"/>
        <v>12.965920422573546</v>
      </c>
      <c r="O50" s="76"/>
    </row>
    <row r="51" spans="2:15" ht="26.85" customHeight="1" x14ac:dyDescent="0.2">
      <c r="B51" s="19" t="s">
        <v>46</v>
      </c>
      <c r="C51" s="39">
        <f t="shared" ref="C51:I51" si="4">C48-C49</f>
        <v>31950184645.459999</v>
      </c>
      <c r="D51" s="39">
        <f>D48-D49</f>
        <v>15399823905.99</v>
      </c>
      <c r="E51" s="39">
        <f>E48-E49</f>
        <v>25098535712.059998</v>
      </c>
      <c r="F51" s="39">
        <f t="shared" si="4"/>
        <v>685232839.24000001</v>
      </c>
      <c r="G51" s="39">
        <f t="shared" si="4"/>
        <v>204443.87999999998</v>
      </c>
      <c r="H51" s="39">
        <f t="shared" si="4"/>
        <v>8386.34</v>
      </c>
      <c r="I51" s="82">
        <f t="shared" si="4"/>
        <v>0</v>
      </c>
      <c r="J51" s="51">
        <f t="shared" si="2"/>
        <v>91.183433267444514</v>
      </c>
      <c r="K51" s="51">
        <f t="shared" si="3"/>
        <v>48.199483279600564</v>
      </c>
      <c r="O51" s="76"/>
    </row>
    <row r="52" spans="2:15" ht="22.5" outlineLevel="1" x14ac:dyDescent="0.2">
      <c r="B52" s="20" t="s">
        <v>88</v>
      </c>
      <c r="C52" s="36">
        <f>19282977158.46</f>
        <v>19282977158.459999</v>
      </c>
      <c r="D52" s="36">
        <f>9757250087.15</f>
        <v>9757250087.1499996</v>
      </c>
      <c r="E52" s="36">
        <f>16922919105.11</f>
        <v>16922919105.110001</v>
      </c>
      <c r="F52" s="36">
        <f>372567285.95</f>
        <v>372567285.94999999</v>
      </c>
      <c r="G52" s="36">
        <f>1971.94</f>
        <v>1971.94</v>
      </c>
      <c r="H52" s="36">
        <f>3037.86</f>
        <v>3037.86</v>
      </c>
      <c r="I52" s="83">
        <f>0</f>
        <v>0</v>
      </c>
      <c r="J52" s="51">
        <f t="shared" si="2"/>
        <v>57.773359463503141</v>
      </c>
      <c r="K52" s="51">
        <f t="shared" si="3"/>
        <v>50.600330057795105</v>
      </c>
      <c r="O52" s="77"/>
    </row>
    <row r="53" spans="2:15" ht="12.95" customHeight="1" outlineLevel="1" x14ac:dyDescent="0.2">
      <c r="B53" s="23" t="s">
        <v>35</v>
      </c>
      <c r="C53" s="62">
        <f>2437455473.07</f>
        <v>2437455473.0700002</v>
      </c>
      <c r="D53" s="62">
        <f>1188658451.8</f>
        <v>1188658451.8</v>
      </c>
      <c r="E53" s="62">
        <f>1754644625.81</f>
        <v>1754644625.8099999</v>
      </c>
      <c r="F53" s="62">
        <f>2180056.87</f>
        <v>2180056.87</v>
      </c>
      <c r="G53" s="62">
        <f>5005</f>
        <v>5005</v>
      </c>
      <c r="H53" s="62">
        <f>0</f>
        <v>0</v>
      </c>
      <c r="I53" s="84">
        <f>0</f>
        <v>0</v>
      </c>
      <c r="J53" s="51">
        <f t="shared" si="2"/>
        <v>7.0381297396089586</v>
      </c>
      <c r="K53" s="51">
        <f t="shared" si="3"/>
        <v>48.766365783202289</v>
      </c>
    </row>
    <row r="54" spans="2:15" ht="12.95" customHeight="1" outlineLevel="1" x14ac:dyDescent="0.2">
      <c r="B54" s="23" t="s">
        <v>34</v>
      </c>
      <c r="C54" s="33">
        <f>267516445.16</f>
        <v>267516445.16</v>
      </c>
      <c r="D54" s="33">
        <f>112538512.85</f>
        <v>112538512.84999999</v>
      </c>
      <c r="E54" s="33">
        <f>157867041.16</f>
        <v>157867041.16</v>
      </c>
      <c r="F54" s="33">
        <f>13110763.49</f>
        <v>13110763.49</v>
      </c>
      <c r="G54" s="33">
        <f>0</f>
        <v>0</v>
      </c>
      <c r="H54" s="33">
        <f>0</f>
        <v>0</v>
      </c>
      <c r="I54" s="85">
        <f>0</f>
        <v>0</v>
      </c>
      <c r="J54" s="51">
        <f t="shared" si="2"/>
        <v>0.66634839717121674</v>
      </c>
      <c r="K54" s="51">
        <f t="shared" si="3"/>
        <v>42.06788587620899</v>
      </c>
    </row>
    <row r="55" spans="2:15" ht="22.5" customHeight="1" outlineLevel="1" x14ac:dyDescent="0.2">
      <c r="B55" s="23" t="s">
        <v>52</v>
      </c>
      <c r="C55" s="62">
        <f>52217098.3</f>
        <v>52217098.299999997</v>
      </c>
      <c r="D55" s="62">
        <f>1390654.26</f>
        <v>1390654.26</v>
      </c>
      <c r="E55" s="62">
        <f>5319466.55</f>
        <v>5319466.55</v>
      </c>
      <c r="F55" s="62">
        <f>20400</f>
        <v>20400</v>
      </c>
      <c r="G55" s="62">
        <f>0</f>
        <v>0</v>
      </c>
      <c r="H55" s="62">
        <f>0</f>
        <v>0</v>
      </c>
      <c r="I55" s="84">
        <f>0</f>
        <v>0</v>
      </c>
      <c r="J55" s="51">
        <f t="shared" si="2"/>
        <v>8.2341610325475743E-3</v>
      </c>
      <c r="K55" s="51">
        <f t="shared" si="3"/>
        <v>2.6632162745052419</v>
      </c>
    </row>
    <row r="56" spans="2:15" ht="12.95" customHeight="1" outlineLevel="1" x14ac:dyDescent="0.2">
      <c r="B56" s="23" t="s">
        <v>53</v>
      </c>
      <c r="C56" s="62">
        <f>1188393598.97</f>
        <v>1188393598.97</v>
      </c>
      <c r="D56" s="62">
        <f>579210246.81</f>
        <v>579210246.80999994</v>
      </c>
      <c r="E56" s="62">
        <f>832824654.15</f>
        <v>832824654.14999998</v>
      </c>
      <c r="F56" s="62">
        <f>11248146.37</f>
        <v>11248146.369999999</v>
      </c>
      <c r="G56" s="62">
        <f>0</f>
        <v>0</v>
      </c>
      <c r="H56" s="62">
        <f>0</f>
        <v>0</v>
      </c>
      <c r="I56" s="86">
        <f>0</f>
        <v>0</v>
      </c>
      <c r="J56" s="51">
        <f t="shared" si="2"/>
        <v>3.4295443383139417</v>
      </c>
      <c r="K56" s="51">
        <f t="shared" si="3"/>
        <v>48.738923477205766</v>
      </c>
    </row>
    <row r="57" spans="2:15" ht="12.95" customHeight="1" outlineLevel="1" x14ac:dyDescent="0.2">
      <c r="B57" s="20" t="s">
        <v>33</v>
      </c>
      <c r="C57" s="36">
        <f t="shared" ref="C57:I57" si="5">C51-C52-C53-C54-C55-C56</f>
        <v>8721624871.5000019</v>
      </c>
      <c r="D57" s="36">
        <f>D51-D52-D53-D54-D55-D56</f>
        <v>3760775953.1199994</v>
      </c>
      <c r="E57" s="87">
        <f>E51-E52-E53-E54-E55-E56</f>
        <v>5424960819.2799978</v>
      </c>
      <c r="F57" s="87">
        <f t="shared" si="5"/>
        <v>286106186.56</v>
      </c>
      <c r="G57" s="87">
        <f t="shared" si="5"/>
        <v>197466.93999999997</v>
      </c>
      <c r="H57" s="87">
        <f t="shared" si="5"/>
        <v>5348.48</v>
      </c>
      <c r="I57" s="88">
        <f t="shared" si="5"/>
        <v>0</v>
      </c>
      <c r="J57" s="51">
        <f t="shared" si="2"/>
        <v>22.267817167814712</v>
      </c>
      <c r="K57" s="51">
        <f t="shared" si="3"/>
        <v>43.120129660807073</v>
      </c>
    </row>
    <row r="58" spans="2:15" ht="12.95" customHeight="1" x14ac:dyDescent="0.2">
      <c r="B58" s="104" t="s">
        <v>15</v>
      </c>
      <c r="C58" s="65">
        <f>C5-C48</f>
        <v>-5416837646.7399979</v>
      </c>
      <c r="D58" s="65">
        <f>D5-D48</f>
        <v>1771063119.7999992</v>
      </c>
      <c r="E58" s="93"/>
      <c r="F58" s="94"/>
      <c r="G58" s="94"/>
      <c r="H58" s="94"/>
      <c r="I58" s="158"/>
      <c r="J58" s="158"/>
      <c r="K58" s="95"/>
      <c r="L58" s="89"/>
      <c r="M58" s="13"/>
    </row>
    <row r="59" spans="2:15" ht="39" customHeight="1" x14ac:dyDescent="0.2">
      <c r="B59" s="105" t="s">
        <v>98</v>
      </c>
      <c r="C59" s="66">
        <f>C40-C51</f>
        <v>-457990242.76999664</v>
      </c>
      <c r="D59" s="66">
        <f>D40-D51</f>
        <v>2262265229.8299999</v>
      </c>
      <c r="E59" s="92"/>
      <c r="F59" s="90"/>
      <c r="G59" s="90"/>
      <c r="H59" s="90"/>
      <c r="I59" s="90"/>
      <c r="J59" s="90"/>
      <c r="K59" s="91"/>
      <c r="L59" s="91"/>
      <c r="M59" s="10"/>
    </row>
    <row r="60" spans="2:15" ht="12" customHeight="1" thickBot="1" x14ac:dyDescent="0.25">
      <c r="B60" s="38"/>
      <c r="C60" s="43"/>
      <c r="D60" s="43"/>
      <c r="E60" s="43"/>
      <c r="F60" s="44"/>
      <c r="G60" s="44"/>
      <c r="H60" s="44"/>
      <c r="I60" s="44"/>
      <c r="J60" s="41"/>
      <c r="K60" s="41"/>
      <c r="L60" s="42"/>
      <c r="M60" s="10"/>
    </row>
    <row r="61" spans="2:15" ht="12" customHeight="1" thickBot="1" x14ac:dyDescent="0.25">
      <c r="B61" s="24" t="s">
        <v>58</v>
      </c>
      <c r="C61" s="43"/>
      <c r="D61" s="43"/>
      <c r="E61" s="43"/>
      <c r="F61" s="44"/>
      <c r="G61" s="44"/>
      <c r="H61" s="44"/>
      <c r="I61" s="44"/>
      <c r="J61" s="41"/>
      <c r="K61" s="41"/>
      <c r="L61" s="42"/>
      <c r="M61" s="10"/>
    </row>
    <row r="62" spans="2:15" ht="26.85" customHeight="1" thickBot="1" x14ac:dyDescent="0.25">
      <c r="B62" s="106" t="s">
        <v>97</v>
      </c>
      <c r="C62" s="63">
        <f>2099155929.19</f>
        <v>2099155929.1900001</v>
      </c>
      <c r="D62" s="63">
        <f>556462783.249999</f>
        <v>556462783.24999905</v>
      </c>
      <c r="E62" s="63">
        <f>1057821041.68</f>
        <v>1057821041.6799999</v>
      </c>
      <c r="F62" s="63">
        <f>38286310.64</f>
        <v>38286310.640000001</v>
      </c>
      <c r="G62" s="63">
        <f>0</f>
        <v>0</v>
      </c>
      <c r="H62" s="63">
        <f>0</f>
        <v>0</v>
      </c>
      <c r="I62" s="63">
        <f>0</f>
        <v>0</v>
      </c>
      <c r="J62" s="51">
        <f>IF($D$62=0,"",100*$D62/$D$62)</f>
        <v>100</v>
      </c>
      <c r="K62" s="64">
        <f>IF(C62=0,"",100*D62/C62)</f>
        <v>26.508882713859233</v>
      </c>
      <c r="L62" s="10"/>
    </row>
    <row r="63" spans="2:15" ht="12.95" customHeight="1" thickBot="1" x14ac:dyDescent="0.25">
      <c r="B63" s="108" t="s">
        <v>59</v>
      </c>
      <c r="C63" s="62">
        <f>1164896291.28</f>
        <v>1164896291.28</v>
      </c>
      <c r="D63" s="62">
        <f>221281272.76</f>
        <v>221281272.75999999</v>
      </c>
      <c r="E63" s="62">
        <f>555216155.4</f>
        <v>555216155.39999998</v>
      </c>
      <c r="F63" s="62">
        <f>30274957.41</f>
        <v>30274957.41</v>
      </c>
      <c r="G63" s="62">
        <f>0</f>
        <v>0</v>
      </c>
      <c r="H63" s="62">
        <f>0</f>
        <v>0</v>
      </c>
      <c r="I63" s="62">
        <f>0</f>
        <v>0</v>
      </c>
      <c r="J63" s="51">
        <f>IF($D$62=0,"",100*$D63/$D$62)</f>
        <v>39.76569133116422</v>
      </c>
      <c r="K63" s="64">
        <f>IF(C63=0,"",100*D63/C63)</f>
        <v>18.995791678317893</v>
      </c>
    </row>
    <row r="64" spans="2:15" ht="12.95" customHeight="1" thickBot="1" x14ac:dyDescent="0.25">
      <c r="B64" s="108" t="s">
        <v>60</v>
      </c>
      <c r="C64" s="62">
        <f>C62-C63</f>
        <v>934259637.91000009</v>
      </c>
      <c r="D64" s="62">
        <f t="shared" ref="D64:I64" si="6">D62-D63</f>
        <v>335181510.48999906</v>
      </c>
      <c r="E64" s="62">
        <f t="shared" si="6"/>
        <v>502604886.27999997</v>
      </c>
      <c r="F64" s="62">
        <f t="shared" si="6"/>
        <v>8011353.2300000004</v>
      </c>
      <c r="G64" s="62">
        <f t="shared" si="6"/>
        <v>0</v>
      </c>
      <c r="H64" s="62">
        <f t="shared" si="6"/>
        <v>0</v>
      </c>
      <c r="I64" s="62">
        <f t="shared" si="6"/>
        <v>0</v>
      </c>
      <c r="J64" s="51">
        <f>IF($D$62=0,"",100*$D64/$D$62)</f>
        <v>60.23430866883578</v>
      </c>
      <c r="K64" s="64">
        <f>IF(C64=0,"",100*D64/C64)</f>
        <v>35.876698177802268</v>
      </c>
    </row>
    <row r="65" spans="2:13" ht="20.100000000000001" customHeight="1" x14ac:dyDescent="0.2">
      <c r="B65" s="120" t="str">
        <f>CONCATENATE("Informacja z wykonania budżetów powiatów za ",$D$96," ",$C$97," rok     ",$C$99,"")</f>
        <v xml:space="preserve">Informacja z wykonania budżetów powiatów za II Kwartały 2022 rok     </v>
      </c>
      <c r="C65" s="120"/>
      <c r="D65" s="120"/>
      <c r="E65" s="120"/>
      <c r="F65" s="120"/>
      <c r="G65" s="120"/>
      <c r="H65" s="120"/>
      <c r="I65" s="120"/>
      <c r="J65" s="120"/>
      <c r="K65" s="120"/>
      <c r="L65" s="120"/>
      <c r="M65" s="120"/>
    </row>
    <row r="66" spans="2:13" x14ac:dyDescent="0.2">
      <c r="B66" s="29" t="s">
        <v>16</v>
      </c>
      <c r="C66" s="96" t="s">
        <v>17</v>
      </c>
      <c r="D66" s="72" t="s">
        <v>1</v>
      </c>
      <c r="E66" s="143" t="s">
        <v>89</v>
      </c>
      <c r="F66" s="144"/>
      <c r="G66" s="144"/>
      <c r="H66" s="144"/>
      <c r="I66" s="145"/>
      <c r="J66" s="18" t="s">
        <v>22</v>
      </c>
      <c r="K66" s="18" t="s">
        <v>23</v>
      </c>
    </row>
    <row r="67" spans="2:13" x14ac:dyDescent="0.2">
      <c r="B67" s="29"/>
      <c r="C67" s="154" t="s">
        <v>61</v>
      </c>
      <c r="D67" s="155"/>
      <c r="E67" s="146"/>
      <c r="F67" s="147"/>
      <c r="G67" s="147"/>
      <c r="H67" s="147"/>
      <c r="I67" s="148"/>
      <c r="J67" s="156" t="s">
        <v>4</v>
      </c>
      <c r="K67" s="157"/>
    </row>
    <row r="68" spans="2:13" x14ac:dyDescent="0.2">
      <c r="B68" s="27">
        <v>1</v>
      </c>
      <c r="C68" s="30">
        <v>2</v>
      </c>
      <c r="D68" s="28">
        <v>3</v>
      </c>
      <c r="E68" s="149"/>
      <c r="F68" s="150"/>
      <c r="G68" s="150"/>
      <c r="H68" s="150"/>
      <c r="I68" s="151"/>
      <c r="J68" s="28">
        <v>4</v>
      </c>
      <c r="K68" s="28">
        <v>5</v>
      </c>
    </row>
    <row r="69" spans="2:13" ht="26.85" customHeight="1" x14ac:dyDescent="0.2">
      <c r="B69" s="107" t="s">
        <v>47</v>
      </c>
      <c r="C69" s="45">
        <f>6335789418.7</f>
        <v>6335789418.6999998</v>
      </c>
      <c r="D69" s="73">
        <f>6794548885.15</f>
        <v>6794548885.1499996</v>
      </c>
      <c r="E69" s="103" t="s">
        <v>89</v>
      </c>
      <c r="F69" s="103" t="s">
        <v>89</v>
      </c>
      <c r="G69" s="103" t="s">
        <v>89</v>
      </c>
      <c r="H69" s="103" t="s">
        <v>89</v>
      </c>
      <c r="I69" s="103" t="s">
        <v>89</v>
      </c>
      <c r="J69" s="46">
        <f>IF($D$69=0,"",100*$D69/$D$69)</f>
        <v>100</v>
      </c>
      <c r="K69" s="40">
        <f t="shared" ref="K69:K82" si="7">IF(C69=0,"",100*D69/C69)</f>
        <v>107.24076253380483</v>
      </c>
    </row>
    <row r="70" spans="2:13" ht="25.5" customHeight="1" x14ac:dyDescent="0.2">
      <c r="B70" s="122" t="s">
        <v>72</v>
      </c>
      <c r="C70" s="47">
        <f>1360481800.8</f>
        <v>1360481800.8</v>
      </c>
      <c r="D70" s="99">
        <f>9277794.18</f>
        <v>9277794.1799999997</v>
      </c>
      <c r="E70" s="103" t="s">
        <v>89</v>
      </c>
      <c r="F70" s="103" t="s">
        <v>89</v>
      </c>
      <c r="G70" s="103" t="s">
        <v>89</v>
      </c>
      <c r="H70" s="103" t="s">
        <v>89</v>
      </c>
      <c r="I70" s="103" t="s">
        <v>89</v>
      </c>
      <c r="J70" s="48">
        <f t="shared" ref="J70:J77" si="8">IF($D$69=0,"",100*$D70/$D$69)</f>
        <v>0.13654761098676207</v>
      </c>
      <c r="K70" s="49">
        <f t="shared" si="7"/>
        <v>0.68194915761051766</v>
      </c>
    </row>
    <row r="71" spans="2:13" ht="22.5" x14ac:dyDescent="0.2">
      <c r="B71" s="123" t="s">
        <v>73</v>
      </c>
      <c r="C71" s="67">
        <f>58786634</f>
        <v>58786634</v>
      </c>
      <c r="D71" s="57">
        <f>0</f>
        <v>0</v>
      </c>
      <c r="E71" s="103" t="s">
        <v>89</v>
      </c>
      <c r="F71" s="103" t="s">
        <v>89</v>
      </c>
      <c r="G71" s="103" t="s">
        <v>89</v>
      </c>
      <c r="H71" s="103" t="s">
        <v>89</v>
      </c>
      <c r="I71" s="103" t="s">
        <v>89</v>
      </c>
      <c r="J71" s="68">
        <f t="shared" si="8"/>
        <v>0</v>
      </c>
      <c r="K71" s="69">
        <f t="shared" si="7"/>
        <v>0</v>
      </c>
    </row>
    <row r="72" spans="2:13" ht="12.95" customHeight="1" x14ac:dyDescent="0.2">
      <c r="B72" s="121" t="s">
        <v>74</v>
      </c>
      <c r="C72" s="67">
        <f>37689304.93</f>
        <v>37689304.93</v>
      </c>
      <c r="D72" s="57">
        <f>3151795.04</f>
        <v>3151795.04</v>
      </c>
      <c r="E72" s="103" t="s">
        <v>89</v>
      </c>
      <c r="F72" s="103" t="s">
        <v>89</v>
      </c>
      <c r="G72" s="103" t="s">
        <v>89</v>
      </c>
      <c r="H72" s="103" t="s">
        <v>89</v>
      </c>
      <c r="I72" s="103" t="s">
        <v>89</v>
      </c>
      <c r="J72" s="68">
        <f t="shared" si="8"/>
        <v>4.6387112570320695E-2</v>
      </c>
      <c r="K72" s="69">
        <f t="shared" si="7"/>
        <v>8.3625714134389053</v>
      </c>
    </row>
    <row r="73" spans="2:13" ht="48.75" customHeight="1" x14ac:dyDescent="0.2">
      <c r="B73" s="121" t="s">
        <v>82</v>
      </c>
      <c r="C73" s="67">
        <f>928644974.62</f>
        <v>928644974.62</v>
      </c>
      <c r="D73" s="57">
        <f>1821330763.12</f>
        <v>1821330763.1199999</v>
      </c>
      <c r="E73" s="103" t="s">
        <v>89</v>
      </c>
      <c r="F73" s="103" t="s">
        <v>89</v>
      </c>
      <c r="G73" s="103" t="s">
        <v>89</v>
      </c>
      <c r="H73" s="103" t="s">
        <v>89</v>
      </c>
      <c r="I73" s="103" t="s">
        <v>89</v>
      </c>
      <c r="J73" s="68">
        <f t="shared" si="8"/>
        <v>26.805764354726421</v>
      </c>
      <c r="K73" s="69">
        <f t="shared" si="7"/>
        <v>196.1277789572151</v>
      </c>
    </row>
    <row r="74" spans="2:13" ht="35.25" customHeight="1" x14ac:dyDescent="0.2">
      <c r="B74" s="121" t="s">
        <v>83</v>
      </c>
      <c r="C74" s="67">
        <f>1777841073.18</f>
        <v>1777841073.1800001</v>
      </c>
      <c r="D74" s="57">
        <f>1905713939.67</f>
        <v>1905713939.6700001</v>
      </c>
      <c r="E74" s="103" t="s">
        <v>89</v>
      </c>
      <c r="F74" s="103" t="s">
        <v>89</v>
      </c>
      <c r="G74" s="103" t="s">
        <v>89</v>
      </c>
      <c r="H74" s="103" t="s">
        <v>89</v>
      </c>
      <c r="I74" s="103" t="s">
        <v>89</v>
      </c>
      <c r="J74" s="68">
        <f t="shared" si="8"/>
        <v>28.047688991318935</v>
      </c>
      <c r="K74" s="69">
        <f t="shared" si="7"/>
        <v>107.19259265741204</v>
      </c>
    </row>
    <row r="75" spans="2:13" ht="12.95" customHeight="1" x14ac:dyDescent="0.2">
      <c r="B75" s="121" t="s">
        <v>75</v>
      </c>
      <c r="C75" s="67">
        <f>0</f>
        <v>0</v>
      </c>
      <c r="D75" s="57">
        <f>0</f>
        <v>0</v>
      </c>
      <c r="E75" s="103" t="s">
        <v>89</v>
      </c>
      <c r="F75" s="103" t="s">
        <v>89</v>
      </c>
      <c r="G75" s="103" t="s">
        <v>89</v>
      </c>
      <c r="H75" s="103" t="s">
        <v>89</v>
      </c>
      <c r="I75" s="103" t="s">
        <v>89</v>
      </c>
      <c r="J75" s="68">
        <f t="shared" si="8"/>
        <v>0</v>
      </c>
      <c r="K75" s="69" t="str">
        <f t="shared" si="7"/>
        <v/>
      </c>
    </row>
    <row r="76" spans="2:13" ht="33.75" x14ac:dyDescent="0.2">
      <c r="B76" s="121" t="s">
        <v>76</v>
      </c>
      <c r="C76" s="67">
        <f>2224412265.17</f>
        <v>2224412265.1700001</v>
      </c>
      <c r="D76" s="57">
        <f>3054352010.09</f>
        <v>3054352010.0900002</v>
      </c>
      <c r="E76" s="103" t="s">
        <v>89</v>
      </c>
      <c r="F76" s="103" t="s">
        <v>89</v>
      </c>
      <c r="G76" s="103" t="s">
        <v>89</v>
      </c>
      <c r="H76" s="103" t="s">
        <v>89</v>
      </c>
      <c r="I76" s="103" t="s">
        <v>89</v>
      </c>
      <c r="J76" s="68">
        <f t="shared" si="8"/>
        <v>44.95297718389395</v>
      </c>
      <c r="K76" s="69">
        <f t="shared" si="7"/>
        <v>137.31051828454883</v>
      </c>
    </row>
    <row r="77" spans="2:13" ht="12.95" customHeight="1" x14ac:dyDescent="0.2">
      <c r="B77" s="121" t="s">
        <v>63</v>
      </c>
      <c r="C77" s="67">
        <f>6720000</f>
        <v>6720000</v>
      </c>
      <c r="D77" s="57">
        <f>722583.05</f>
        <v>722583.05</v>
      </c>
      <c r="E77" s="103" t="s">
        <v>89</v>
      </c>
      <c r="F77" s="103" t="s">
        <v>89</v>
      </c>
      <c r="G77" s="103" t="s">
        <v>89</v>
      </c>
      <c r="H77" s="103" t="s">
        <v>89</v>
      </c>
      <c r="I77" s="103" t="s">
        <v>89</v>
      </c>
      <c r="J77" s="68">
        <f t="shared" si="8"/>
        <v>1.0634746503616449E-2</v>
      </c>
      <c r="K77" s="69">
        <f t="shared" si="7"/>
        <v>10.752723958333334</v>
      </c>
    </row>
    <row r="78" spans="2:13" ht="26.85" customHeight="1" x14ac:dyDescent="0.2">
      <c r="B78" s="107" t="s">
        <v>48</v>
      </c>
      <c r="C78" s="52">
        <f>918927083.31</f>
        <v>918927083.30999994</v>
      </c>
      <c r="D78" s="73">
        <f>555684226.91</f>
        <v>555684226.90999997</v>
      </c>
      <c r="E78" s="103" t="s">
        <v>89</v>
      </c>
      <c r="F78" s="103" t="s">
        <v>89</v>
      </c>
      <c r="G78" s="103" t="s">
        <v>89</v>
      </c>
      <c r="H78" s="103" t="s">
        <v>89</v>
      </c>
      <c r="I78" s="103" t="s">
        <v>89</v>
      </c>
      <c r="J78" s="46">
        <f>IF($D$78=0,"",100*$D78/$D$78)</f>
        <v>100</v>
      </c>
      <c r="K78" s="40">
        <f t="shared" si="7"/>
        <v>60.470981539515684</v>
      </c>
    </row>
    <row r="79" spans="2:13" ht="22.5" x14ac:dyDescent="0.2">
      <c r="B79" s="122" t="s">
        <v>78</v>
      </c>
      <c r="C79" s="47">
        <f>813855860.1</f>
        <v>813855860.10000002</v>
      </c>
      <c r="D79" s="100">
        <f>352484424.06</f>
        <v>352484424.06</v>
      </c>
      <c r="E79" s="103" t="s">
        <v>89</v>
      </c>
      <c r="F79" s="103" t="s">
        <v>89</v>
      </c>
      <c r="G79" s="103" t="s">
        <v>89</v>
      </c>
      <c r="H79" s="103" t="s">
        <v>89</v>
      </c>
      <c r="I79" s="103" t="s">
        <v>89</v>
      </c>
      <c r="J79" s="48">
        <f>IF($D$78=0,"",100*$D79/$D$78)</f>
        <v>63.432504827438493</v>
      </c>
      <c r="K79" s="49">
        <f t="shared" si="7"/>
        <v>43.31042403708804</v>
      </c>
    </row>
    <row r="80" spans="2:13" ht="12.95" customHeight="1" x14ac:dyDescent="0.2">
      <c r="B80" s="123" t="s">
        <v>77</v>
      </c>
      <c r="C80" s="67">
        <f>31159153</f>
        <v>31159153</v>
      </c>
      <c r="D80" s="57">
        <f>10216000</f>
        <v>10216000</v>
      </c>
      <c r="E80" s="103" t="s">
        <v>89</v>
      </c>
      <c r="F80" s="103" t="s">
        <v>89</v>
      </c>
      <c r="G80" s="103" t="s">
        <v>89</v>
      </c>
      <c r="H80" s="103" t="s">
        <v>89</v>
      </c>
      <c r="I80" s="103" t="s">
        <v>89</v>
      </c>
      <c r="J80" s="68">
        <f>IF($D$78=0,"",100*$D80/$D$78)</f>
        <v>1.8384541984947522</v>
      </c>
      <c r="K80" s="69">
        <f t="shared" si="7"/>
        <v>32.78651380542982</v>
      </c>
    </row>
    <row r="81" spans="2:11" ht="12.95" customHeight="1" x14ac:dyDescent="0.2">
      <c r="B81" s="121" t="s">
        <v>87</v>
      </c>
      <c r="C81" s="67">
        <f>46919821.42</f>
        <v>46919821.420000002</v>
      </c>
      <c r="D81" s="57">
        <f>34415217.48</f>
        <v>34415217.479999997</v>
      </c>
      <c r="E81" s="103" t="s">
        <v>89</v>
      </c>
      <c r="F81" s="103" t="s">
        <v>89</v>
      </c>
      <c r="G81" s="103" t="s">
        <v>89</v>
      </c>
      <c r="H81" s="103" t="s">
        <v>89</v>
      </c>
      <c r="I81" s="103" t="s">
        <v>89</v>
      </c>
      <c r="J81" s="68">
        <f>IF($D$78=0,"",100*$D81/$D$78)</f>
        <v>6.1933047247666382</v>
      </c>
      <c r="K81" s="69">
        <f t="shared" si="7"/>
        <v>73.348995026929487</v>
      </c>
    </row>
    <row r="82" spans="2:11" ht="12.95" customHeight="1" x14ac:dyDescent="0.2">
      <c r="B82" s="124" t="s">
        <v>24</v>
      </c>
      <c r="C82" s="67">
        <f>58151401.79</f>
        <v>58151401.789999999</v>
      </c>
      <c r="D82" s="57">
        <f>168784585.37</f>
        <v>168784585.37</v>
      </c>
      <c r="E82" s="103" t="s">
        <v>89</v>
      </c>
      <c r="F82" s="103" t="s">
        <v>89</v>
      </c>
      <c r="G82" s="103" t="s">
        <v>89</v>
      </c>
      <c r="H82" s="103" t="s">
        <v>89</v>
      </c>
      <c r="I82" s="103" t="s">
        <v>89</v>
      </c>
      <c r="J82" s="68">
        <f>IF($D$78=0,"",100*$D82/$D$78)</f>
        <v>30.374190447794874</v>
      </c>
      <c r="K82" s="69">
        <f t="shared" si="7"/>
        <v>290.25024363045537</v>
      </c>
    </row>
    <row r="83" spans="2:11" x14ac:dyDescent="0.2">
      <c r="B83" s="26"/>
    </row>
    <row r="84" spans="2:11" x14ac:dyDescent="0.2">
      <c r="B84" s="53" t="s">
        <v>16</v>
      </c>
      <c r="C84" s="80" t="s">
        <v>17</v>
      </c>
      <c r="D84" s="18" t="s">
        <v>1</v>
      </c>
    </row>
    <row r="85" spans="2:11" x14ac:dyDescent="0.2">
      <c r="B85" s="53"/>
      <c r="C85" s="127" t="s">
        <v>61</v>
      </c>
      <c r="D85" s="127"/>
    </row>
    <row r="86" spans="2:11" x14ac:dyDescent="0.2">
      <c r="B86" s="27">
        <v>1</v>
      </c>
      <c r="C86" s="28">
        <v>2</v>
      </c>
      <c r="D86" s="28">
        <v>3</v>
      </c>
    </row>
    <row r="87" spans="2:11" ht="36" customHeight="1" x14ac:dyDescent="0.2">
      <c r="B87" s="54" t="s">
        <v>96</v>
      </c>
      <c r="C87" s="50">
        <f>5417109595.74</f>
        <v>5417109595.7399998</v>
      </c>
      <c r="D87" s="97">
        <f>0</f>
        <v>0</v>
      </c>
    </row>
    <row r="88" spans="2:11" ht="35.25" customHeight="1" x14ac:dyDescent="0.2">
      <c r="B88" s="125" t="s">
        <v>64</v>
      </c>
      <c r="C88" s="67">
        <f>50461558</f>
        <v>50461558</v>
      </c>
      <c r="D88" s="57">
        <f>0</f>
        <v>0</v>
      </c>
    </row>
    <row r="89" spans="2:11" ht="12.95" customHeight="1" x14ac:dyDescent="0.2">
      <c r="B89" s="125" t="s">
        <v>65</v>
      </c>
      <c r="C89" s="67">
        <f>958683836.86</f>
        <v>958683836.86000001</v>
      </c>
      <c r="D89" s="57">
        <f>0</f>
        <v>0</v>
      </c>
    </row>
    <row r="90" spans="2:11" ht="24" customHeight="1" x14ac:dyDescent="0.2">
      <c r="B90" s="125" t="s">
        <v>66</v>
      </c>
      <c r="C90" s="67">
        <f>0</f>
        <v>0</v>
      </c>
      <c r="D90" s="57">
        <f>0</f>
        <v>0</v>
      </c>
    </row>
    <row r="91" spans="2:11" ht="57.75" customHeight="1" x14ac:dyDescent="0.2">
      <c r="B91" s="125" t="s">
        <v>84</v>
      </c>
      <c r="C91" s="67">
        <f>861833565.63</f>
        <v>861833565.63</v>
      </c>
      <c r="D91" s="57">
        <f>0</f>
        <v>0</v>
      </c>
    </row>
    <row r="92" spans="2:11" ht="81" customHeight="1" x14ac:dyDescent="0.2">
      <c r="B92" s="125" t="s">
        <v>67</v>
      </c>
      <c r="C92" s="67">
        <f>1791092159.05</f>
        <v>1791092159.05</v>
      </c>
      <c r="D92" s="57">
        <f>0</f>
        <v>0</v>
      </c>
    </row>
    <row r="93" spans="2:11" ht="149.25" customHeight="1" x14ac:dyDescent="0.2">
      <c r="B93" s="125" t="s">
        <v>85</v>
      </c>
      <c r="C93" s="67">
        <f>1745246311.27</f>
        <v>1745246311.27</v>
      </c>
      <c r="D93" s="57">
        <f>0</f>
        <v>0</v>
      </c>
    </row>
    <row r="94" spans="2:11" ht="25.5" customHeight="1" x14ac:dyDescent="0.2">
      <c r="B94" s="125" t="s">
        <v>86</v>
      </c>
      <c r="C94" s="67">
        <f>9792164.93</f>
        <v>9792164.9299999997</v>
      </c>
      <c r="D94" s="57">
        <f>0</f>
        <v>0</v>
      </c>
    </row>
    <row r="96" spans="2:11" ht="10.5" customHeight="1" x14ac:dyDescent="0.2">
      <c r="B96" s="25" t="s">
        <v>49</v>
      </c>
      <c r="C96" s="25">
        <f>2</f>
        <v>2</v>
      </c>
      <c r="D96" s="25" t="str">
        <f>IF(C96=1,"I Kwartał",IF(C96=2,"II Kwartały",IF(C96=3,"III Kwartały",IF(C96=4,"IV Kwartały","-"))))</f>
        <v>II Kwartały</v>
      </c>
    </row>
    <row r="97" spans="2:4" ht="10.5" customHeight="1" x14ac:dyDescent="0.2">
      <c r="B97" s="25" t="s">
        <v>50</v>
      </c>
      <c r="C97" s="101">
        <f>2022</f>
        <v>2022</v>
      </c>
      <c r="D97" s="26"/>
    </row>
    <row r="98" spans="2:4" ht="12" customHeight="1" x14ac:dyDescent="0.2">
      <c r="B98" s="25" t="s">
        <v>51</v>
      </c>
      <c r="C98" s="141" t="str">
        <f>"Aug 18 2022 12:00AM"</f>
        <v>Aug 18 2022 12:00AM</v>
      </c>
      <c r="D98" s="142"/>
    </row>
    <row r="99" spans="2:4" ht="9.75" hidden="1" customHeight="1" x14ac:dyDescent="0.2">
      <c r="B99" s="25" t="s">
        <v>55</v>
      </c>
      <c r="C99" s="102" t="str">
        <f>""</f>
        <v/>
      </c>
      <c r="D99" s="26"/>
    </row>
  </sheetData>
  <mergeCells count="22">
    <mergeCell ref="J67:K67"/>
    <mergeCell ref="D43:D45"/>
    <mergeCell ref="E43:E45"/>
    <mergeCell ref="F44:F45"/>
    <mergeCell ref="I58:J58"/>
    <mergeCell ref="K43:K45"/>
    <mergeCell ref="C98:D98"/>
    <mergeCell ref="E66:I68"/>
    <mergeCell ref="F43:H43"/>
    <mergeCell ref="G44:H44"/>
    <mergeCell ref="C67:D67"/>
    <mergeCell ref="C85:D85"/>
    <mergeCell ref="J43:J45"/>
    <mergeCell ref="J46:K46"/>
    <mergeCell ref="C3:D3"/>
    <mergeCell ref="J3:L3"/>
    <mergeCell ref="E3:I4"/>
    <mergeCell ref="B2:B3"/>
    <mergeCell ref="C43:C45"/>
    <mergeCell ref="B43:B46"/>
    <mergeCell ref="I43:I45"/>
    <mergeCell ref="C46:I46"/>
  </mergeCells>
  <phoneticPr fontId="0" type="noConversion"/>
  <pageMargins left="0.19685039370078741" right="0.19685039370078741" top="0.35433070866141736" bottom="0.39370078740157483" header="0.31496062992125984" footer="0.19685039370078741"/>
  <pageSetup paperSize="9" scale="85" orientation="landscape" useFirstPageNumber="1" r:id="rId1"/>
  <headerFooter alignWithMargins="0">
    <oddFooter>&amp;RStrona &amp;P z &amp;N</oddFooter>
  </headerFooter>
  <rowBreaks count="4" manualBreakCount="4">
    <brk id="32" min="1" max="11" man="1"/>
    <brk id="40" max="16383" man="1"/>
    <brk id="64" max="16383" man="1"/>
    <brk id="8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2017-03-30T11:49:59Z</cp:lastPrinted>
  <dcterms:created xsi:type="dcterms:W3CDTF">2001-05-17T08:58:03Z</dcterms:created>
  <dcterms:modified xsi:type="dcterms:W3CDTF">2022-08-19T13:38:25Z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2022-06-01T15:12:20.5504483+02:00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GRN-bdb4f178-0504-4a7c-baaa-5bdd997b4a6c</vt:lpwstr>
  </property>
  <property fmtid="{D5CDD505-2E9C-101B-9397-08002B2CF9AE}" pid="7" name="MFHash">
    <vt:lpwstr>cvgFc3qUTZFJKNGd/QdKw5m28phCkq0fuCyZvwRduGg=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