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<sst xmlns="http://schemas.openxmlformats.org/spreadsheetml/2006/main" count="110" uniqueCount="89">
  <si>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</si>
  <si>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</si>
  <si>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</si>
  <si>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</si>
  <si>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</si>
  <si>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</si>
  <si>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</si>
  <si>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</si>
  <si>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</si>
  <si>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</si>
  <si>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</si>
  <si>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</si>
  <si>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</si>
  <si>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</si>
  <si>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</si>
  <si>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</si>
  <si>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</si>
  <si>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</si>
  <si>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</si>
  <si>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</si>
  <si>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</si>
  <si>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</si>
  <si>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</si>
  <si>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</si>
  <si>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</si>
  <si>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</si>
  <si>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</si>
  <si>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</si>
  <si>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</si>
  <si>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</si>
  <si>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</si>
  <si>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</si>
  <si>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</si>
  <si>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</si>
  <si>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</si>
  <si>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</si>
  <si>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</si>
  <si>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</si>
  <si>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</si>
  <si>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</si>
  <si>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</si>
  <si>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</si>
  <si>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</si>
  <si>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</si>
  <si>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</si>
  <si>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</si>
  <si>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</si>
  <si>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</si>
  <si>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</si>
  <si>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</si>
  <si>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</si>
  <si>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</si>
  <si>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</si>
  <si>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</si>
  <si>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</si>
  <si>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</si>
  <si>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</si>
  <si>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</si>
  <si>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</si>
  <si>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</si>
  <si>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</si>
  <si>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</si>
  <si>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</si>
  <si>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</si>
  <si>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</si>
  <si>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</si>
  <si>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</si>
  <si>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</si>
  <si>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</si>
  <si>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</si>
  <si>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</si>
  <si>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</si>
  <si>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</si>
  <si>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</si>
  <si>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</si>
  <si>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</si>
  <si>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</si>
  <si>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</si>
  <si>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</si>
  <si>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</si>
  <si>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</si>
  <si>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</si>
  <si>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</si>
  <si>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</si>
  <si>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</si>
  <si>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</si>
  <si>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</si>
  <si>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</si>
  <si>
    <t xml:space="preserve">Informacja z wykonania budżetów województw za III Kwartały 2021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</si>
</sst>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0" fontId="5" fillId="51" borderId="19" xfId="0" applyFont="1" applyFill="1" applyBorder="1" applyAlignment="1">
      <alignment horizontal="left" vertical="center" wrapText="1" inden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1"/>
  <sheetViews>
    <sheetView tabSelected="1" workbookViewId="0" topLeftCell="B1">
      <selection activeCell="B2" sqref="B2:B3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09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8" ht="60" customHeight="1">
      <c r="B2" s="120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120"/>
      <c r="C3" s="113" t="s">
        <v>59</v>
      </c>
      <c r="D3" s="113"/>
      <c r="E3" s="113"/>
      <c r="F3" s="113" t="s">
        <v>4</v>
      </c>
      <c r="G3" s="113"/>
      <c r="H3" s="113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69" t="s">
        <v>5</v>
      </c>
      <c r="C5" s="70">
        <f>21683520617.91</f>
        <v>21683520617.91</v>
      </c>
      <c r="D5" s="70">
        <f>16347563126.62</f>
        <v>16347563126.62</v>
      </c>
      <c r="E5" s="70">
        <f>16201144985.7</f>
        <v>16201144985.7</v>
      </c>
      <c r="F5" s="71">
        <f aca="true" t="shared" si="0" ref="F5:F35">IF($D$5=0,"",100*$D5/$D$5)</f>
        <v>100</v>
      </c>
      <c r="G5" s="71">
        <f>IF(C5=0,"",100*D5/C5)</f>
        <v>75.39164610158996</v>
      </c>
      <c r="H5" s="71"/>
      <c r="I5" s="34"/>
      <c r="J5" s="34"/>
      <c r="K5" s="34"/>
      <c r="L5" s="34"/>
      <c r="M5" s="34"/>
    </row>
    <row r="6" spans="2:13" ht="25.5" customHeight="1">
      <c r="B6" s="54" t="s">
        <v>44</v>
      </c>
      <c r="C6" s="22">
        <f>C5-C11-C31</f>
        <v>10566593336.3</v>
      </c>
      <c r="D6" s="22">
        <f>D5-D11-D31</f>
        <v>9210556432.460001</v>
      </c>
      <c r="E6" s="22">
        <f>E5-E11-E31</f>
        <v>9142095074.54</v>
      </c>
      <c r="F6" s="30">
        <f t="shared" si="0"/>
        <v>56.34207594807657</v>
      </c>
      <c r="G6" s="30">
        <f aca="true" t="shared" si="1" ref="G6:G38">IF(C6=0,"",100*D6/C6)</f>
        <v>87.1667541213919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7223498179</f>
        <v>7223498179</v>
      </c>
      <c r="D7" s="20">
        <f>6668467780.92</f>
        <v>6668467780.92</v>
      </c>
      <c r="E7" s="20">
        <f>6714207324.66</f>
        <v>6714207324.66</v>
      </c>
      <c r="F7" s="31">
        <f t="shared" si="0"/>
        <v>40.79181544839071</v>
      </c>
      <c r="G7" s="31">
        <f t="shared" si="1"/>
        <v>92.31632120163646</v>
      </c>
      <c r="H7" s="31">
        <f>IF($D$6=0,"",100*$D7/$D$6)</f>
        <v>72.40027060057817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1866041095</f>
        <v>1866041095</v>
      </c>
      <c r="D8" s="21">
        <f>1388209119</f>
        <v>1388209119</v>
      </c>
      <c r="E8" s="21">
        <f>1273900414</f>
        <v>1273900414</v>
      </c>
      <c r="F8" s="31">
        <f t="shared" si="0"/>
        <v>8.491841311439696</v>
      </c>
      <c r="G8" s="31">
        <f t="shared" si="1"/>
        <v>74.39327690690541</v>
      </c>
      <c r="H8" s="31">
        <f>IF($D$6=0,"",100*$D8/$D$6)</f>
        <v>15.071935438207072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263619539.83</f>
        <v>263619539.83</v>
      </c>
      <c r="D9" s="72">
        <f>210692016.31</f>
        <v>210692016.31</v>
      </c>
      <c r="E9" s="21">
        <f>210692011.43</f>
        <v>210692011.43</v>
      </c>
      <c r="F9" s="31">
        <f t="shared" si="0"/>
        <v>1.288828277817835</v>
      </c>
      <c r="G9" s="31">
        <f t="shared" si="1"/>
        <v>79.92276158507396</v>
      </c>
      <c r="H9" s="31">
        <f>IF($D$6=0,"",100*$D9/$D$6)</f>
        <v>2.287505840227802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1213434522.4699993</v>
      </c>
      <c r="D10" s="21">
        <f>D6-D7-D8-D9</f>
        <v>943187516.230001</v>
      </c>
      <c r="E10" s="21">
        <f>E6-E7-E8-E9</f>
        <v>943295324.450001</v>
      </c>
      <c r="F10" s="31">
        <f t="shared" si="0"/>
        <v>5.76959091042833</v>
      </c>
      <c r="G10" s="31">
        <f t="shared" si="1"/>
        <v>77.72875245959719</v>
      </c>
      <c r="H10" s="31">
        <f>IF($D$6=0,"",100*$D10/$D$6)</f>
        <v>10.24028812098695</v>
      </c>
      <c r="I10" s="34"/>
      <c r="J10" s="34"/>
      <c r="K10" s="34"/>
      <c r="L10" s="34"/>
      <c r="M10" s="34"/>
    </row>
    <row r="11" spans="2:13" ht="12.75">
      <c r="B11" s="69" t="s">
        <v>74</v>
      </c>
      <c r="C11" s="70">
        <f>C12+C27+C29</f>
        <v>7761122043.610001</v>
      </c>
      <c r="D11" s="70">
        <f>D12+D27+D29</f>
        <v>4523299377.16</v>
      </c>
      <c r="E11" s="70">
        <f>E12+E27+E29</f>
        <v>4493720377.16</v>
      </c>
      <c r="F11" s="71">
        <f t="shared" si="0"/>
        <v>27.669563604830874</v>
      </c>
      <c r="G11" s="71">
        <f t="shared" si="1"/>
        <v>58.281513313969704</v>
      </c>
      <c r="H11" s="73"/>
      <c r="I11" s="34"/>
      <c r="J11" s="34"/>
      <c r="K11" s="34"/>
      <c r="L11" s="34"/>
      <c r="M11" s="34"/>
    </row>
    <row r="12" spans="2:13" ht="12.75">
      <c r="B12" s="69" t="s">
        <v>75</v>
      </c>
      <c r="C12" s="70">
        <f>C13+C15+C17+C19+C21+C23+C25</f>
        <v>1620459138.69</v>
      </c>
      <c r="D12" s="70">
        <f>D13+D15+D17+D19+D21+D23+D25</f>
        <v>938160134.27</v>
      </c>
      <c r="E12" s="70">
        <f>E13+E15+E17+E19+E21+E23+E25</f>
        <v>908581134.27</v>
      </c>
      <c r="F12" s="71">
        <f t="shared" si="0"/>
        <v>5.7388378133394164</v>
      </c>
      <c r="G12" s="71">
        <f t="shared" si="1"/>
        <v>57.89471094151875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1068203185.49</f>
        <v>1068203185.49</v>
      </c>
      <c r="D13" s="21">
        <f>595571514.39</f>
        <v>595571514.39</v>
      </c>
      <c r="E13" s="21">
        <f>595571514.39</f>
        <v>595571514.39</v>
      </c>
      <c r="F13" s="31">
        <f t="shared" si="0"/>
        <v>3.643182227081814</v>
      </c>
      <c r="G13" s="31">
        <f t="shared" si="1"/>
        <v>55.754515852412744</v>
      </c>
      <c r="H13" s="26"/>
      <c r="I13" s="34"/>
      <c r="J13" s="34"/>
      <c r="K13" s="34"/>
      <c r="L13" s="34"/>
      <c r="M13" s="34"/>
    </row>
    <row r="14" spans="2:13" ht="11.25" customHeight="1">
      <c r="B14" s="76" t="s">
        <v>6</v>
      </c>
      <c r="C14" s="21">
        <f>10421917.65</f>
        <v>10421917.65</v>
      </c>
      <c r="D14" s="21">
        <f>9192352.16</f>
        <v>9192352.16</v>
      </c>
      <c r="E14" s="21">
        <f>9192352.16</f>
        <v>9192352.16</v>
      </c>
      <c r="F14" s="31">
        <f t="shared" si="0"/>
        <v>0.05623071823488714</v>
      </c>
      <c r="G14" s="31">
        <f t="shared" si="1"/>
        <v>88.20211854197485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71823017</f>
        <v>71823017</v>
      </c>
      <c r="D15" s="21">
        <f>31165997</f>
        <v>31165997</v>
      </c>
      <c r="E15" s="21">
        <f>31165997</f>
        <v>31165997</v>
      </c>
      <c r="F15" s="31">
        <f t="shared" si="0"/>
        <v>0.19064613336314326</v>
      </c>
      <c r="G15" s="31">
        <f t="shared" si="1"/>
        <v>43.39277059330437</v>
      </c>
      <c r="H15" s="26"/>
      <c r="I15" s="34"/>
      <c r="J15" s="34"/>
      <c r="K15" s="34"/>
      <c r="L15" s="34"/>
      <c r="M15" s="34"/>
    </row>
    <row r="16" spans="2:13" ht="10.5" customHeight="1">
      <c r="B16" s="76" t="s">
        <v>6</v>
      </c>
      <c r="C16" s="21">
        <f>44249832</f>
        <v>44249832</v>
      </c>
      <c r="D16" s="21">
        <f>11414926.83</f>
        <v>11414926.83</v>
      </c>
      <c r="E16" s="21">
        <f>11414926.83</f>
        <v>11414926.83</v>
      </c>
      <c r="F16" s="31">
        <f t="shared" si="0"/>
        <v>0.06982647347244185</v>
      </c>
      <c r="G16" s="31">
        <f t="shared" si="1"/>
        <v>25.796542752975874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81993996</f>
        <v>81993996</v>
      </c>
      <c r="D17" s="21">
        <f>31332687.27</f>
        <v>31332687.27</v>
      </c>
      <c r="E17" s="21">
        <f>31332687.27</f>
        <v>31332687.27</v>
      </c>
      <c r="F17" s="31">
        <f t="shared" si="0"/>
        <v>0.19166579769298192</v>
      </c>
      <c r="G17" s="31">
        <f t="shared" si="1"/>
        <v>38.21339219764335</v>
      </c>
      <c r="H17" s="26"/>
      <c r="I17" s="34"/>
      <c r="J17" s="34"/>
      <c r="K17" s="34"/>
      <c r="L17" s="34"/>
      <c r="M17" s="34"/>
    </row>
    <row r="18" spans="2:13" ht="9.75" customHeight="1">
      <c r="B18" s="76" t="s">
        <v>6</v>
      </c>
      <c r="C18" s="21">
        <f>4720331</f>
        <v>4720331</v>
      </c>
      <c r="D18" s="21">
        <f>0</f>
        <v>0</v>
      </c>
      <c r="E18" s="21">
        <f>0</f>
        <v>0</v>
      </c>
      <c r="F18" s="31">
        <f t="shared" si="0"/>
        <v>0</v>
      </c>
      <c r="G18" s="31">
        <f t="shared" si="1"/>
        <v>0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77633604.22</f>
        <v>77633604.22</v>
      </c>
      <c r="D19" s="21">
        <f>45993091.78</f>
        <v>45993091.78</v>
      </c>
      <c r="E19" s="21">
        <f>45993091.78</f>
        <v>45993091.78</v>
      </c>
      <c r="F19" s="31">
        <f t="shared" si="0"/>
        <v>0.2813452465285538</v>
      </c>
      <c r="G19" s="31">
        <f t="shared" si="1"/>
        <v>59.24379299673329</v>
      </c>
      <c r="H19" s="26"/>
      <c r="I19" s="34"/>
      <c r="J19" s="34"/>
      <c r="K19" s="34"/>
      <c r="L19" s="34"/>
      <c r="M19" s="34"/>
    </row>
    <row r="20" spans="2:13" ht="11.25" customHeight="1">
      <c r="B20" s="76" t="s">
        <v>6</v>
      </c>
      <c r="C20" s="21">
        <f>17258705.22</f>
        <v>17258705.22</v>
      </c>
      <c r="D20" s="21">
        <f>6213424.9</f>
        <v>6213424.9</v>
      </c>
      <c r="E20" s="21">
        <f>6213424.9</f>
        <v>6213424.9</v>
      </c>
      <c r="F20" s="31">
        <f t="shared" si="0"/>
        <v>0.03800826368966394</v>
      </c>
      <c r="G20" s="31">
        <f t="shared" si="1"/>
        <v>36.001686226146695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61</v>
      </c>
      <c r="C21" s="21">
        <f>190842892.98</f>
        <v>190842892.98</v>
      </c>
      <c r="D21" s="21">
        <f>104748787.37</f>
        <v>104748787.37</v>
      </c>
      <c r="E21" s="21">
        <f>104748787.37</f>
        <v>104748787.37</v>
      </c>
      <c r="F21" s="31">
        <f t="shared" si="0"/>
        <v>0.640760867896142</v>
      </c>
      <c r="G21" s="31">
        <f t="shared" si="1"/>
        <v>54.88744471138231</v>
      </c>
      <c r="H21" s="26"/>
      <c r="I21" s="34"/>
      <c r="J21" s="34"/>
      <c r="K21" s="34"/>
      <c r="L21" s="34"/>
      <c r="M21" s="34"/>
    </row>
    <row r="22" spans="2:13" ht="12.75">
      <c r="B22" s="76" t="s">
        <v>6</v>
      </c>
      <c r="C22" s="21">
        <f>138131845.13</f>
        <v>138131845.13</v>
      </c>
      <c r="D22" s="21">
        <f>67552482.9</f>
        <v>67552482.9</v>
      </c>
      <c r="E22" s="21">
        <f>67552482.9</f>
        <v>67552482.9</v>
      </c>
      <c r="F22" s="31">
        <f t="shared" si="0"/>
        <v>0.4132266220767735</v>
      </c>
      <c r="G22" s="31">
        <f t="shared" si="1"/>
        <v>48.90435137272246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55542400</f>
        <v>55542400</v>
      </c>
      <c r="D23" s="21">
        <f>40013763.46</f>
        <v>40013763.46</v>
      </c>
      <c r="E23" s="21">
        <f>40013763.46</f>
        <v>40013763.46</v>
      </c>
      <c r="F23" s="31">
        <f t="shared" si="0"/>
        <v>0.2447689796336831</v>
      </c>
      <c r="G23" s="31">
        <f t="shared" si="1"/>
        <v>72.04183373422826</v>
      </c>
      <c r="H23" s="26"/>
      <c r="I23" s="34"/>
      <c r="J23" s="34"/>
      <c r="K23" s="34"/>
      <c r="L23" s="34"/>
      <c r="M23" s="34"/>
    </row>
    <row r="24" spans="2:13" ht="12.75">
      <c r="B24" s="76" t="s">
        <v>6</v>
      </c>
      <c r="C24" s="21">
        <f>6895000</f>
        <v>6895000</v>
      </c>
      <c r="D24" s="21">
        <f>20000</f>
        <v>20000</v>
      </c>
      <c r="E24" s="21">
        <f>20000</f>
        <v>20000</v>
      </c>
      <c r="F24" s="31">
        <f t="shared" si="0"/>
        <v>0.00012234239345087743</v>
      </c>
      <c r="G24" s="31">
        <f t="shared" si="1"/>
        <v>0.290065264684554</v>
      </c>
      <c r="H24" s="26"/>
      <c r="I24" s="34"/>
      <c r="J24" s="34"/>
      <c r="K24" s="34"/>
      <c r="L24" s="34"/>
      <c r="M24" s="34"/>
    </row>
    <row r="25" spans="2:13" ht="45">
      <c r="B25" s="90" t="s">
        <v>87</v>
      </c>
      <c r="C25" s="74">
        <f>74420043</f>
        <v>74420043</v>
      </c>
      <c r="D25" s="74">
        <f>89334293</f>
        <v>89334293</v>
      </c>
      <c r="E25" s="74">
        <f>59755293</f>
        <v>59755293</v>
      </c>
      <c r="F25" s="75">
        <f t="shared" si="0"/>
        <v>0.5464685611430983</v>
      </c>
      <c r="G25" s="75">
        <f t="shared" si="1"/>
        <v>120.04063609584315</v>
      </c>
      <c r="H25" s="26"/>
      <c r="I25" s="34"/>
      <c r="J25" s="34"/>
      <c r="K25" s="34"/>
      <c r="L25" s="34"/>
      <c r="M25" s="34"/>
    </row>
    <row r="26" spans="2:13" ht="12.75">
      <c r="B26" s="76" t="s">
        <v>6</v>
      </c>
      <c r="C26" s="21">
        <f>74415043</f>
        <v>74415043</v>
      </c>
      <c r="D26" s="21">
        <f>89329293</f>
        <v>89329293</v>
      </c>
      <c r="E26" s="21">
        <f>59750293</f>
        <v>59750293</v>
      </c>
      <c r="F26" s="31">
        <f t="shared" si="0"/>
        <v>0.5464379755447355</v>
      </c>
      <c r="G26" s="31">
        <f t="shared" si="1"/>
        <v>120.04198264052606</v>
      </c>
      <c r="H26" s="26"/>
      <c r="I26" s="34"/>
      <c r="J26" s="34"/>
      <c r="K26" s="34"/>
      <c r="L26" s="34"/>
      <c r="M26" s="34"/>
    </row>
    <row r="27" spans="2:13" ht="13.5" customHeight="1">
      <c r="B27" s="69" t="s">
        <v>52</v>
      </c>
      <c r="C27" s="70">
        <f>1283768709.79</f>
        <v>1283768709.79</v>
      </c>
      <c r="D27" s="70">
        <f>784839056.6</f>
        <v>784839056.6</v>
      </c>
      <c r="E27" s="70">
        <f>784839056.6</f>
        <v>784839056.6</v>
      </c>
      <c r="F27" s="71">
        <f t="shared" si="0"/>
        <v>4.800954432908632</v>
      </c>
      <c r="G27" s="71">
        <f t="shared" si="1"/>
        <v>61.13554962158134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53</v>
      </c>
      <c r="C28" s="20">
        <f>697245641.06</f>
        <v>697245641.06</v>
      </c>
      <c r="D28" s="20">
        <f>373297015.07</f>
        <v>373297015.07</v>
      </c>
      <c r="E28" s="20">
        <f>373297015.07</f>
        <v>373297015.07</v>
      </c>
      <c r="F28" s="31">
        <f t="shared" si="0"/>
        <v>2.283502514586603</v>
      </c>
      <c r="G28" s="31">
        <f t="shared" si="1"/>
        <v>53.538809436296894</v>
      </c>
      <c r="H28" s="26"/>
      <c r="I28" s="34"/>
      <c r="J28" s="34"/>
      <c r="K28" s="34"/>
      <c r="L28" s="34"/>
      <c r="M28" s="34"/>
    </row>
    <row r="29" spans="2:13" ht="14.25" customHeight="1">
      <c r="B29" s="69" t="s">
        <v>69</v>
      </c>
      <c r="C29" s="70">
        <f>4856894195.13</f>
        <v>4856894195.13</v>
      </c>
      <c r="D29" s="70">
        <f>2800300186.29</f>
        <v>2800300186.29</v>
      </c>
      <c r="E29" s="70">
        <f>2800300186.29</f>
        <v>2800300186.29</v>
      </c>
      <c r="F29" s="75">
        <f t="shared" si="0"/>
        <v>17.129771358582826</v>
      </c>
      <c r="G29" s="75">
        <f t="shared" si="1"/>
        <v>57.65619084512601</v>
      </c>
      <c r="H29" s="26"/>
      <c r="I29" s="34"/>
      <c r="J29" s="34"/>
      <c r="K29" s="34"/>
      <c r="L29" s="34"/>
      <c r="M29" s="34"/>
    </row>
    <row r="30" spans="2:13" ht="14.25" customHeight="1">
      <c r="B30" s="28" t="s">
        <v>70</v>
      </c>
      <c r="C30" s="20">
        <f>3174379334.47</f>
        <v>3174379334.47</v>
      </c>
      <c r="D30" s="20">
        <f>1620793256.34</f>
        <v>1620793256.34</v>
      </c>
      <c r="E30" s="20">
        <f>1620793256.34</f>
        <v>1620793256.34</v>
      </c>
      <c r="F30" s="31">
        <f t="shared" si="0"/>
        <v>9.914586313483856</v>
      </c>
      <c r="G30" s="31">
        <f>IF(C29=0,"",100*D30/C30)</f>
        <v>51.058587697447024</v>
      </c>
      <c r="H30" s="26"/>
      <c r="I30" s="34"/>
      <c r="J30" s="34"/>
      <c r="K30" s="34"/>
      <c r="L30" s="34"/>
      <c r="M30" s="34"/>
    </row>
    <row r="31" spans="2:13" s="5" customFormat="1" ht="22.5" customHeight="1">
      <c r="B31" s="54" t="s">
        <v>45</v>
      </c>
      <c r="C31" s="22">
        <f>C32+C33+C34+C35</f>
        <v>3355805238</v>
      </c>
      <c r="D31" s="22">
        <f>D32+D33+D34+D35</f>
        <v>2613707317</v>
      </c>
      <c r="E31" s="22">
        <f>E32+E33+E34+E35</f>
        <v>2565329534</v>
      </c>
      <c r="F31" s="30">
        <f t="shared" si="0"/>
        <v>15.98836044709256</v>
      </c>
      <c r="G31" s="30">
        <f t="shared" si="1"/>
        <v>77.88614450574381</v>
      </c>
      <c r="H31" s="27"/>
      <c r="I31" s="55"/>
      <c r="J31" s="55"/>
      <c r="K31" s="55"/>
      <c r="L31" s="55"/>
      <c r="M31" s="55"/>
    </row>
    <row r="32" spans="2:13" ht="12.75">
      <c r="B32" s="29" t="s">
        <v>32</v>
      </c>
      <c r="C32" s="21">
        <f>659871824</f>
        <v>659871824</v>
      </c>
      <c r="D32" s="21">
        <f>558450752</f>
        <v>558450752</v>
      </c>
      <c r="E32" s="21">
        <f>510072969</f>
        <v>510072969</v>
      </c>
      <c r="F32" s="31">
        <f t="shared" si="0"/>
        <v>3.4161100812061185</v>
      </c>
      <c r="G32" s="31">
        <f t="shared" si="1"/>
        <v>84.63018599806135</v>
      </c>
      <c r="H32" s="27"/>
      <c r="I32" s="34"/>
      <c r="J32" s="34"/>
      <c r="K32" s="34"/>
      <c r="L32" s="34"/>
      <c r="M32" s="34"/>
    </row>
    <row r="33" spans="2:13" ht="12.75">
      <c r="B33" s="29" t="s">
        <v>43</v>
      </c>
      <c r="C33" s="21">
        <f>577712674</f>
        <v>577712674</v>
      </c>
      <c r="D33" s="21">
        <f>431205723</f>
        <v>431205723</v>
      </c>
      <c r="E33" s="21">
        <f>431205723</f>
        <v>431205723</v>
      </c>
      <c r="F33" s="31">
        <f t="shared" si="0"/>
        <v>2.637737011076803</v>
      </c>
      <c r="G33" s="31">
        <f t="shared" si="1"/>
        <v>74.64017017566763</v>
      </c>
      <c r="H33" s="27"/>
      <c r="I33" s="34"/>
      <c r="J33" s="34"/>
      <c r="K33" s="34"/>
      <c r="L33" s="34"/>
      <c r="M33" s="34"/>
    </row>
    <row r="34" spans="2:13" ht="12.75">
      <c r="B34" s="29" t="s">
        <v>33</v>
      </c>
      <c r="C34" s="21">
        <f>1738734445</f>
        <v>1738734445</v>
      </c>
      <c r="D34" s="21">
        <f>1304050842</f>
        <v>1304050842</v>
      </c>
      <c r="E34" s="21">
        <f>1304050842</f>
        <v>1304050842</v>
      </c>
      <c r="F34" s="31">
        <f t="shared" si="0"/>
        <v>7.977035059595599</v>
      </c>
      <c r="G34" s="31">
        <f t="shared" si="1"/>
        <v>75.00000047448303</v>
      </c>
      <c r="H34" s="27"/>
      <c r="I34" s="34"/>
      <c r="J34" s="34"/>
      <c r="K34" s="34"/>
      <c r="L34" s="34"/>
      <c r="M34" s="34"/>
    </row>
    <row r="35" spans="2:13" s="5" customFormat="1" ht="14.25" customHeight="1">
      <c r="B35" s="29" t="s">
        <v>31</v>
      </c>
      <c r="C35" s="21">
        <f>379486295</f>
        <v>379486295</v>
      </c>
      <c r="D35" s="21">
        <f>320000000</f>
        <v>320000000</v>
      </c>
      <c r="E35" s="21">
        <f>320000000</f>
        <v>320000000</v>
      </c>
      <c r="F35" s="31">
        <f t="shared" si="0"/>
        <v>1.9574782952140388</v>
      </c>
      <c r="G35" s="31">
        <f t="shared" si="1"/>
        <v>84.32452086313157</v>
      </c>
      <c r="H35" s="27"/>
      <c r="I35" s="55"/>
      <c r="J35" s="55"/>
      <c r="K35" s="55"/>
      <c r="L35" s="55"/>
      <c r="M35" s="55"/>
    </row>
    <row r="36" spans="2:13" s="5" customFormat="1" ht="12.75">
      <c r="B36" s="77" t="s">
        <v>60</v>
      </c>
      <c r="C36" s="74">
        <f>+C5</f>
        <v>21683520617.91</v>
      </c>
      <c r="D36" s="74">
        <f>+D5</f>
        <v>16347563126.62</v>
      </c>
      <c r="E36" s="74">
        <f>+E5</f>
        <v>16201144985.7</v>
      </c>
      <c r="F36" s="75">
        <f>IF($D$5=0,"",100*$D36/$D$36)</f>
        <v>100</v>
      </c>
      <c r="G36" s="75">
        <f t="shared" si="1"/>
        <v>75.39164610158996</v>
      </c>
      <c r="H36" s="75"/>
      <c r="I36" s="55"/>
      <c r="J36" s="55"/>
      <c r="K36" s="55"/>
      <c r="L36" s="55"/>
      <c r="M36" s="55"/>
    </row>
    <row r="37" spans="2:13" s="5" customFormat="1" ht="12.75">
      <c r="B37" s="29" t="s">
        <v>54</v>
      </c>
      <c r="C37" s="21">
        <f>4659096989.74</f>
        <v>4659096989.74</v>
      </c>
      <c r="D37" s="21">
        <f>2454523785.3</f>
        <v>2454523785.3</v>
      </c>
      <c r="E37" s="21">
        <f>2424944785.3</f>
        <v>2424944785.3</v>
      </c>
      <c r="F37" s="31">
        <f>IF($D$5=0,"",100*$D37/$D$36)</f>
        <v>15.014615733785481</v>
      </c>
      <c r="G37" s="31">
        <f t="shared" si="1"/>
        <v>52.68239297669085</v>
      </c>
      <c r="H37" s="31">
        <f>IF($D$6=0,"",100*$D37/$D$6)</f>
        <v>26.649028245999617</v>
      </c>
      <c r="I37" s="55"/>
      <c r="J37" s="55"/>
      <c r="K37" s="55"/>
      <c r="L37" s="55"/>
      <c r="M37" s="55"/>
    </row>
    <row r="38" spans="1:13" s="5" customFormat="1" ht="12.75">
      <c r="A38" s="2"/>
      <c r="B38" s="29" t="s">
        <v>55</v>
      </c>
      <c r="C38" s="21">
        <f>C36-C37</f>
        <v>17024423628.17</v>
      </c>
      <c r="D38" s="21">
        <f>D36-D37</f>
        <v>13893039341.32</v>
      </c>
      <c r="E38" s="21">
        <f>E36-E37</f>
        <v>13776200200.400002</v>
      </c>
      <c r="F38" s="31">
        <f>IF($D$5=0,"",100*$D38/$D$36)</f>
        <v>84.98538426621451</v>
      </c>
      <c r="G38" s="31">
        <f t="shared" si="1"/>
        <v>81.60651805169746</v>
      </c>
      <c r="H38" s="31">
        <f>IF($D$6=0,"",100*$D38/$D$6)</f>
        <v>150.8382196363068</v>
      </c>
      <c r="I38" s="56"/>
      <c r="J38" s="56"/>
      <c r="K38" s="57"/>
      <c r="L38" s="57"/>
      <c r="M38" s="19"/>
    </row>
    <row r="39" spans="2:13" ht="21.75" customHeight="1">
      <c r="B39" s="109" t="s">
        <v>88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2:13" s="5" customFormat="1" ht="4.5" customHeight="1">
      <c r="B40" s="6"/>
      <c r="C40" s="7"/>
      <c r="D40" s="8"/>
      <c r="E40" s="8"/>
      <c r="F40" s="4"/>
      <c r="G40" s="4"/>
      <c r="H40" s="4"/>
      <c r="I40" s="4"/>
      <c r="J40" s="4"/>
      <c r="K40" s="9"/>
      <c r="L40" s="9"/>
      <c r="M40" s="3"/>
    </row>
    <row r="41" spans="2:27" ht="29.25" customHeight="1">
      <c r="B41" s="120" t="s">
        <v>0</v>
      </c>
      <c r="C41" s="110" t="s">
        <v>39</v>
      </c>
      <c r="D41" s="110" t="s">
        <v>40</v>
      </c>
      <c r="E41" s="110" t="s">
        <v>41</v>
      </c>
      <c r="F41" s="110" t="s">
        <v>12</v>
      </c>
      <c r="G41" s="110"/>
      <c r="H41" s="110"/>
      <c r="I41" s="110" t="s">
        <v>71</v>
      </c>
      <c r="J41" s="110"/>
      <c r="K41" s="110" t="s">
        <v>2</v>
      </c>
      <c r="L41" s="119" t="s">
        <v>27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8" customHeight="1">
      <c r="B42" s="120"/>
      <c r="C42" s="110"/>
      <c r="D42" s="111"/>
      <c r="E42" s="110"/>
      <c r="F42" s="93" t="s">
        <v>42</v>
      </c>
      <c r="G42" s="112" t="s">
        <v>25</v>
      </c>
      <c r="H42" s="111"/>
      <c r="I42" s="110"/>
      <c r="J42" s="110"/>
      <c r="K42" s="110"/>
      <c r="L42" s="119"/>
      <c r="M42" s="11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36" customHeight="1">
      <c r="B43" s="120"/>
      <c r="C43" s="110"/>
      <c r="D43" s="111"/>
      <c r="E43" s="110"/>
      <c r="F43" s="111"/>
      <c r="G43" s="15" t="s">
        <v>37</v>
      </c>
      <c r="H43" s="15" t="s">
        <v>38</v>
      </c>
      <c r="I43" s="110"/>
      <c r="J43" s="110"/>
      <c r="K43" s="110"/>
      <c r="L43" s="119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3.5" customHeight="1">
      <c r="B44" s="120"/>
      <c r="C44" s="113" t="s">
        <v>59</v>
      </c>
      <c r="D44" s="113"/>
      <c r="E44" s="113"/>
      <c r="F44" s="113"/>
      <c r="G44" s="113"/>
      <c r="H44" s="113"/>
      <c r="I44" s="113"/>
      <c r="J44" s="113"/>
      <c r="K44" s="113" t="s">
        <v>4</v>
      </c>
      <c r="L44" s="113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11.25" customHeight="1">
      <c r="B45" s="14">
        <v>1</v>
      </c>
      <c r="C45" s="16">
        <v>2</v>
      </c>
      <c r="D45" s="16">
        <v>3</v>
      </c>
      <c r="E45" s="16">
        <v>4</v>
      </c>
      <c r="F45" s="14">
        <v>5</v>
      </c>
      <c r="G45" s="14">
        <v>6</v>
      </c>
      <c r="H45" s="16">
        <v>7</v>
      </c>
      <c r="I45" s="111">
        <v>8</v>
      </c>
      <c r="J45" s="111"/>
      <c r="K45" s="14">
        <v>9</v>
      </c>
      <c r="L45" s="16">
        <v>10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13" ht="25.5" customHeight="1">
      <c r="B46" s="69" t="s">
        <v>46</v>
      </c>
      <c r="C46" s="78">
        <f>24388919306.01</f>
        <v>24388919306.01</v>
      </c>
      <c r="D46" s="78">
        <f>19542029608.71</f>
        <v>19542029608.71</v>
      </c>
      <c r="E46" s="78">
        <f>12579975518.98</f>
        <v>12579975518.98</v>
      </c>
      <c r="F46" s="78">
        <f>517347576.1</f>
        <v>517347576.1</v>
      </c>
      <c r="G46" s="78">
        <f>487912.96</f>
        <v>487912.96</v>
      </c>
      <c r="H46" s="78">
        <f>255236.15</f>
        <v>255236.15</v>
      </c>
      <c r="I46" s="117">
        <f>0</f>
        <v>0</v>
      </c>
      <c r="J46" s="117"/>
      <c r="K46" s="53">
        <f aca="true" t="shared" si="2" ref="K46:K55">IF($E$46=0,"",100*$E46/$E$46)</f>
        <v>100</v>
      </c>
      <c r="L46" s="53">
        <f aca="true" t="shared" si="3" ref="L46:L55">IF(C46=0,"",100*E46/C46)</f>
        <v>51.58070089591875</v>
      </c>
      <c r="M46" s="34"/>
    </row>
    <row r="47" spans="2:13" ht="12.75">
      <c r="B47" s="54" t="s">
        <v>14</v>
      </c>
      <c r="C47" s="23">
        <f>9725829095.19</f>
        <v>9725829095.19</v>
      </c>
      <c r="D47" s="23">
        <f>7562728470.52</f>
        <v>7562728470.52</v>
      </c>
      <c r="E47" s="23">
        <f>3602679298.66</f>
        <v>3602679298.66</v>
      </c>
      <c r="F47" s="23">
        <f>285897593.33</f>
        <v>285897593.33</v>
      </c>
      <c r="G47" s="23">
        <f>487912.96</f>
        <v>487912.96</v>
      </c>
      <c r="H47" s="23">
        <f>237550.15</f>
        <v>237550.15</v>
      </c>
      <c r="I47" s="116">
        <f>0</f>
        <v>0</v>
      </c>
      <c r="J47" s="118"/>
      <c r="K47" s="32">
        <f t="shared" si="2"/>
        <v>28.63820595854474</v>
      </c>
      <c r="L47" s="32">
        <f t="shared" si="3"/>
        <v>37.04238747565222</v>
      </c>
      <c r="M47" s="34"/>
    </row>
    <row r="48" spans="2:13" ht="22.5" customHeight="1">
      <c r="B48" s="17" t="s">
        <v>13</v>
      </c>
      <c r="C48" s="20">
        <f>9336715602.19</f>
        <v>9336715602.19</v>
      </c>
      <c r="D48" s="20">
        <f>7376305265.74</f>
        <v>7376305265.74</v>
      </c>
      <c r="E48" s="20">
        <f>3455177441.88</f>
        <v>3455177441.88</v>
      </c>
      <c r="F48" s="20">
        <f>285897593.33</f>
        <v>285897593.33</v>
      </c>
      <c r="G48" s="20">
        <f>487912.96</f>
        <v>487912.96</v>
      </c>
      <c r="H48" s="20">
        <f>237550.15</f>
        <v>237550.15</v>
      </c>
      <c r="I48" s="114">
        <f>0</f>
        <v>0</v>
      </c>
      <c r="J48" s="115"/>
      <c r="K48" s="33">
        <f t="shared" si="2"/>
        <v>27.465692891588</v>
      </c>
      <c r="L48" s="33">
        <f t="shared" si="3"/>
        <v>37.006347725420284</v>
      </c>
      <c r="M48" s="34"/>
    </row>
    <row r="49" spans="2:13" ht="25.5" customHeight="1">
      <c r="B49" s="54" t="s">
        <v>47</v>
      </c>
      <c r="C49" s="23">
        <f aca="true" t="shared" si="4" ref="C49:I49">C46-C47</f>
        <v>14663090210.819998</v>
      </c>
      <c r="D49" s="23">
        <f t="shared" si="4"/>
        <v>11979301138.189999</v>
      </c>
      <c r="E49" s="23">
        <f t="shared" si="4"/>
        <v>8977296220.32</v>
      </c>
      <c r="F49" s="23">
        <f t="shared" si="4"/>
        <v>231449982.77000004</v>
      </c>
      <c r="G49" s="23">
        <f t="shared" si="4"/>
        <v>0</v>
      </c>
      <c r="H49" s="23">
        <f t="shared" si="4"/>
        <v>17686</v>
      </c>
      <c r="I49" s="116">
        <f t="shared" si="4"/>
        <v>0</v>
      </c>
      <c r="J49" s="116"/>
      <c r="K49" s="32">
        <f t="shared" si="2"/>
        <v>71.36179404145527</v>
      </c>
      <c r="L49" s="32">
        <f t="shared" si="3"/>
        <v>61.22376723629232</v>
      </c>
      <c r="M49" s="34"/>
    </row>
    <row r="50" spans="2:13" ht="22.5">
      <c r="B50" s="17" t="s">
        <v>85</v>
      </c>
      <c r="C50" s="20">
        <f>3590936362.9</f>
        <v>3590936362.9</v>
      </c>
      <c r="D50" s="20">
        <f>3260774868.63</f>
        <v>3260774868.63</v>
      </c>
      <c r="E50" s="20">
        <f>2454955323.98</f>
        <v>2454955323.98</v>
      </c>
      <c r="F50" s="20">
        <f>46021960.65</f>
        <v>46021960.65</v>
      </c>
      <c r="G50" s="20">
        <f>0</f>
        <v>0</v>
      </c>
      <c r="H50" s="20">
        <f>0</f>
        <v>0</v>
      </c>
      <c r="I50" s="114">
        <f>0</f>
        <v>0</v>
      </c>
      <c r="J50" s="115"/>
      <c r="K50" s="33">
        <f t="shared" si="2"/>
        <v>19.514786179639966</v>
      </c>
      <c r="L50" s="33">
        <f t="shared" si="3"/>
        <v>68.3653252489667</v>
      </c>
      <c r="M50" s="34"/>
    </row>
    <row r="51" spans="2:13" ht="12.75">
      <c r="B51" s="29" t="s">
        <v>36</v>
      </c>
      <c r="C51" s="79">
        <f>5954375672.4</f>
        <v>5954375672.4</v>
      </c>
      <c r="D51" s="79">
        <f>5151885356.97</f>
        <v>5151885356.97</v>
      </c>
      <c r="E51" s="79">
        <f>3919697613.22</f>
        <v>3919697613.22</v>
      </c>
      <c r="F51" s="79">
        <f>1082059.58</f>
        <v>1082059.58</v>
      </c>
      <c r="G51" s="79">
        <f>0</f>
        <v>0</v>
      </c>
      <c r="H51" s="79">
        <f>0</f>
        <v>0</v>
      </c>
      <c r="I51" s="106">
        <f>0</f>
        <v>0</v>
      </c>
      <c r="J51" s="106"/>
      <c r="K51" s="80">
        <f t="shared" si="2"/>
        <v>31.15822926130634</v>
      </c>
      <c r="L51" s="80">
        <f t="shared" si="3"/>
        <v>65.82885979782507</v>
      </c>
      <c r="M51" s="34"/>
    </row>
    <row r="52" spans="2:13" ht="12.75">
      <c r="B52" s="29" t="s">
        <v>35</v>
      </c>
      <c r="C52" s="21">
        <f>125853177</f>
        <v>125853177</v>
      </c>
      <c r="D52" s="21">
        <f>50752046.88</f>
        <v>50752046.88</v>
      </c>
      <c r="E52" s="21">
        <f>41375933.8</f>
        <v>41375933.8</v>
      </c>
      <c r="F52" s="21">
        <f>708748.87</f>
        <v>708748.87</v>
      </c>
      <c r="G52" s="21">
        <f>0</f>
        <v>0</v>
      </c>
      <c r="H52" s="21">
        <f>0</f>
        <v>0</v>
      </c>
      <c r="I52" s="107">
        <f>0</f>
        <v>0</v>
      </c>
      <c r="J52" s="107"/>
      <c r="K52" s="80">
        <f t="shared" si="2"/>
        <v>0.328903134490001</v>
      </c>
      <c r="L52" s="80">
        <f t="shared" si="3"/>
        <v>32.876352259267954</v>
      </c>
      <c r="M52" s="34"/>
    </row>
    <row r="53" spans="2:13" ht="22.5" customHeight="1">
      <c r="B53" s="29" t="s">
        <v>50</v>
      </c>
      <c r="C53" s="79">
        <f>85776035.4</f>
        <v>85776035.4</v>
      </c>
      <c r="D53" s="79">
        <f>24546528.33</f>
        <v>24546528.33</v>
      </c>
      <c r="E53" s="79">
        <f>11003593.53</f>
        <v>11003593.53</v>
      </c>
      <c r="F53" s="79">
        <f>0</f>
        <v>0</v>
      </c>
      <c r="G53" s="79">
        <f>0</f>
        <v>0</v>
      </c>
      <c r="H53" s="79">
        <f>0</f>
        <v>0</v>
      </c>
      <c r="I53" s="106">
        <f>0</f>
        <v>0</v>
      </c>
      <c r="J53" s="106"/>
      <c r="K53" s="80">
        <f t="shared" si="2"/>
        <v>0.08746911719659838</v>
      </c>
      <c r="L53" s="80">
        <f t="shared" si="3"/>
        <v>12.828284122350563</v>
      </c>
      <c r="M53" s="34"/>
    </row>
    <row r="54" spans="2:13" ht="22.5">
      <c r="B54" s="29" t="s">
        <v>51</v>
      </c>
      <c r="C54" s="79">
        <f>150879995.97</f>
        <v>150879995.97</v>
      </c>
      <c r="D54" s="79">
        <f>109391374.31</f>
        <v>109391374.31</v>
      </c>
      <c r="E54" s="79">
        <f>85455081.38</f>
        <v>85455081.38</v>
      </c>
      <c r="F54" s="79">
        <f>702888.97</f>
        <v>702888.97</v>
      </c>
      <c r="G54" s="79">
        <f>0</f>
        <v>0</v>
      </c>
      <c r="H54" s="79">
        <f>0</f>
        <v>0</v>
      </c>
      <c r="I54" s="102">
        <f>0</f>
        <v>0</v>
      </c>
      <c r="J54" s="103"/>
      <c r="K54" s="80">
        <f t="shared" si="2"/>
        <v>0.6792944966472304</v>
      </c>
      <c r="L54" s="80">
        <f t="shared" si="3"/>
        <v>56.63778079434157</v>
      </c>
      <c r="M54" s="34"/>
    </row>
    <row r="55" spans="2:13" ht="12.75">
      <c r="B55" s="29" t="s">
        <v>34</v>
      </c>
      <c r="C55" s="21">
        <f aca="true" t="shared" si="5" ref="C55:I55">C49-C50-C51-C52-C53-C54</f>
        <v>4755268967.149999</v>
      </c>
      <c r="D55" s="21">
        <f t="shared" si="5"/>
        <v>3381950963.0699973</v>
      </c>
      <c r="E55" s="21">
        <f t="shared" si="5"/>
        <v>2464808674.41</v>
      </c>
      <c r="F55" s="21">
        <f t="shared" si="5"/>
        <v>182934324.70000002</v>
      </c>
      <c r="G55" s="21">
        <f t="shared" si="5"/>
        <v>0</v>
      </c>
      <c r="H55" s="21">
        <f t="shared" si="5"/>
        <v>17686</v>
      </c>
      <c r="I55" s="102">
        <f t="shared" si="5"/>
        <v>0</v>
      </c>
      <c r="J55" s="103"/>
      <c r="K55" s="80">
        <f t="shared" si="2"/>
        <v>19.59311185217513</v>
      </c>
      <c r="L55" s="80">
        <f t="shared" si="3"/>
        <v>51.833212620299946</v>
      </c>
      <c r="M55" s="34"/>
    </row>
    <row r="56" spans="2:13" ht="12.75">
      <c r="B56" s="54" t="s">
        <v>15</v>
      </c>
      <c r="C56" s="23">
        <f>C5-C46</f>
        <v>-2705398688.0999985</v>
      </c>
      <c r="D56" s="23"/>
      <c r="E56" s="23">
        <f>D5-E46</f>
        <v>3767587607.6400013</v>
      </c>
      <c r="F56" s="24"/>
      <c r="G56" s="24"/>
      <c r="H56" s="24"/>
      <c r="I56" s="108"/>
      <c r="J56" s="108"/>
      <c r="K56" s="25"/>
      <c r="L56" s="25"/>
      <c r="M56" s="58"/>
    </row>
    <row r="57" spans="2:13" ht="33.75">
      <c r="B57" s="59" t="s">
        <v>72</v>
      </c>
      <c r="C57" s="23">
        <f>+C38-C49</f>
        <v>2361333417.3500023</v>
      </c>
      <c r="D57" s="60"/>
      <c r="E57" s="23">
        <f>+D38-E49</f>
        <v>4915743121</v>
      </c>
      <c r="F57" s="61"/>
      <c r="G57" s="61"/>
      <c r="H57" s="61"/>
      <c r="I57" s="98"/>
      <c r="J57" s="99"/>
      <c r="K57" s="34"/>
      <c r="L57" s="62"/>
      <c r="M57" s="62"/>
    </row>
    <row r="58" spans="2:13" ht="6.75" customHeight="1" thickBot="1">
      <c r="B58" s="63"/>
      <c r="C58" s="64"/>
      <c r="D58" s="64"/>
      <c r="E58" s="64"/>
      <c r="F58" s="18"/>
      <c r="G58" s="18"/>
      <c r="H58" s="18"/>
      <c r="I58" s="18"/>
      <c r="J58" s="34"/>
      <c r="K58" s="34"/>
      <c r="L58" s="62"/>
      <c r="M58" s="62"/>
    </row>
    <row r="59" spans="2:13" ht="12" customHeight="1" thickBot="1">
      <c r="B59" s="65" t="s">
        <v>56</v>
      </c>
      <c r="C59" s="64"/>
      <c r="D59" s="64"/>
      <c r="E59" s="64"/>
      <c r="F59" s="18"/>
      <c r="G59" s="18"/>
      <c r="H59" s="18"/>
      <c r="I59" s="18"/>
      <c r="J59" s="34"/>
      <c r="K59" s="34"/>
      <c r="L59" s="62"/>
      <c r="M59" s="62"/>
    </row>
    <row r="60" spans="2:13" ht="23.25" customHeight="1">
      <c r="B60" s="82" t="s">
        <v>73</v>
      </c>
      <c r="C60" s="23">
        <f>8228671217.26</f>
        <v>8228671217.26</v>
      </c>
      <c r="D60" s="23">
        <f>6532817759.13</f>
        <v>6532817759.13</v>
      </c>
      <c r="E60" s="23">
        <f>3899721396.49</f>
        <v>3899721396.49</v>
      </c>
      <c r="F60" s="23">
        <f>203907380.85</f>
        <v>203907380.85</v>
      </c>
      <c r="G60" s="23">
        <f>484500</f>
        <v>484500</v>
      </c>
      <c r="H60" s="23">
        <f>145473.5</f>
        <v>145473.5</v>
      </c>
      <c r="I60" s="100">
        <f>0</f>
        <v>0</v>
      </c>
      <c r="J60" s="101"/>
      <c r="K60" s="33">
        <f>IF($E$46=0,"",100*$E60/$E$60)</f>
        <v>100</v>
      </c>
      <c r="L60" s="33">
        <f>IF(C60=0,"",100*E60/C60)</f>
        <v>47.39187280092274</v>
      </c>
      <c r="M60" s="62"/>
    </row>
    <row r="61" spans="2:13" ht="12.75">
      <c r="B61" s="81" t="s">
        <v>57</v>
      </c>
      <c r="C61" s="79">
        <f>5407794514.28</f>
        <v>5407794514.28</v>
      </c>
      <c r="D61" s="79">
        <f>4354721162.03</f>
        <v>4354721162.03</v>
      </c>
      <c r="E61" s="79">
        <f>2299325178.49</f>
        <v>2299325178.49</v>
      </c>
      <c r="F61" s="79">
        <f>187827768.79</f>
        <v>187827768.79</v>
      </c>
      <c r="G61" s="79">
        <f>484500</f>
        <v>484500</v>
      </c>
      <c r="H61" s="79">
        <f>144376.5</f>
        <v>144376.5</v>
      </c>
      <c r="I61" s="102">
        <f>0</f>
        <v>0</v>
      </c>
      <c r="J61" s="103"/>
      <c r="K61" s="80">
        <f>IF($E$46=0,"",100*$E61/$E$60)</f>
        <v>58.961267862866826</v>
      </c>
      <c r="L61" s="80">
        <f>IF(C61=0,"",100*E61/C61)</f>
        <v>42.51872315818078</v>
      </c>
      <c r="M61" s="34"/>
    </row>
    <row r="62" spans="2:13" ht="12.75" customHeight="1">
      <c r="B62" s="81" t="s">
        <v>58</v>
      </c>
      <c r="C62" s="79">
        <f aca="true" t="shared" si="6" ref="C62:I62">C60-C61</f>
        <v>2820876702.9800005</v>
      </c>
      <c r="D62" s="79">
        <f t="shared" si="6"/>
        <v>2178096597.1000004</v>
      </c>
      <c r="E62" s="79">
        <f t="shared" si="6"/>
        <v>1600396218</v>
      </c>
      <c r="F62" s="79">
        <f t="shared" si="6"/>
        <v>16079612.060000002</v>
      </c>
      <c r="G62" s="79">
        <f t="shared" si="6"/>
        <v>0</v>
      </c>
      <c r="H62" s="79">
        <f t="shared" si="6"/>
        <v>1097</v>
      </c>
      <c r="I62" s="104">
        <f t="shared" si="6"/>
        <v>0</v>
      </c>
      <c r="J62" s="105"/>
      <c r="K62" s="80">
        <f>IF($E$46=0,"",100*$E62/$E$60)</f>
        <v>41.038732137133174</v>
      </c>
      <c r="L62" s="80">
        <f>IF(C62=0,"",100*E62/C62)</f>
        <v>56.734001039794705</v>
      </c>
      <c r="M62" s="34"/>
    </row>
    <row r="63" spans="2:13" ht="23.25" customHeight="1">
      <c r="B63" s="109" t="s">
        <v>88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</row>
    <row r="64" ht="6" customHeight="1"/>
    <row r="65" spans="2:8" ht="12.75">
      <c r="B65" s="37" t="s">
        <v>16</v>
      </c>
      <c r="C65" s="91" t="s">
        <v>17</v>
      </c>
      <c r="D65" s="92"/>
      <c r="E65" s="91" t="s">
        <v>1</v>
      </c>
      <c r="F65" s="92"/>
      <c r="G65" s="16" t="s">
        <v>22</v>
      </c>
      <c r="H65" s="16" t="s">
        <v>23</v>
      </c>
    </row>
    <row r="66" spans="2:8" ht="12.75">
      <c r="B66" s="37"/>
      <c r="C66" s="93" t="s">
        <v>59</v>
      </c>
      <c r="D66" s="94"/>
      <c r="E66" s="94"/>
      <c r="F66" s="95"/>
      <c r="G66" s="96" t="s">
        <v>4</v>
      </c>
      <c r="H66" s="97"/>
    </row>
    <row r="67" spans="2:8" ht="12.75">
      <c r="B67" s="35">
        <v>1</v>
      </c>
      <c r="C67" s="66">
        <v>2</v>
      </c>
      <c r="D67" s="67"/>
      <c r="E67" s="66">
        <v>3</v>
      </c>
      <c r="F67" s="67"/>
      <c r="G67" s="36">
        <v>4</v>
      </c>
      <c r="H67" s="36">
        <v>5</v>
      </c>
    </row>
    <row r="68" spans="2:8" ht="22.5">
      <c r="B68" s="68" t="s">
        <v>48</v>
      </c>
      <c r="C68" s="40">
        <f>3843828242.09</f>
        <v>3843828242.09</v>
      </c>
      <c r="D68" s="41"/>
      <c r="E68" s="40">
        <f>3088445005.55</f>
        <v>3088445005.55</v>
      </c>
      <c r="F68" s="41"/>
      <c r="G68" s="39">
        <f>IF($E$68=0,"",100*$E68/$E$68)</f>
        <v>100</v>
      </c>
      <c r="H68" s="32">
        <f>IF(C68=0,"",100*E68/C68)</f>
        <v>80.34815322213053</v>
      </c>
    </row>
    <row r="69" spans="2:8" ht="33.75">
      <c r="B69" s="38" t="s">
        <v>76</v>
      </c>
      <c r="C69" s="42">
        <f>1659286793</f>
        <v>1659286793</v>
      </c>
      <c r="D69" s="43"/>
      <c r="E69" s="42">
        <f>216521647.73</f>
        <v>216521647.73</v>
      </c>
      <c r="F69" s="43"/>
      <c r="G69" s="51">
        <f aca="true" t="shared" si="7" ref="G69:G76">IF($E$68=0,"",100*$E69/$E$68)</f>
        <v>7.010701092002806</v>
      </c>
      <c r="H69" s="52">
        <f aca="true" t="shared" si="8" ref="H69:H81">IF(C69=0,"",100*E69/C69)</f>
        <v>13.049079197365732</v>
      </c>
    </row>
    <row r="70" spans="2:8" ht="22.5">
      <c r="B70" s="83" t="s">
        <v>77</v>
      </c>
      <c r="C70" s="84">
        <f>340000000</f>
        <v>340000000</v>
      </c>
      <c r="D70" s="85"/>
      <c r="E70" s="84">
        <f>0</f>
        <v>0</v>
      </c>
      <c r="F70" s="85"/>
      <c r="G70" s="86">
        <f t="shared" si="7"/>
        <v>0</v>
      </c>
      <c r="H70" s="87">
        <f t="shared" si="8"/>
        <v>0</v>
      </c>
    </row>
    <row r="71" spans="2:8" ht="12.75">
      <c r="B71" s="88" t="s">
        <v>78</v>
      </c>
      <c r="C71" s="84">
        <f>72319706</f>
        <v>72319706</v>
      </c>
      <c r="D71" s="85"/>
      <c r="E71" s="84">
        <f>17129601.18</f>
        <v>17129601.18</v>
      </c>
      <c r="F71" s="85"/>
      <c r="G71" s="86">
        <f t="shared" si="7"/>
        <v>0.554635136750622</v>
      </c>
      <c r="H71" s="87">
        <f t="shared" si="8"/>
        <v>23.6859386292306</v>
      </c>
    </row>
    <row r="72" spans="2:8" ht="12.75">
      <c r="B72" s="88" t="s">
        <v>79</v>
      </c>
      <c r="C72" s="84">
        <f>68445049</f>
        <v>68445049</v>
      </c>
      <c r="D72" s="85"/>
      <c r="E72" s="84">
        <f>160027854.59</f>
        <v>160027854.59</v>
      </c>
      <c r="F72" s="85"/>
      <c r="G72" s="86">
        <f t="shared" si="7"/>
        <v>5.181502481100574</v>
      </c>
      <c r="H72" s="87">
        <f t="shared" si="8"/>
        <v>233.80486525767554</v>
      </c>
    </row>
    <row r="73" spans="2:8" ht="46.5" customHeight="1">
      <c r="B73" s="88" t="s">
        <v>86</v>
      </c>
      <c r="C73" s="84">
        <f>624052624.12</f>
        <v>624052624.12</v>
      </c>
      <c r="D73" s="85"/>
      <c r="E73" s="84">
        <f>757599055.82</f>
        <v>757599055.82</v>
      </c>
      <c r="F73" s="85"/>
      <c r="G73" s="86">
        <f t="shared" si="7"/>
        <v>24.530113194781798</v>
      </c>
      <c r="H73" s="87">
        <f t="shared" si="8"/>
        <v>121.39986702056078</v>
      </c>
    </row>
    <row r="74" spans="2:8" ht="12.75">
      <c r="B74" s="88" t="s">
        <v>80</v>
      </c>
      <c r="C74" s="84">
        <f>0</f>
        <v>0</v>
      </c>
      <c r="D74" s="85"/>
      <c r="E74" s="84">
        <f>0</f>
        <v>0</v>
      </c>
      <c r="F74" s="85"/>
      <c r="G74" s="86">
        <f t="shared" si="7"/>
        <v>0</v>
      </c>
      <c r="H74" s="87">
        <f t="shared" si="8"/>
      </c>
    </row>
    <row r="75" spans="2:8" ht="33.75">
      <c r="B75" s="88" t="s">
        <v>84</v>
      </c>
      <c r="C75" s="84">
        <f>1119724069.97</f>
        <v>1119724069.97</v>
      </c>
      <c r="D75" s="85"/>
      <c r="E75" s="84">
        <f>1937166846.23</f>
        <v>1937166846.23</v>
      </c>
      <c r="F75" s="85"/>
      <c r="G75" s="86">
        <f t="shared" si="7"/>
        <v>62.72304809536419</v>
      </c>
      <c r="H75" s="87">
        <f t="shared" si="8"/>
        <v>173.00394786386087</v>
      </c>
    </row>
    <row r="76" spans="2:8" ht="12.75">
      <c r="B76" s="83" t="s">
        <v>62</v>
      </c>
      <c r="C76" s="84">
        <f>300000000</f>
        <v>300000000</v>
      </c>
      <c r="D76" s="85"/>
      <c r="E76" s="84">
        <f>0</f>
        <v>0</v>
      </c>
      <c r="F76" s="85"/>
      <c r="G76" s="86">
        <f t="shared" si="7"/>
        <v>0</v>
      </c>
      <c r="H76" s="87">
        <f t="shared" si="8"/>
        <v>0</v>
      </c>
    </row>
    <row r="77" spans="2:8" ht="22.5">
      <c r="B77" s="68" t="s">
        <v>49</v>
      </c>
      <c r="C77" s="48">
        <f>1135620395.99</f>
        <v>1135620395.99</v>
      </c>
      <c r="D77" s="49"/>
      <c r="E77" s="48">
        <f>431947260.7</f>
        <v>431947260.7</v>
      </c>
      <c r="F77" s="49"/>
      <c r="G77" s="39">
        <f>IF($E$77=0,"",100*$E77/$E$77)</f>
        <v>100</v>
      </c>
      <c r="H77" s="32">
        <f t="shared" si="8"/>
        <v>38.036236600298224</v>
      </c>
    </row>
    <row r="78" spans="2:8" ht="33.75">
      <c r="B78" s="38" t="s">
        <v>81</v>
      </c>
      <c r="C78" s="42">
        <f>740033005</f>
        <v>740033005</v>
      </c>
      <c r="D78" s="46"/>
      <c r="E78" s="47">
        <f>379649185.95</f>
        <v>379649185.95</v>
      </c>
      <c r="F78" s="46"/>
      <c r="G78" s="51">
        <f>IF($E$77=0,"",100*$E78/$E$77)</f>
        <v>87.89248607220071</v>
      </c>
      <c r="H78" s="52">
        <f t="shared" si="8"/>
        <v>51.30165592411652</v>
      </c>
    </row>
    <row r="79" spans="2:8" ht="22.5">
      <c r="B79" s="88" t="s">
        <v>82</v>
      </c>
      <c r="C79" s="84">
        <f>1750000</f>
        <v>1750000</v>
      </c>
      <c r="D79" s="85"/>
      <c r="E79" s="84">
        <f>0</f>
        <v>0</v>
      </c>
      <c r="F79" s="85"/>
      <c r="G79" s="86">
        <f>IF($E$77=0,"",100*$E79/$E$77)</f>
        <v>0</v>
      </c>
      <c r="H79" s="87">
        <f t="shared" si="8"/>
        <v>0</v>
      </c>
    </row>
    <row r="80" spans="2:8" ht="12.75">
      <c r="B80" s="88" t="s">
        <v>83</v>
      </c>
      <c r="C80" s="84">
        <f>95587390.99</f>
        <v>95587390.99</v>
      </c>
      <c r="D80" s="85"/>
      <c r="E80" s="84">
        <f>52298074.75</f>
        <v>52298074.75</v>
      </c>
      <c r="F80" s="85"/>
      <c r="G80" s="86">
        <f>IF($E$77=0,"",100*$E80/$E$77)</f>
        <v>12.107513927799289</v>
      </c>
      <c r="H80" s="87">
        <f t="shared" si="8"/>
        <v>54.71231530471549</v>
      </c>
    </row>
    <row r="81" spans="2:8" ht="12.75">
      <c r="B81" s="88" t="s">
        <v>24</v>
      </c>
      <c r="C81" s="84">
        <f>300000000</f>
        <v>300000000</v>
      </c>
      <c r="D81" s="85"/>
      <c r="E81" s="84">
        <f>0</f>
        <v>0</v>
      </c>
      <c r="F81" s="85"/>
      <c r="G81" s="86">
        <f>IF($E$77=0,"",100*$E81/$E$77)</f>
        <v>0</v>
      </c>
      <c r="H81" s="87">
        <f t="shared" si="8"/>
        <v>0</v>
      </c>
    </row>
    <row r="83" spans="2:8" ht="12.75">
      <c r="B83" s="37" t="s">
        <v>16</v>
      </c>
      <c r="C83" s="91" t="s">
        <v>17</v>
      </c>
      <c r="D83" s="92"/>
      <c r="E83" s="91" t="s">
        <v>1</v>
      </c>
      <c r="F83" s="92"/>
      <c r="G83" s="16" t="s">
        <v>22</v>
      </c>
      <c r="H83" s="16" t="s">
        <v>23</v>
      </c>
    </row>
    <row r="84" spans="2:8" ht="12.75">
      <c r="B84" s="37"/>
      <c r="C84" s="93" t="s">
        <v>59</v>
      </c>
      <c r="D84" s="94"/>
      <c r="E84" s="94"/>
      <c r="F84" s="95"/>
      <c r="G84" s="96" t="s">
        <v>4</v>
      </c>
      <c r="H84" s="97"/>
    </row>
    <row r="85" spans="2:8" ht="12.75">
      <c r="B85" s="35">
        <v>1</v>
      </c>
      <c r="C85" s="66">
        <v>2</v>
      </c>
      <c r="D85" s="67"/>
      <c r="E85" s="66">
        <v>3</v>
      </c>
      <c r="F85" s="67"/>
      <c r="G85" s="36">
        <v>4</v>
      </c>
      <c r="H85" s="36">
        <v>5</v>
      </c>
    </row>
    <row r="86" spans="2:8" ht="22.5">
      <c r="B86" s="50" t="s">
        <v>63</v>
      </c>
      <c r="C86" s="45">
        <f>2710112354.1</f>
        <v>2710112354.1</v>
      </c>
      <c r="D86" s="44"/>
      <c r="E86" s="45">
        <f>0</f>
        <v>0</v>
      </c>
      <c r="F86" s="41"/>
      <c r="G86" s="39"/>
      <c r="H86" s="32"/>
    </row>
    <row r="87" spans="2:8" ht="56.25">
      <c r="B87" s="89" t="s">
        <v>64</v>
      </c>
      <c r="C87" s="84">
        <f>221691802</f>
        <v>221691802</v>
      </c>
      <c r="D87" s="85"/>
      <c r="E87" s="84">
        <f>0</f>
        <v>0</v>
      </c>
      <c r="F87" s="85"/>
      <c r="G87" s="86"/>
      <c r="H87" s="87"/>
    </row>
    <row r="88" spans="2:8" ht="12.75">
      <c r="B88" s="89" t="s">
        <v>65</v>
      </c>
      <c r="C88" s="84">
        <f>1058484151.1</f>
        <v>1058484151.1</v>
      </c>
      <c r="D88" s="85"/>
      <c r="E88" s="84">
        <f>0</f>
        <v>0</v>
      </c>
      <c r="F88" s="85"/>
      <c r="G88" s="86"/>
      <c r="H88" s="87"/>
    </row>
    <row r="89" spans="2:8" ht="22.5">
      <c r="B89" s="89" t="s">
        <v>66</v>
      </c>
      <c r="C89" s="84">
        <f>0</f>
        <v>0</v>
      </c>
      <c r="D89" s="85"/>
      <c r="E89" s="84">
        <f>0</f>
        <v>0</v>
      </c>
      <c r="F89" s="85"/>
      <c r="G89" s="86"/>
      <c r="H89" s="87"/>
    </row>
    <row r="90" spans="2:8" ht="33.75">
      <c r="B90" s="89" t="s">
        <v>67</v>
      </c>
      <c r="C90" s="84">
        <f>52024895</f>
        <v>52024895</v>
      </c>
      <c r="D90" s="85"/>
      <c r="E90" s="84">
        <f>0</f>
        <v>0</v>
      </c>
      <c r="F90" s="85"/>
      <c r="G90" s="86"/>
      <c r="H90" s="87"/>
    </row>
    <row r="91" spans="2:8" ht="101.25">
      <c r="B91" s="89" t="s">
        <v>68</v>
      </c>
      <c r="C91" s="84">
        <f>854915038</f>
        <v>854915038</v>
      </c>
      <c r="D91" s="85"/>
      <c r="E91" s="84">
        <f>0</f>
        <v>0</v>
      </c>
      <c r="F91" s="85"/>
      <c r="G91" s="86"/>
      <c r="H91" s="87"/>
    </row>
  </sheetData>
  <sheetProtection/>
  <mergeCells count="42">
    <mergeCell ref="C44:J44"/>
    <mergeCell ref="C3:E3"/>
    <mergeCell ref="C66:F66"/>
    <mergeCell ref="G66:H66"/>
    <mergeCell ref="L41:L43"/>
    <mergeCell ref="B2:B3"/>
    <mergeCell ref="C41:C43"/>
    <mergeCell ref="B41:B44"/>
    <mergeCell ref="K41:K43"/>
    <mergeCell ref="K44:L44"/>
    <mergeCell ref="I45:J45"/>
    <mergeCell ref="I48:J48"/>
    <mergeCell ref="I49:J49"/>
    <mergeCell ref="I46:J46"/>
    <mergeCell ref="I47:J47"/>
    <mergeCell ref="I50:J50"/>
    <mergeCell ref="B1:M1"/>
    <mergeCell ref="B63:M63"/>
    <mergeCell ref="I41:J43"/>
    <mergeCell ref="D41:D43"/>
    <mergeCell ref="E41:E43"/>
    <mergeCell ref="F42:F43"/>
    <mergeCell ref="F41:H41"/>
    <mergeCell ref="G42:H42"/>
    <mergeCell ref="F3:H3"/>
    <mergeCell ref="B39:M39"/>
    <mergeCell ref="I51:J51"/>
    <mergeCell ref="I52:J52"/>
    <mergeCell ref="I53:J53"/>
    <mergeCell ref="I55:J55"/>
    <mergeCell ref="I56:J56"/>
    <mergeCell ref="I54:J54"/>
    <mergeCell ref="C83:D83"/>
    <mergeCell ref="E83:F83"/>
    <mergeCell ref="C84:F84"/>
    <mergeCell ref="G84:H84"/>
    <mergeCell ref="I57:J57"/>
    <mergeCell ref="I60:J60"/>
    <mergeCell ref="I61:J61"/>
    <mergeCell ref="I62:J62"/>
    <mergeCell ref="C65:D65"/>
    <mergeCell ref="E65:F65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4" manualBreakCount="4">
    <brk id="30" max="255" man="1"/>
    <brk id="38" max="255" man="1"/>
    <brk id="62" max="255" man="1"/>
    <brk id="8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2021-12-08T11:24:20Z</dcterms:modified>
  <cp:category/>
  <cp:version/>
  <cp:contentType/>
  <cp:contentStatus/>
</cp:coreProperties>
</file>