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'doch_wyd'!$A$1:$M$105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5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<sst xmlns="http://schemas.openxmlformats.org/spreadsheetml/2006/main" count="250" uniqueCount="105">
  <si>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</si>
  <si>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</si>
  <si>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</si>
  <si>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</si>
  <si>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</si>
  <si>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</si>
  <si>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</si>
  <si>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</si>
  <si>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</si>
  <si>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</si>
  <si>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</si>
  <si>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</si>
  <si>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</si>
  <si>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</si>
  <si>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</si>
  <si>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</si>
  <si>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</si>
  <si>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</si>
  <si>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</si>
  <si>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</si>
  <si>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</si>
  <si>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</si>
  <si>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</si>
  <si>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</si>
  <si>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</si>
  <si>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</si>
  <si>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</si>
  <si>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</si>
  <si>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</si>
  <si>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</si>
  <si>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 xml:space="preserve">wpływy z opłaty skarbowej        </t>
  </si>
  <si>
    <t>wpływy z opłaty eksploatacyjnej</t>
  </si>
  <si>
    <t>wpływy z opłaty targowej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</si>
  <si>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</si>
  <si>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</si>
  <si>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</si>
  <si>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</si>
  <si>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</si>
  <si>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</si>
  <si>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</si>
  <si>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</si>
  <si>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</si>
  <si>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</si>
  <si>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</si>
  <si>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</si>
  <si>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</si>
  <si>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</si>
  <si>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</si>
  <si>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</si>
  <si>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</si>
  <si>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</si>
  <si>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</si>
  <si>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</si>
  <si>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</si>
  <si>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</si>
  <si>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</si>
  <si>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</si>
  <si>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</si>
  <si>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</si>
  <si>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</si>
  <si>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część regionalna</t>
  </si>
  <si>
    <t>#</t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</si>
  <si>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</si>
  <si>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</si>
  <si>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</si>
  <si>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</si>
  <si>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</si>
  <si>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</si>
  <si>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</si>
  <si>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</si>
  <si>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z tego:</t>
  </si>
  <si>
    <t>świadczenia na rzecz osób fizycznych</t>
  </si>
  <si>
    <r>
      <t xml:space="preserve">Dotacje </t>
    </r>
    <r>
      <rPr>
        <b/>
        <sz val="10"/>
        <color indexed="8"/>
        <rFont val="Arial"/>
        <family val="0"/>
      </rPr>
      <t>§§ 200 i 620</t>
    </r>
  </si>
  <si>
    <r>
      <t xml:space="preserve">w tym: inwestycyjne </t>
    </r>
    <r>
      <rPr>
        <sz val="8"/>
        <color indexed="8"/>
        <rFont val="Arial"/>
        <family val="0"/>
      </rPr>
      <t>§</t>
    </r>
    <r>
      <rPr>
        <sz val="8"/>
        <color indexed="8"/>
        <rFont val="Arial"/>
        <family val="2"/>
      </rPr>
      <t xml:space="preserve"> 620</t>
    </r>
  </si>
  <si>
    <t>UE</t>
  </si>
  <si>
    <t>WYDATKI OGÓŁEM UE
z tego:</t>
  </si>
  <si>
    <t>majątkowe</t>
  </si>
  <si>
    <t>bieżące</t>
  </si>
  <si>
    <t>wydatki majątkowe</t>
  </si>
  <si>
    <t>wydatki bieżące</t>
  </si>
  <si>
    <t>Dochody bieżące 
minus 
wydatki bieżące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</si>
  <si>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</si>
  <si>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</si>
  <si>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</si>
  <si>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</si>
  <si>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</si>
  <si>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</si>
  <si>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</si>
  <si>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</si>
  <si>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</si>
  <si>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r>
      <t xml:space="preserve">Dotacje </t>
    </r>
    <r>
      <rPr>
        <b/>
        <sz val="10"/>
        <color indexed="8"/>
        <rFont val="Arial"/>
        <family val="0"/>
      </rPr>
      <t>§§ 205 i 625</t>
    </r>
  </si>
  <si>
    <r>
      <t xml:space="preserve">w tym: inwestycyjne </t>
    </r>
    <r>
      <rPr>
        <sz val="8"/>
        <color indexed="8"/>
        <rFont val="Arial"/>
        <family val="0"/>
      </rPr>
      <t>§</t>
    </r>
    <r>
      <rPr>
        <sz val="8"/>
        <color indexed="8"/>
        <rFont val="Arial"/>
        <family val="2"/>
      </rPr>
      <t xml:space="preserve"> 625</t>
    </r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</si>
  <si>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</si>
  <si>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</si>
  <si>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</si>
  <si>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</si>
  <si>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</si>
  <si>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</si>
  <si>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wolne środki , o których mowa w art. 217 ust.2 pkt 6 ustawy o finansach publicznych</t>
  </si>
  <si>
    <t>spłaty kredytów i pożyczek, wykup papierów wartościowych w tym:</t>
  </si>
  <si>
    <t>wykup papierów wartościowych</t>
  </si>
  <si>
    <t xml:space="preserve"> udzielone pożyczki</t>
  </si>
  <si>
    <t>wydatki na wynagrodzenia i pochodne od wynagrodzeń</t>
  </si>
  <si>
    <t>niewykorzystane środki pienężne o których mowa w art.217 ust.2 pkt.8 ustawy o finansach publicznych</t>
  </si>
  <si>
    <t>Informacja z wykonania budżetów jednostek samorządu terytorialnego za I Kwartał 2021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</si>
</sst>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dd/mm/yy\ h:mm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6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19" fillId="39" borderId="0" applyNumberFormat="0" applyBorder="0" applyAlignment="0" applyProtection="0"/>
    <xf numFmtId="0" fontId="20" fillId="40" borderId="1" applyNumberFormat="0" applyAlignment="0" applyProtection="0"/>
    <xf numFmtId="0" fontId="21" fillId="41" borderId="2" applyNumberFormat="0" applyAlignment="0" applyProtection="0"/>
    <xf numFmtId="0" fontId="51" fillId="42" borderId="3" applyNumberFormat="0" applyAlignment="0" applyProtection="0"/>
    <xf numFmtId="0" fontId="52" fillId="43" borderId="4" applyNumberFormat="0" applyAlignment="0" applyProtection="0"/>
    <xf numFmtId="0" fontId="53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5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6" borderId="1" applyNumberFormat="0" applyAlignment="0" applyProtection="0"/>
    <xf numFmtId="0" fontId="54" fillId="0" borderId="8" applyNumberFormat="0" applyFill="0" applyAlignment="0" applyProtection="0"/>
    <xf numFmtId="0" fontId="55" fillId="46" borderId="9" applyNumberFormat="0" applyAlignment="0" applyProtection="0"/>
    <xf numFmtId="0" fontId="28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59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0" borderId="0">
      <alignment/>
      <protection/>
    </xf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0" fontId="61" fillId="43" borderId="3" applyNumberFormat="0" applyAlignment="0" applyProtection="0"/>
    <xf numFmtId="0" fontId="2" fillId="0" borderId="0" applyNumberFormat="0" applyFill="0" applyBorder="0" applyAlignment="0" applyProtection="0"/>
    <xf numFmtId="0" fontId="30" fillId="40" borderId="15" applyNumberFormat="0" applyAlignment="0" applyProtection="0"/>
    <xf numFmtId="9" fontId="0" fillId="0" borderId="0" applyFont="0" applyFill="0" applyBorder="0" applyAlignment="0" applyProtection="0"/>
    <xf numFmtId="0" fontId="62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65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6" fillId="49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8" fillId="40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4" fontId="5" fillId="0" borderId="19" xfId="0" applyNumberFormat="1" applyFont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5" fillId="0" borderId="19" xfId="0" applyFont="1" applyBorder="1" applyAlignment="1">
      <alignment horizontal="left" vertical="center" wrapText="1" indent="2"/>
    </xf>
    <xf numFmtId="0" fontId="7" fillId="0" borderId="19" xfId="0" applyFont="1" applyFill="1" applyBorder="1" applyAlignment="1">
      <alignment horizontal="left" vertical="center" wrapText="1" indent="1"/>
    </xf>
    <xf numFmtId="164" fontId="14" fillId="40" borderId="19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Fill="1" applyBorder="1" applyAlignment="1">
      <alignment horizontal="right" vertical="center"/>
    </xf>
    <xf numFmtId="164" fontId="12" fillId="4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0" fontId="7" fillId="5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1" fillId="40" borderId="19" xfId="0" applyFont="1" applyFill="1" applyBorder="1" applyAlignment="1">
      <alignment horizontal="left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164" fontId="12" fillId="40" borderId="19" xfId="72" applyNumberFormat="1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4" fontId="12" fillId="40" borderId="20" xfId="0" applyNumberFormat="1" applyFont="1" applyFill="1" applyBorder="1" applyAlignment="1">
      <alignment horizontal="right" vertical="center"/>
    </xf>
    <xf numFmtId="4" fontId="12" fillId="40" borderId="21" xfId="0" applyNumberFormat="1" applyFont="1" applyFill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" fontId="7" fillId="40" borderId="21" xfId="0" applyNumberFormat="1" applyFont="1" applyFill="1" applyBorder="1" applyAlignment="1">
      <alignment horizontal="right" vertical="center"/>
    </xf>
    <xf numFmtId="4" fontId="7" fillId="50" borderId="21" xfId="0" applyNumberFormat="1" applyFont="1" applyFill="1" applyBorder="1" applyAlignment="1">
      <alignment horizontal="right" vertical="center"/>
    </xf>
    <xf numFmtId="0" fontId="67" fillId="0" borderId="19" xfId="91" applyFont="1" applyBorder="1" applyAlignment="1">
      <alignment horizontal="left" vertical="center" wrapText="1"/>
      <protection/>
    </xf>
    <xf numFmtId="4" fontId="7" fillId="40" borderId="20" xfId="0" applyNumberFormat="1" applyFont="1" applyFill="1" applyBorder="1" applyAlignment="1">
      <alignment horizontal="right" vertical="center"/>
    </xf>
    <xf numFmtId="4" fontId="7" fillId="51" borderId="21" xfId="0" applyNumberFormat="1" applyFont="1" applyFill="1" applyBorder="1" applyAlignment="1">
      <alignment horizontal="right" vertical="center"/>
    </xf>
    <xf numFmtId="4" fontId="7" fillId="51" borderId="20" xfId="0" applyNumberFormat="1" applyFont="1" applyFill="1" applyBorder="1" applyAlignment="1">
      <alignment horizontal="right" vertical="center"/>
    </xf>
    <xf numFmtId="4" fontId="12" fillId="52" borderId="20" xfId="0" applyNumberFormat="1" applyFont="1" applyFill="1" applyBorder="1" applyAlignment="1">
      <alignment horizontal="right" vertical="center"/>
    </xf>
    <xf numFmtId="4" fontId="12" fillId="52" borderId="21" xfId="0" applyNumberFormat="1" applyFont="1" applyFill="1" applyBorder="1" applyAlignment="1">
      <alignment horizontal="right" vertical="center"/>
    </xf>
    <xf numFmtId="0" fontId="67" fillId="52" borderId="19" xfId="91" applyFont="1" applyFill="1" applyBorder="1" applyAlignment="1">
      <alignment horizontal="left" vertical="center" wrapText="1"/>
      <protection/>
    </xf>
    <xf numFmtId="164" fontId="12" fillId="51" borderId="19" xfId="72" applyNumberFormat="1" applyFont="1" applyFill="1" applyBorder="1" applyAlignment="1">
      <alignment horizontal="right" vertical="center"/>
    </xf>
    <xf numFmtId="164" fontId="12" fillId="51" borderId="19" xfId="0" applyNumberFormat="1" applyFont="1" applyFill="1" applyBorder="1" applyAlignment="1">
      <alignment horizontal="right" vertical="center"/>
    </xf>
    <xf numFmtId="164" fontId="12" fillId="52" borderId="19" xfId="0" applyNumberFormat="1" applyFont="1" applyFill="1" applyBorder="1" applyAlignment="1">
      <alignment horizontal="right" vertical="center"/>
    </xf>
    <xf numFmtId="0" fontId="11" fillId="40" borderId="19" xfId="0" applyFont="1" applyFill="1" applyBorder="1" applyAlignment="1">
      <alignment horizontal="center" vertical="center" wrapText="1"/>
    </xf>
    <xf numFmtId="4" fontId="12" fillId="40" borderId="19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/>
    </xf>
    <xf numFmtId="0" fontId="8" fillId="52" borderId="19" xfId="0" applyFont="1" applyFill="1" applyBorder="1" applyAlignment="1">
      <alignment horizontal="left" vertical="center" wrapText="1"/>
    </xf>
    <xf numFmtId="4" fontId="14" fillId="52" borderId="19" xfId="0" applyNumberFormat="1" applyFont="1" applyFill="1" applyBorder="1" applyAlignment="1">
      <alignment horizontal="right" vertical="center"/>
    </xf>
    <xf numFmtId="164" fontId="14" fillId="52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1"/>
    </xf>
    <xf numFmtId="4" fontId="5" fillId="52" borderId="19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2"/>
    </xf>
    <xf numFmtId="0" fontId="11" fillId="52" borderId="19" xfId="0" applyFont="1" applyFill="1" applyBorder="1" applyAlignment="1">
      <alignment horizontal="left" vertical="center" wrapText="1"/>
    </xf>
    <xf numFmtId="4" fontId="12" fillId="52" borderId="19" xfId="0" applyNumberFormat="1" applyFont="1" applyFill="1" applyBorder="1" applyAlignment="1">
      <alignment horizontal="right" vertical="center"/>
    </xf>
    <xf numFmtId="164" fontId="7" fillId="52" borderId="19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164" fontId="12" fillId="0" borderId="19" xfId="0" applyNumberFormat="1" applyFont="1" applyFill="1" applyBorder="1" applyAlignment="1">
      <alignment horizontal="right" vertical="center"/>
    </xf>
    <xf numFmtId="0" fontId="11" fillId="52" borderId="23" xfId="0" applyFont="1" applyFill="1" applyBorder="1" applyAlignment="1">
      <alignment horizontal="left" vertical="center" wrapText="1"/>
    </xf>
    <xf numFmtId="4" fontId="7" fillId="0" borderId="20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164" fontId="12" fillId="0" borderId="19" xfId="72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" fontId="5" fillId="0" borderId="19" xfId="0" applyNumberFormat="1" applyFont="1" applyBorder="1" applyAlignment="1">
      <alignment horizontal="right" vertical="center"/>
    </xf>
    <xf numFmtId="4" fontId="5" fillId="29" borderId="19" xfId="0" applyNumberFormat="1" applyFont="1" applyFill="1" applyBorder="1" applyAlignment="1">
      <alignment horizontal="right" vertical="center"/>
    </xf>
    <xf numFmtId="4" fontId="12" fillId="52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 wrapText="1"/>
    </xf>
    <xf numFmtId="4" fontId="14" fillId="29" borderId="19" xfId="0" applyNumberFormat="1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4" fontId="12" fillId="40" borderId="20" xfId="0" applyNumberFormat="1" applyFont="1" applyFill="1" applyBorder="1" applyAlignment="1">
      <alignment vertical="center" wrapText="1"/>
    </xf>
    <xf numFmtId="4" fontId="12" fillId="40" borderId="21" xfId="0" applyNumberFormat="1" applyFont="1" applyFill="1" applyBorder="1" applyAlignment="1">
      <alignment vertical="center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Dziesiętny 3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y" xfId="89"/>
    <cellStyle name="Normalny 2" xfId="90"/>
    <cellStyle name="Normalny 2 2" xfId="91"/>
    <cellStyle name="Note" xfId="92"/>
    <cellStyle name="Note 2" xfId="93"/>
    <cellStyle name="Obliczenia" xfId="94"/>
    <cellStyle name="Followed Hyperlink" xfId="95"/>
    <cellStyle name="Output" xfId="96"/>
    <cellStyle name="Percent" xfId="97"/>
    <cellStyle name="Suma" xfId="98"/>
    <cellStyle name="Tekst objaśnienia" xfId="99"/>
    <cellStyle name="Tekst ostrzeżenia" xfId="100"/>
    <cellStyle name="Title" xfId="101"/>
    <cellStyle name="Total" xfId="102"/>
    <cellStyle name="Tytuł" xfId="103"/>
    <cellStyle name="Uwaga" xfId="104"/>
    <cellStyle name="Currency" xfId="105"/>
    <cellStyle name="Currency [0]" xfId="106"/>
    <cellStyle name="Warning Text" xfId="107"/>
    <cellStyle name="Zły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03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0.37109375" style="1" customWidth="1"/>
    <col min="2" max="2" width="22.875" style="1" customWidth="1"/>
    <col min="3" max="5" width="14.625" style="1" customWidth="1"/>
    <col min="6" max="6" width="13.875" style="1" customWidth="1"/>
    <col min="7" max="8" width="13.00390625" style="1" customWidth="1"/>
    <col min="9" max="9" width="12.00390625" style="1" customWidth="1"/>
    <col min="10" max="10" width="13.00390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62.25" customHeight="1">
      <c r="B1" s="99" t="s">
        <v>104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ht="12.75"/>
    <row r="3" spans="2:13" ht="66.75" customHeight="1">
      <c r="B3" s="92" t="s">
        <v>0</v>
      </c>
      <c r="C3" s="15" t="s">
        <v>37</v>
      </c>
      <c r="D3" s="15" t="s">
        <v>38</v>
      </c>
      <c r="E3" s="15" t="s">
        <v>39</v>
      </c>
      <c r="F3" s="15" t="s">
        <v>40</v>
      </c>
      <c r="G3" s="15" t="s">
        <v>41</v>
      </c>
      <c r="H3" s="15" t="s">
        <v>42</v>
      </c>
      <c r="I3" s="15" t="s">
        <v>43</v>
      </c>
      <c r="J3" s="15" t="s">
        <v>44</v>
      </c>
      <c r="K3" s="17" t="s">
        <v>2</v>
      </c>
      <c r="L3" s="15" t="s">
        <v>18</v>
      </c>
      <c r="M3" s="15" t="s">
        <v>3</v>
      </c>
    </row>
    <row r="4" spans="2:13" ht="12.75">
      <c r="B4" s="92"/>
      <c r="C4" s="93" t="s">
        <v>81</v>
      </c>
      <c r="D4" s="93"/>
      <c r="E4" s="93"/>
      <c r="F4" s="93"/>
      <c r="G4" s="93"/>
      <c r="H4" s="93"/>
      <c r="I4" s="93"/>
      <c r="J4" s="93"/>
      <c r="K4" s="93" t="s">
        <v>4</v>
      </c>
      <c r="L4" s="93"/>
      <c r="M4" s="93"/>
    </row>
    <row r="5" spans="2:13" ht="12.75">
      <c r="B5" s="17">
        <v>1</v>
      </c>
      <c r="C5" s="19">
        <v>2</v>
      </c>
      <c r="D5" s="19">
        <v>3</v>
      </c>
      <c r="E5" s="19">
        <v>4</v>
      </c>
      <c r="F5" s="17">
        <v>5</v>
      </c>
      <c r="G5" s="19">
        <v>6</v>
      </c>
      <c r="H5" s="17">
        <v>7</v>
      </c>
      <c r="I5" s="19">
        <v>8</v>
      </c>
      <c r="J5" s="17">
        <v>9</v>
      </c>
      <c r="K5" s="19">
        <v>10</v>
      </c>
      <c r="L5" s="17">
        <v>11</v>
      </c>
      <c r="M5" s="19">
        <v>12</v>
      </c>
    </row>
    <row r="6" spans="2:13" ht="25.5" customHeight="1">
      <c r="B6" s="68" t="s">
        <v>5</v>
      </c>
      <c r="C6" s="69">
        <f>303124072984.43</f>
        <v>303124072984.43</v>
      </c>
      <c r="D6" s="69">
        <f>83005719016.7</f>
        <v>83005719016.7</v>
      </c>
      <c r="E6" s="69">
        <f>77453626761.73</f>
        <v>77453626761.73</v>
      </c>
      <c r="F6" s="69">
        <f>994546509.19</f>
        <v>994546509.19</v>
      </c>
      <c r="G6" s="69">
        <f>271171924.41</f>
        <v>271171924.41</v>
      </c>
      <c r="H6" s="69">
        <f>49080732.71</f>
        <v>49080732.71</v>
      </c>
      <c r="I6" s="69">
        <f>143713235.25</f>
        <v>143713235.25</v>
      </c>
      <c r="J6" s="69">
        <f>280399.81</f>
        <v>280399.81</v>
      </c>
      <c r="K6" s="70">
        <f aca="true" t="shared" si="0" ref="K6:K46">IF($D$6=0,"",100*$D6/$D$6)</f>
        <v>100</v>
      </c>
      <c r="L6" s="70">
        <f aca="true" t="shared" si="1" ref="L6:L50">IF(C6=0,"",100*D6/C6)</f>
        <v>27.383413728728698</v>
      </c>
      <c r="M6" s="70"/>
    </row>
    <row r="7" spans="2:13" ht="38.25" customHeight="1">
      <c r="B7" s="20" t="s">
        <v>62</v>
      </c>
      <c r="C7" s="25">
        <f>C6-C22-C40</f>
        <v>143785187972.78</v>
      </c>
      <c r="D7" s="25">
        <f>D6-D22-D40</f>
        <v>37720983234.31</v>
      </c>
      <c r="E7" s="25">
        <f>E6-E22-E40</f>
        <v>36319627114.619995</v>
      </c>
      <c r="F7" s="25">
        <f>F6</f>
        <v>994546509.19</v>
      </c>
      <c r="G7" s="25">
        <f>G6</f>
        <v>271171924.41</v>
      </c>
      <c r="H7" s="25">
        <f>H6</f>
        <v>49080732.71</v>
      </c>
      <c r="I7" s="25">
        <f>I6</f>
        <v>143713235.25</v>
      </c>
      <c r="J7" s="25">
        <f>J6</f>
        <v>280399.81</v>
      </c>
      <c r="K7" s="31">
        <f t="shared" si="0"/>
        <v>45.44383649844763</v>
      </c>
      <c r="L7" s="31">
        <f t="shared" si="1"/>
        <v>26.23426221166186</v>
      </c>
      <c r="M7" s="31">
        <f aca="true" t="shared" si="2" ref="M7:M21">IF($D$7=0,"",100*$D7/$D$7)</f>
        <v>100</v>
      </c>
    </row>
    <row r="8" spans="2:13" ht="32.25" customHeight="1">
      <c r="B8" s="21" t="s">
        <v>35</v>
      </c>
      <c r="C8" s="23">
        <f>10135206009.34</f>
        <v>10135206009.34</v>
      </c>
      <c r="D8" s="23">
        <f>2798041445.13</f>
        <v>2798041445.13</v>
      </c>
      <c r="E8" s="23">
        <f>2834341755.27</f>
        <v>2834341755.27</v>
      </c>
      <c r="F8" s="23">
        <f>0</f>
        <v>0</v>
      </c>
      <c r="G8" s="23">
        <f>0</f>
        <v>0</v>
      </c>
      <c r="H8" s="23">
        <f>0</f>
        <v>0</v>
      </c>
      <c r="I8" s="23">
        <f>0</f>
        <v>0</v>
      </c>
      <c r="J8" s="24">
        <f>0</f>
        <v>0</v>
      </c>
      <c r="K8" s="32">
        <f t="shared" si="0"/>
        <v>3.3709020032307166</v>
      </c>
      <c r="L8" s="32">
        <f t="shared" si="1"/>
        <v>27.60714920398749</v>
      </c>
      <c r="M8" s="32">
        <f t="shared" si="2"/>
        <v>7.417732002767564</v>
      </c>
    </row>
    <row r="9" spans="2:13" ht="32.25" customHeight="1">
      <c r="B9" s="21" t="s">
        <v>19</v>
      </c>
      <c r="C9" s="23">
        <f>57214320938.88</f>
        <v>57214320938.88</v>
      </c>
      <c r="D9" s="23">
        <f>12831404506</f>
        <v>12831404506</v>
      </c>
      <c r="E9" s="23">
        <f>11806010547.24</f>
        <v>11806010547.24</v>
      </c>
      <c r="F9" s="23">
        <f>0</f>
        <v>0</v>
      </c>
      <c r="G9" s="23">
        <f>0</f>
        <v>0</v>
      </c>
      <c r="H9" s="23">
        <f>0</f>
        <v>0</v>
      </c>
      <c r="I9" s="23">
        <f>0</f>
        <v>0</v>
      </c>
      <c r="J9" s="24">
        <f>0</f>
        <v>0</v>
      </c>
      <c r="K9" s="32">
        <f t="shared" si="0"/>
        <v>15.458458354439937</v>
      </c>
      <c r="L9" s="32">
        <f t="shared" si="1"/>
        <v>22.426910422842084</v>
      </c>
      <c r="M9" s="32">
        <f t="shared" si="2"/>
        <v>34.016622595163156</v>
      </c>
    </row>
    <row r="10" spans="2:13" ht="32.25" customHeight="1">
      <c r="B10" s="21" t="s">
        <v>20</v>
      </c>
      <c r="C10" s="23">
        <f>1668807519.13</f>
        <v>1668807519.13</v>
      </c>
      <c r="D10" s="23">
        <f>639075780.47</f>
        <v>639075780.47</v>
      </c>
      <c r="E10" s="23">
        <f>638750793.82</f>
        <v>638750793.82</v>
      </c>
      <c r="F10" s="23">
        <f>40726046.19</f>
        <v>40726046.19</v>
      </c>
      <c r="G10" s="23">
        <f>437019.01</f>
        <v>437019.01</v>
      </c>
      <c r="H10" s="23">
        <f>1118786.8</f>
        <v>1118786.8</v>
      </c>
      <c r="I10" s="23">
        <f>1751462.89</f>
        <v>1751462.89</v>
      </c>
      <c r="J10" s="24">
        <f>667.56</f>
        <v>667.56</v>
      </c>
      <c r="K10" s="32">
        <f t="shared" si="0"/>
        <v>0.7699177695713035</v>
      </c>
      <c r="L10" s="32">
        <f t="shared" si="1"/>
        <v>38.29535600385894</v>
      </c>
      <c r="M10" s="32">
        <f t="shared" si="2"/>
        <v>1.6942182458507968</v>
      </c>
    </row>
    <row r="11" spans="2:13" ht="32.25" customHeight="1">
      <c r="B11" s="21" t="s">
        <v>21</v>
      </c>
      <c r="C11" s="23">
        <f>25357351483.84</f>
        <v>25357351483.84</v>
      </c>
      <c r="D11" s="23">
        <f>7405742000.36</f>
        <v>7405742000.36</v>
      </c>
      <c r="E11" s="23">
        <f>7407908514.63</f>
        <v>7407908514.63</v>
      </c>
      <c r="F11" s="23">
        <f>620610504.78</f>
        <v>620610504.78</v>
      </c>
      <c r="G11" s="23">
        <f>238895404.1</f>
        <v>238895404.1</v>
      </c>
      <c r="H11" s="23">
        <f>40932003.08</f>
        <v>40932003.08</v>
      </c>
      <c r="I11" s="23">
        <f>118701919.87</f>
        <v>118701919.87</v>
      </c>
      <c r="J11" s="24">
        <f>269459.87</f>
        <v>269459.87</v>
      </c>
      <c r="K11" s="32">
        <f t="shared" si="0"/>
        <v>8.921965965827043</v>
      </c>
      <c r="L11" s="32">
        <f t="shared" si="1"/>
        <v>29.205502810810543</v>
      </c>
      <c r="M11" s="32">
        <f t="shared" si="2"/>
        <v>19.6329505897501</v>
      </c>
    </row>
    <row r="12" spans="2:13" ht="32.25" customHeight="1">
      <c r="B12" s="21" t="s">
        <v>22</v>
      </c>
      <c r="C12" s="23">
        <f>307179223.1</f>
        <v>307179223.1</v>
      </c>
      <c r="D12" s="23">
        <f>98479201.41</f>
        <v>98479201.41</v>
      </c>
      <c r="E12" s="23">
        <f>98479191.33</f>
        <v>98479191.33</v>
      </c>
      <c r="F12" s="23">
        <f>407405.39</f>
        <v>407405.39</v>
      </c>
      <c r="G12" s="23">
        <f>212414.74</f>
        <v>212414.74</v>
      </c>
      <c r="H12" s="23">
        <f>36811.56</f>
        <v>36811.56</v>
      </c>
      <c r="I12" s="23">
        <f>14057.34</f>
        <v>14057.34</v>
      </c>
      <c r="J12" s="24">
        <f>111.39</f>
        <v>111.39</v>
      </c>
      <c r="K12" s="32">
        <f t="shared" si="0"/>
        <v>0.11864146540334995</v>
      </c>
      <c r="L12" s="32">
        <f t="shared" si="1"/>
        <v>32.059199973281004</v>
      </c>
      <c r="M12" s="32">
        <f t="shared" si="2"/>
        <v>0.26107273184869145</v>
      </c>
    </row>
    <row r="13" spans="2:13" ht="32.25" customHeight="1">
      <c r="B13" s="21" t="s">
        <v>23</v>
      </c>
      <c r="C13" s="23">
        <f>1205273127.81</f>
        <v>1205273127.81</v>
      </c>
      <c r="D13" s="23">
        <f>547566209.97</f>
        <v>547566209.97</v>
      </c>
      <c r="E13" s="23">
        <f>547481486.98</f>
        <v>547481486.98</v>
      </c>
      <c r="F13" s="23">
        <f>330879494.01</f>
        <v>330879494.01</v>
      </c>
      <c r="G13" s="23">
        <f>1141794.02</f>
        <v>1141794.02</v>
      </c>
      <c r="H13" s="23">
        <f>2134971.18</f>
        <v>2134971.18</v>
      </c>
      <c r="I13" s="23">
        <f>6517022.94</f>
        <v>6517022.94</v>
      </c>
      <c r="J13" s="24">
        <f>495.43</f>
        <v>495.43</v>
      </c>
      <c r="K13" s="32">
        <f t="shared" si="0"/>
        <v>0.6596728712871395</v>
      </c>
      <c r="L13" s="32">
        <f t="shared" si="1"/>
        <v>45.4308817923234</v>
      </c>
      <c r="M13" s="32">
        <f t="shared" si="2"/>
        <v>1.4516223147437695</v>
      </c>
    </row>
    <row r="14" spans="2:13" ht="43.5" customHeight="1">
      <c r="B14" s="21" t="s">
        <v>46</v>
      </c>
      <c r="C14" s="23">
        <f>66536765.56</f>
        <v>66536765.56</v>
      </c>
      <c r="D14" s="23">
        <f>14440596.3</f>
        <v>14440596.3</v>
      </c>
      <c r="E14" s="23">
        <f>13061198.92</f>
        <v>13061198.92</v>
      </c>
      <c r="F14" s="23">
        <f>0</f>
        <v>0</v>
      </c>
      <c r="G14" s="23">
        <f>0</f>
        <v>0</v>
      </c>
      <c r="H14" s="23">
        <f>30009.95</f>
        <v>30009.95</v>
      </c>
      <c r="I14" s="23">
        <f>163880.42</f>
        <v>163880.42</v>
      </c>
      <c r="J14" s="24">
        <f>0</f>
        <v>0</v>
      </c>
      <c r="K14" s="32">
        <f t="shared" si="0"/>
        <v>0.01739711006791554</v>
      </c>
      <c r="L14" s="32">
        <f t="shared" si="1"/>
        <v>21.70318346325099</v>
      </c>
      <c r="M14" s="32">
        <f t="shared" si="2"/>
        <v>0.038282661430906764</v>
      </c>
    </row>
    <row r="15" spans="2:13" ht="32.25" customHeight="1">
      <c r="B15" s="21" t="s">
        <v>28</v>
      </c>
      <c r="C15" s="23">
        <f>273746266.09</f>
        <v>273746266.09</v>
      </c>
      <c r="D15" s="23">
        <f>87914790.8</f>
        <v>87914790.8</v>
      </c>
      <c r="E15" s="23">
        <f>86515705.08</f>
        <v>86515705.08</v>
      </c>
      <c r="F15" s="23">
        <f>0</f>
        <v>0</v>
      </c>
      <c r="G15" s="23">
        <f>0</f>
        <v>0</v>
      </c>
      <c r="H15" s="23">
        <f>1312639.51</f>
        <v>1312639.51</v>
      </c>
      <c r="I15" s="23">
        <f>3380119.36</f>
        <v>3380119.36</v>
      </c>
      <c r="J15" s="24">
        <f>0</f>
        <v>0</v>
      </c>
      <c r="K15" s="32">
        <f t="shared" si="0"/>
        <v>0.10591413681063631</v>
      </c>
      <c r="L15" s="32">
        <f t="shared" si="1"/>
        <v>32.11543012283357</v>
      </c>
      <c r="M15" s="32">
        <f t="shared" si="2"/>
        <v>0.23306601064426935</v>
      </c>
    </row>
    <row r="16" spans="2:13" ht="32.25" customHeight="1">
      <c r="B16" s="21" t="s">
        <v>29</v>
      </c>
      <c r="C16" s="23">
        <f>2685926932.22</f>
        <v>2685926932.22</v>
      </c>
      <c r="D16" s="23">
        <f>858036828.2</f>
        <v>858036828.2</v>
      </c>
      <c r="E16" s="23">
        <f>848103885.53</f>
        <v>848103885.53</v>
      </c>
      <c r="F16" s="23">
        <f>0</f>
        <v>0</v>
      </c>
      <c r="G16" s="23">
        <f>0</f>
        <v>0</v>
      </c>
      <c r="H16" s="23">
        <f>108297.07</f>
        <v>108297.07</v>
      </c>
      <c r="I16" s="23">
        <f>376936.48</f>
        <v>376936.48</v>
      </c>
      <c r="J16" s="24">
        <f>0</f>
        <v>0</v>
      </c>
      <c r="K16" s="32">
        <f t="shared" si="0"/>
        <v>1.0337080846530236</v>
      </c>
      <c r="L16" s="32">
        <f t="shared" si="1"/>
        <v>31.945650416141685</v>
      </c>
      <c r="M16" s="32">
        <f t="shared" si="2"/>
        <v>2.274693697325346</v>
      </c>
    </row>
    <row r="17" spans="2:13" ht="32.25" customHeight="1">
      <c r="B17" s="21" t="s">
        <v>30</v>
      </c>
      <c r="C17" s="23">
        <f>490630482.93</f>
        <v>490630482.93</v>
      </c>
      <c r="D17" s="23">
        <f>140518140.56</f>
        <v>140518140.56</v>
      </c>
      <c r="E17" s="23">
        <f>140255273.28</f>
        <v>140255273.28</v>
      </c>
      <c r="F17" s="23">
        <f>0</f>
        <v>0</v>
      </c>
      <c r="G17" s="23">
        <f>6888.88</f>
        <v>6888.88</v>
      </c>
      <c r="H17" s="23">
        <f>2729</f>
        <v>2729</v>
      </c>
      <c r="I17" s="23">
        <f>13897.4</f>
        <v>13897.4</v>
      </c>
      <c r="J17" s="24">
        <f>0</f>
        <v>0</v>
      </c>
      <c r="K17" s="32">
        <f t="shared" si="0"/>
        <v>0.169287299989208</v>
      </c>
      <c r="L17" s="32">
        <f t="shared" si="1"/>
        <v>28.640320047143955</v>
      </c>
      <c r="M17" s="32">
        <f t="shared" si="2"/>
        <v>0.3725198245420826</v>
      </c>
    </row>
    <row r="18" spans="2:13" ht="32.25" customHeight="1">
      <c r="B18" s="21" t="s">
        <v>31</v>
      </c>
      <c r="C18" s="23">
        <f>417306412.76</f>
        <v>417306412.76</v>
      </c>
      <c r="D18" s="23">
        <f>212383724.24</f>
        <v>212383724.24</v>
      </c>
      <c r="E18" s="23">
        <f>212393421.24</f>
        <v>212393421.24</v>
      </c>
      <c r="F18" s="23">
        <f>0</f>
        <v>0</v>
      </c>
      <c r="G18" s="23">
        <f>9918.88</f>
        <v>9918.88</v>
      </c>
      <c r="H18" s="23">
        <f>2639.89</f>
        <v>2639.89</v>
      </c>
      <c r="I18" s="23">
        <f>175812.82</f>
        <v>175812.82</v>
      </c>
      <c r="J18" s="24">
        <f>0</f>
        <v>0</v>
      </c>
      <c r="K18" s="32">
        <f t="shared" si="0"/>
        <v>0.2558663749389007</v>
      </c>
      <c r="L18" s="32">
        <f t="shared" si="1"/>
        <v>50.893951721308795</v>
      </c>
      <c r="M18" s="32">
        <f t="shared" si="2"/>
        <v>0.5630386751075498</v>
      </c>
    </row>
    <row r="19" spans="2:13" ht="32.25" customHeight="1">
      <c r="B19" s="21" t="s">
        <v>32</v>
      </c>
      <c r="C19" s="23">
        <f>34373060.58</f>
        <v>34373060.58</v>
      </c>
      <c r="D19" s="23">
        <f>1254831.05</f>
        <v>1254831.05</v>
      </c>
      <c r="E19" s="23">
        <f>1269417.15</f>
        <v>1269417.15</v>
      </c>
      <c r="F19" s="23">
        <f>20794.66</f>
        <v>20794.66</v>
      </c>
      <c r="G19" s="23">
        <f>0</f>
        <v>0</v>
      </c>
      <c r="H19" s="23">
        <f>195</f>
        <v>195</v>
      </c>
      <c r="I19" s="23">
        <f>7769</f>
        <v>7769</v>
      </c>
      <c r="J19" s="24">
        <f>0</f>
        <v>0</v>
      </c>
      <c r="K19" s="32">
        <f t="shared" si="0"/>
        <v>0.0015117404738672758</v>
      </c>
      <c r="L19" s="32">
        <f t="shared" si="1"/>
        <v>3.650623566323113</v>
      </c>
      <c r="M19" s="32">
        <f t="shared" si="2"/>
        <v>0.003326612782613363</v>
      </c>
    </row>
    <row r="20" spans="2:13" ht="32.25" customHeight="1">
      <c r="B20" s="21" t="s">
        <v>24</v>
      </c>
      <c r="C20" s="23">
        <f>9147450768.24</f>
        <v>9147450768.24</v>
      </c>
      <c r="D20" s="23">
        <f>2113943587.05</f>
        <v>2113943587.05</v>
      </c>
      <c r="E20" s="23">
        <f>2114824800.83</f>
        <v>2114824800.83</v>
      </c>
      <c r="F20" s="23">
        <f>0</f>
        <v>0</v>
      </c>
      <c r="G20" s="23">
        <f>39521.85</f>
        <v>39521.85</v>
      </c>
      <c r="H20" s="23">
        <f>0</f>
        <v>0</v>
      </c>
      <c r="I20" s="23">
        <f>133624.4</f>
        <v>133624.4</v>
      </c>
      <c r="J20" s="24">
        <f>0</f>
        <v>0</v>
      </c>
      <c r="K20" s="32">
        <f t="shared" si="0"/>
        <v>2.546744503983748</v>
      </c>
      <c r="L20" s="32">
        <f t="shared" si="1"/>
        <v>23.10964705477972</v>
      </c>
      <c r="M20" s="32">
        <f t="shared" si="2"/>
        <v>5.604158231822582</v>
      </c>
    </row>
    <row r="21" spans="2:13" ht="32.25" customHeight="1">
      <c r="B21" s="21" t="s">
        <v>25</v>
      </c>
      <c r="C21" s="23">
        <f>C7-C8-C9-C10-C11-C12-C13-C14-C15-C16-C17-C18-C19-C20</f>
        <v>34781078982.3</v>
      </c>
      <c r="D21" s="23">
        <f aca="true" t="shared" si="3" ref="D21:J21">D7-D8-D9-D10-D11-D12-D13-D14-D15-D16-D17-D18-D19-D20</f>
        <v>9972181592.770002</v>
      </c>
      <c r="E21" s="23">
        <f t="shared" si="3"/>
        <v>9570231123.319992</v>
      </c>
      <c r="F21" s="23">
        <f t="shared" si="3"/>
        <v>1902264.1600000525</v>
      </c>
      <c r="G21" s="23">
        <f t="shared" si="3"/>
        <v>30428962.930000044</v>
      </c>
      <c r="H21" s="23">
        <f t="shared" si="3"/>
        <v>3401649.6700000055</v>
      </c>
      <c r="I21" s="23">
        <f t="shared" si="3"/>
        <v>12476732.330000008</v>
      </c>
      <c r="J21" s="24">
        <f t="shared" si="3"/>
        <v>9665.560000000005</v>
      </c>
      <c r="K21" s="32">
        <f t="shared" si="0"/>
        <v>12.013848817770846</v>
      </c>
      <c r="L21" s="32">
        <f t="shared" si="1"/>
        <v>28.671283020992014</v>
      </c>
      <c r="M21" s="32">
        <f t="shared" si="2"/>
        <v>26.436695806220587</v>
      </c>
    </row>
    <row r="22" spans="2:13" ht="36.75" customHeight="1">
      <c r="B22" s="68" t="s">
        <v>70</v>
      </c>
      <c r="C22" s="69">
        <f>C23+C36+C38</f>
        <v>90207433167.65</v>
      </c>
      <c r="D22" s="69">
        <f>D23+D36+D38</f>
        <v>21112543785.39</v>
      </c>
      <c r="E22" s="69">
        <f>E23+E36+E38</f>
        <v>20893888560.11</v>
      </c>
      <c r="F22" s="72" t="s">
        <v>61</v>
      </c>
      <c r="G22" s="72" t="s">
        <v>61</v>
      </c>
      <c r="H22" s="72" t="s">
        <v>61</v>
      </c>
      <c r="I22" s="72" t="s">
        <v>61</v>
      </c>
      <c r="J22" s="72" t="s">
        <v>61</v>
      </c>
      <c r="K22" s="70">
        <f t="shared" si="0"/>
        <v>25.43504716963219</v>
      </c>
      <c r="L22" s="70">
        <f t="shared" si="1"/>
        <v>23.40443912881598</v>
      </c>
      <c r="M22" s="73"/>
    </row>
    <row r="23" spans="2:13" ht="36.75" customHeight="1">
      <c r="B23" s="68" t="s">
        <v>63</v>
      </c>
      <c r="C23" s="69">
        <f>C24+C26+C28+C30+C32+C34</f>
        <v>67563587797.13</v>
      </c>
      <c r="D23" s="69">
        <f>D24+D26+D28+D30+D32+D34</f>
        <v>17713301919.879997</v>
      </c>
      <c r="E23" s="69">
        <f>E24+E26+E28+E30+E32+E34</f>
        <v>17536788283.329998</v>
      </c>
      <c r="F23" s="72" t="s">
        <v>61</v>
      </c>
      <c r="G23" s="72" t="s">
        <v>61</v>
      </c>
      <c r="H23" s="72" t="s">
        <v>61</v>
      </c>
      <c r="I23" s="72" t="s">
        <v>61</v>
      </c>
      <c r="J23" s="72" t="s">
        <v>61</v>
      </c>
      <c r="K23" s="70">
        <f t="shared" si="0"/>
        <v>21.33985721672532</v>
      </c>
      <c r="L23" s="70">
        <f t="shared" si="1"/>
        <v>26.21723105212662</v>
      </c>
      <c r="M23" s="73"/>
    </row>
    <row r="24" spans="2:13" ht="33.75" customHeight="1">
      <c r="B24" s="71" t="s">
        <v>9</v>
      </c>
      <c r="C24" s="24">
        <f>59023588021.47</f>
        <v>59023588021.47</v>
      </c>
      <c r="D24" s="24">
        <f>16010955719.57</f>
        <v>16010955719.57</v>
      </c>
      <c r="E24" s="24">
        <f>15851208806.1</f>
        <v>15851208806.1</v>
      </c>
      <c r="F24" s="24" t="s">
        <v>61</v>
      </c>
      <c r="G24" s="24" t="s">
        <v>61</v>
      </c>
      <c r="H24" s="24" t="s">
        <v>61</v>
      </c>
      <c r="I24" s="24" t="s">
        <v>61</v>
      </c>
      <c r="J24" s="24" t="s">
        <v>61</v>
      </c>
      <c r="K24" s="32">
        <f t="shared" si="0"/>
        <v>19.288979011613332</v>
      </c>
      <c r="L24" s="32">
        <f t="shared" si="1"/>
        <v>27.126368044155445</v>
      </c>
      <c r="M24" s="28"/>
    </row>
    <row r="25" spans="2:13" ht="21" customHeight="1">
      <c r="B25" s="74" t="s">
        <v>6</v>
      </c>
      <c r="C25" s="24">
        <f>110150960.36</f>
        <v>110150960.36</v>
      </c>
      <c r="D25" s="24">
        <f>24388802.33</f>
        <v>24388802.33</v>
      </c>
      <c r="E25" s="24">
        <f>24387631.75</f>
        <v>24387631.75</v>
      </c>
      <c r="F25" s="24" t="s">
        <v>61</v>
      </c>
      <c r="G25" s="24" t="s">
        <v>61</v>
      </c>
      <c r="H25" s="24" t="s">
        <v>61</v>
      </c>
      <c r="I25" s="24" t="s">
        <v>61</v>
      </c>
      <c r="J25" s="24" t="s">
        <v>61</v>
      </c>
      <c r="K25" s="32">
        <f t="shared" si="0"/>
        <v>0.029382074655715223</v>
      </c>
      <c r="L25" s="32">
        <f t="shared" si="1"/>
        <v>22.141252559479728</v>
      </c>
      <c r="M25" s="28"/>
    </row>
    <row r="26" spans="2:13" ht="33.75" customHeight="1">
      <c r="B26" s="71" t="s">
        <v>7</v>
      </c>
      <c r="C26" s="24">
        <f>5369957548.37</f>
        <v>5369957548.37</v>
      </c>
      <c r="D26" s="24">
        <f>1266023617.17</f>
        <v>1266023617.17</v>
      </c>
      <c r="E26" s="24">
        <f>1255109983.57</f>
        <v>1255109983.57</v>
      </c>
      <c r="F26" s="24" t="s">
        <v>61</v>
      </c>
      <c r="G26" s="24" t="s">
        <v>61</v>
      </c>
      <c r="H26" s="24" t="s">
        <v>61</v>
      </c>
      <c r="I26" s="24" t="s">
        <v>61</v>
      </c>
      <c r="J26" s="24" t="s">
        <v>61</v>
      </c>
      <c r="K26" s="32">
        <f t="shared" si="0"/>
        <v>1.525224565448662</v>
      </c>
      <c r="L26" s="32">
        <f t="shared" si="1"/>
        <v>23.57604516918927</v>
      </c>
      <c r="M26" s="28"/>
    </row>
    <row r="27" spans="2:13" ht="21" customHeight="1">
      <c r="B27" s="74" t="s">
        <v>6</v>
      </c>
      <c r="C27" s="24">
        <f>576148628.56</f>
        <v>576148628.56</v>
      </c>
      <c r="D27" s="24">
        <f>33360291.9</f>
        <v>33360291.9</v>
      </c>
      <c r="E27" s="24">
        <f>33351011.09</f>
        <v>33351011.09</v>
      </c>
      <c r="F27" s="24" t="s">
        <v>61</v>
      </c>
      <c r="G27" s="24" t="s">
        <v>61</v>
      </c>
      <c r="H27" s="24" t="s">
        <v>61</v>
      </c>
      <c r="I27" s="24" t="s">
        <v>61</v>
      </c>
      <c r="J27" s="24" t="s">
        <v>61</v>
      </c>
      <c r="K27" s="32">
        <f t="shared" si="0"/>
        <v>0.040190353502375195</v>
      </c>
      <c r="L27" s="32">
        <f t="shared" si="1"/>
        <v>5.790223259470255</v>
      </c>
      <c r="M27" s="28"/>
    </row>
    <row r="28" spans="2:13" ht="39.75" customHeight="1">
      <c r="B28" s="71" t="s">
        <v>10</v>
      </c>
      <c r="C28" s="24">
        <f>209823906.88</f>
        <v>209823906.88</v>
      </c>
      <c r="D28" s="24">
        <f>19818568.29</f>
        <v>19818568.29</v>
      </c>
      <c r="E28" s="24">
        <f>17538579.97</f>
        <v>17538579.97</v>
      </c>
      <c r="F28" s="24" t="s">
        <v>61</v>
      </c>
      <c r="G28" s="24" t="s">
        <v>61</v>
      </c>
      <c r="H28" s="24" t="s">
        <v>61</v>
      </c>
      <c r="I28" s="24" t="s">
        <v>61</v>
      </c>
      <c r="J28" s="24" t="s">
        <v>61</v>
      </c>
      <c r="K28" s="32">
        <f t="shared" si="0"/>
        <v>0.023876147962783967</v>
      </c>
      <c r="L28" s="32">
        <f t="shared" si="1"/>
        <v>9.445333748996678</v>
      </c>
      <c r="M28" s="28"/>
    </row>
    <row r="29" spans="2:13" ht="21" customHeight="1">
      <c r="B29" s="74" t="s">
        <v>6</v>
      </c>
      <c r="C29" s="24">
        <f>12217601</f>
        <v>12217601</v>
      </c>
      <c r="D29" s="24">
        <f>26469.6</f>
        <v>26469.6</v>
      </c>
      <c r="E29" s="24">
        <f>-82627.2</f>
        <v>-82627.2</v>
      </c>
      <c r="F29" s="24" t="s">
        <v>61</v>
      </c>
      <c r="G29" s="24" t="s">
        <v>61</v>
      </c>
      <c r="H29" s="24" t="s">
        <v>61</v>
      </c>
      <c r="I29" s="24" t="s">
        <v>61</v>
      </c>
      <c r="J29" s="24" t="s">
        <v>61</v>
      </c>
      <c r="K29" s="32">
        <f t="shared" si="0"/>
        <v>3.188888707135295E-05</v>
      </c>
      <c r="L29" s="32">
        <f t="shared" si="1"/>
        <v>0.2166513704286136</v>
      </c>
      <c r="M29" s="28"/>
    </row>
    <row r="30" spans="2:13" ht="39.75" customHeight="1">
      <c r="B30" s="71" t="s">
        <v>11</v>
      </c>
      <c r="C30" s="24">
        <f>1367163462.49</f>
        <v>1367163462.49</v>
      </c>
      <c r="D30" s="24">
        <f>263147324.29</f>
        <v>263147324.29</v>
      </c>
      <c r="E30" s="24">
        <f>261177144.56</f>
        <v>261177144.56</v>
      </c>
      <c r="F30" s="24" t="s">
        <v>61</v>
      </c>
      <c r="G30" s="24" t="s">
        <v>61</v>
      </c>
      <c r="H30" s="24" t="s">
        <v>61</v>
      </c>
      <c r="I30" s="24" t="s">
        <v>61</v>
      </c>
      <c r="J30" s="24" t="s">
        <v>61</v>
      </c>
      <c r="K30" s="32">
        <f t="shared" si="0"/>
        <v>0.31702312492113605</v>
      </c>
      <c r="L30" s="32">
        <f t="shared" si="1"/>
        <v>19.247685555517453</v>
      </c>
      <c r="M30" s="28"/>
    </row>
    <row r="31" spans="2:13" ht="21" customHeight="1">
      <c r="B31" s="74" t="s">
        <v>6</v>
      </c>
      <c r="C31" s="24">
        <f>273906134.58</f>
        <v>273906134.58</v>
      </c>
      <c r="D31" s="24">
        <f>17157919.79</f>
        <v>17157919.79</v>
      </c>
      <c r="E31" s="24">
        <f>16221576.88</f>
        <v>16221576.88</v>
      </c>
      <c r="F31" s="24" t="s">
        <v>61</v>
      </c>
      <c r="G31" s="24" t="s">
        <v>61</v>
      </c>
      <c r="H31" s="24" t="s">
        <v>61</v>
      </c>
      <c r="I31" s="24" t="s">
        <v>61</v>
      </c>
      <c r="J31" s="24" t="s">
        <v>61</v>
      </c>
      <c r="K31" s="32">
        <f t="shared" si="0"/>
        <v>0.020670768223269027</v>
      </c>
      <c r="L31" s="32">
        <f t="shared" si="1"/>
        <v>6.264160463696615</v>
      </c>
      <c r="M31" s="28"/>
    </row>
    <row r="32" spans="2:13" ht="39.75" customHeight="1">
      <c r="B32" s="71" t="s">
        <v>82</v>
      </c>
      <c r="C32" s="24">
        <f>1041041268</f>
        <v>1041041268</v>
      </c>
      <c r="D32" s="24">
        <f>102758754.96</f>
        <v>102758754.96</v>
      </c>
      <c r="E32" s="24">
        <f>102549265.53</f>
        <v>102549265.53</v>
      </c>
      <c r="F32" s="24" t="s">
        <v>61</v>
      </c>
      <c r="G32" s="24" t="s">
        <v>61</v>
      </c>
      <c r="H32" s="24" t="s">
        <v>61</v>
      </c>
      <c r="I32" s="24" t="s">
        <v>61</v>
      </c>
      <c r="J32" s="24" t="s">
        <v>61</v>
      </c>
      <c r="K32" s="32">
        <f t="shared" si="0"/>
        <v>0.12379719876810641</v>
      </c>
      <c r="L32" s="32">
        <f t="shared" si="1"/>
        <v>9.870766713928194</v>
      </c>
      <c r="M32" s="28"/>
    </row>
    <row r="33" spans="2:13" ht="24" customHeight="1">
      <c r="B33" s="74" t="s">
        <v>6</v>
      </c>
      <c r="C33" s="24">
        <f>875592404.93</f>
        <v>875592404.93</v>
      </c>
      <c r="D33" s="24">
        <f>65806880.48</f>
        <v>65806880.48</v>
      </c>
      <c r="E33" s="24">
        <f>65640838.22</f>
        <v>65640838.22</v>
      </c>
      <c r="F33" s="24" t="s">
        <v>61</v>
      </c>
      <c r="G33" s="24" t="s">
        <v>61</v>
      </c>
      <c r="H33" s="24" t="s">
        <v>61</v>
      </c>
      <c r="I33" s="24" t="s">
        <v>61</v>
      </c>
      <c r="J33" s="24" t="s">
        <v>61</v>
      </c>
      <c r="K33" s="32">
        <f t="shared" si="0"/>
        <v>0.07927993547861474</v>
      </c>
      <c r="L33" s="32">
        <f t="shared" si="1"/>
        <v>7.5156979559754165</v>
      </c>
      <c r="M33" s="28"/>
    </row>
    <row r="34" spans="2:13" ht="22.5" customHeight="1">
      <c r="B34" s="71" t="s">
        <v>8</v>
      </c>
      <c r="C34" s="24">
        <f>552013589.92</f>
        <v>552013589.92</v>
      </c>
      <c r="D34" s="24">
        <f>50597935.6</f>
        <v>50597935.6</v>
      </c>
      <c r="E34" s="24">
        <f>49204503.6</f>
        <v>49204503.6</v>
      </c>
      <c r="F34" s="24" t="s">
        <v>61</v>
      </c>
      <c r="G34" s="24" t="s">
        <v>61</v>
      </c>
      <c r="H34" s="24" t="s">
        <v>61</v>
      </c>
      <c r="I34" s="24" t="s">
        <v>61</v>
      </c>
      <c r="J34" s="24" t="s">
        <v>61</v>
      </c>
      <c r="K34" s="32">
        <f t="shared" si="0"/>
        <v>0.06095716801130312</v>
      </c>
      <c r="L34" s="32">
        <f t="shared" si="1"/>
        <v>9.166067017903103</v>
      </c>
      <c r="M34" s="28"/>
    </row>
    <row r="35" spans="2:13" ht="21" customHeight="1">
      <c r="B35" s="74" t="s">
        <v>6</v>
      </c>
      <c r="C35" s="24">
        <f>461815842.63</f>
        <v>461815842.63</v>
      </c>
      <c r="D35" s="24">
        <f>27078261.7</f>
        <v>27078261.7</v>
      </c>
      <c r="E35" s="24">
        <f>26131477.28</f>
        <v>26131477.28</v>
      </c>
      <c r="F35" s="24" t="s">
        <v>61</v>
      </c>
      <c r="G35" s="24" t="s">
        <v>61</v>
      </c>
      <c r="H35" s="24" t="s">
        <v>61</v>
      </c>
      <c r="I35" s="24" t="s">
        <v>61</v>
      </c>
      <c r="J35" s="24" t="s">
        <v>61</v>
      </c>
      <c r="K35" s="32">
        <f t="shared" si="0"/>
        <v>0.03262216389517944</v>
      </c>
      <c r="L35" s="32">
        <f t="shared" si="1"/>
        <v>5.863432823307169</v>
      </c>
      <c r="M35" s="28"/>
    </row>
    <row r="36" spans="2:13" ht="25.5" customHeight="1">
      <c r="B36" s="68" t="s">
        <v>72</v>
      </c>
      <c r="C36" s="69">
        <f>2958473437.82</f>
        <v>2958473437.82</v>
      </c>
      <c r="D36" s="69">
        <f>594357334.84</f>
        <v>594357334.84</v>
      </c>
      <c r="E36" s="69">
        <f>585058800.06</f>
        <v>585058800.06</v>
      </c>
      <c r="F36" s="72" t="s">
        <v>61</v>
      </c>
      <c r="G36" s="72" t="s">
        <v>61</v>
      </c>
      <c r="H36" s="72" t="s">
        <v>61</v>
      </c>
      <c r="I36" s="72" t="s">
        <v>61</v>
      </c>
      <c r="J36" s="72" t="s">
        <v>61</v>
      </c>
      <c r="K36" s="70">
        <f t="shared" si="0"/>
        <v>0.7160438363535176</v>
      </c>
      <c r="L36" s="70">
        <f t="shared" si="1"/>
        <v>20.090000715976075</v>
      </c>
      <c r="M36" s="28"/>
    </row>
    <row r="37" spans="2:13" ht="19.5" customHeight="1">
      <c r="B37" s="29" t="s">
        <v>73</v>
      </c>
      <c r="C37" s="23">
        <f>2137348032.53</f>
        <v>2137348032.53</v>
      </c>
      <c r="D37" s="23">
        <f>346411852.03</f>
        <v>346411852.03</v>
      </c>
      <c r="E37" s="23">
        <f>343999759.18</f>
        <v>343999759.18</v>
      </c>
      <c r="F37" s="23" t="s">
        <v>61</v>
      </c>
      <c r="G37" s="23" t="s">
        <v>61</v>
      </c>
      <c r="H37" s="23" t="s">
        <v>61</v>
      </c>
      <c r="I37" s="23" t="s">
        <v>61</v>
      </c>
      <c r="J37" s="23" t="s">
        <v>61</v>
      </c>
      <c r="K37" s="32">
        <f t="shared" si="0"/>
        <v>0.41733492117610005</v>
      </c>
      <c r="L37" s="32">
        <f t="shared" si="1"/>
        <v>16.207554724718786</v>
      </c>
      <c r="M37" s="28"/>
    </row>
    <row r="38" spans="2:13" ht="25.5" customHeight="1">
      <c r="B38" s="68" t="s">
        <v>90</v>
      </c>
      <c r="C38" s="69">
        <f>19685371932.7</f>
        <v>19685371932.7</v>
      </c>
      <c r="D38" s="69">
        <f>2804884530.67</f>
        <v>2804884530.67</v>
      </c>
      <c r="E38" s="69">
        <f>2772041476.72</f>
        <v>2772041476.72</v>
      </c>
      <c r="F38" s="72" t="s">
        <v>61</v>
      </c>
      <c r="G38" s="72" t="s">
        <v>61</v>
      </c>
      <c r="H38" s="72" t="s">
        <v>61</v>
      </c>
      <c r="I38" s="72" t="s">
        <v>61</v>
      </c>
      <c r="J38" s="72" t="s">
        <v>61</v>
      </c>
      <c r="K38" s="70">
        <f t="shared" si="0"/>
        <v>3.3791461165533456</v>
      </c>
      <c r="L38" s="70">
        <f t="shared" si="1"/>
        <v>14.24857269783517</v>
      </c>
      <c r="M38" s="28"/>
    </row>
    <row r="39" spans="2:13" ht="21" customHeight="1">
      <c r="B39" s="29" t="s">
        <v>91</v>
      </c>
      <c r="C39" s="23">
        <f>16140142225.33</f>
        <v>16140142225.33</v>
      </c>
      <c r="D39" s="23">
        <f>1847623427.95</f>
        <v>1847623427.95</v>
      </c>
      <c r="E39" s="23">
        <f>1838717506.22</f>
        <v>1838717506.22</v>
      </c>
      <c r="F39" s="23" t="s">
        <v>61</v>
      </c>
      <c r="G39" s="23" t="s">
        <v>61</v>
      </c>
      <c r="H39" s="23" t="s">
        <v>61</v>
      </c>
      <c r="I39" s="23" t="s">
        <v>61</v>
      </c>
      <c r="J39" s="23" t="s">
        <v>61</v>
      </c>
      <c r="K39" s="32">
        <f t="shared" si="0"/>
        <v>2.225898949900398</v>
      </c>
      <c r="L39" s="32">
        <f t="shared" si="1"/>
        <v>11.447380092167828</v>
      </c>
      <c r="M39" s="28"/>
    </row>
    <row r="40" spans="2:13" ht="35.25" customHeight="1">
      <c r="B40" s="68" t="s">
        <v>64</v>
      </c>
      <c r="C40" s="69">
        <f>C41+C42+C43+C44+C45+C46</f>
        <v>69131451844</v>
      </c>
      <c r="D40" s="69">
        <f>D41+D42+D43+D44+D45+D46</f>
        <v>24172191997</v>
      </c>
      <c r="E40" s="69">
        <f>E41+E42+E43+E44+E45+E46</f>
        <v>20240111087</v>
      </c>
      <c r="F40" s="72" t="s">
        <v>61</v>
      </c>
      <c r="G40" s="72" t="s">
        <v>61</v>
      </c>
      <c r="H40" s="72" t="s">
        <v>61</v>
      </c>
      <c r="I40" s="72" t="s">
        <v>61</v>
      </c>
      <c r="J40" s="72" t="s">
        <v>61</v>
      </c>
      <c r="K40" s="70">
        <f t="shared" si="0"/>
        <v>29.121116331920184</v>
      </c>
      <c r="L40" s="70">
        <f t="shared" si="1"/>
        <v>34.96554947456659</v>
      </c>
      <c r="M40" s="28"/>
    </row>
    <row r="41" spans="2:13" ht="26.25" customHeight="1">
      <c r="B41" s="21" t="s">
        <v>50</v>
      </c>
      <c r="C41" s="23">
        <f>14238533151</f>
        <v>14238533151</v>
      </c>
      <c r="D41" s="23">
        <f>3560945238</f>
        <v>3560945238</v>
      </c>
      <c r="E41" s="23">
        <f>3560657937</f>
        <v>3560657937</v>
      </c>
      <c r="F41" s="23" t="s">
        <v>61</v>
      </c>
      <c r="G41" s="23" t="s">
        <v>61</v>
      </c>
      <c r="H41" s="23" t="s">
        <v>61</v>
      </c>
      <c r="I41" s="23" t="s">
        <v>61</v>
      </c>
      <c r="J41" s="23" t="s">
        <v>61</v>
      </c>
      <c r="K41" s="32">
        <f t="shared" si="0"/>
        <v>4.289999870109637</v>
      </c>
      <c r="L41" s="32">
        <f t="shared" si="1"/>
        <v>25.0092140829121</v>
      </c>
      <c r="M41" s="28"/>
    </row>
    <row r="42" spans="2:13" ht="26.25" customHeight="1">
      <c r="B42" s="21" t="s">
        <v>49</v>
      </c>
      <c r="C42" s="23">
        <f>51803126455</f>
        <v>51803126455</v>
      </c>
      <c r="D42" s="23">
        <f>19933697875</f>
        <v>19933697875</v>
      </c>
      <c r="E42" s="23">
        <f>16001921922</f>
        <v>16001921922</v>
      </c>
      <c r="F42" s="23" t="s">
        <v>61</v>
      </c>
      <c r="G42" s="23" t="s">
        <v>61</v>
      </c>
      <c r="H42" s="23" t="s">
        <v>61</v>
      </c>
      <c r="I42" s="23" t="s">
        <v>61</v>
      </c>
      <c r="J42" s="23" t="s">
        <v>61</v>
      </c>
      <c r="K42" s="32">
        <f t="shared" si="0"/>
        <v>24.014848749144043</v>
      </c>
      <c r="L42" s="32">
        <f t="shared" si="1"/>
        <v>38.479719737216776</v>
      </c>
      <c r="M42" s="28"/>
    </row>
    <row r="43" spans="2:13" ht="26.25" customHeight="1">
      <c r="B43" s="21" t="s">
        <v>48</v>
      </c>
      <c r="C43" s="23">
        <f>3099168</f>
        <v>3099168</v>
      </c>
      <c r="D43" s="23">
        <f>0</f>
        <v>0</v>
      </c>
      <c r="E43" s="23">
        <f>0</f>
        <v>0</v>
      </c>
      <c r="F43" s="23" t="s">
        <v>61</v>
      </c>
      <c r="G43" s="23" t="s">
        <v>61</v>
      </c>
      <c r="H43" s="23" t="s">
        <v>61</v>
      </c>
      <c r="I43" s="23" t="s">
        <v>61</v>
      </c>
      <c r="J43" s="23" t="s">
        <v>61</v>
      </c>
      <c r="K43" s="32">
        <f t="shared" si="0"/>
        <v>0</v>
      </c>
      <c r="L43" s="32">
        <f t="shared" si="1"/>
        <v>0</v>
      </c>
      <c r="M43" s="28"/>
    </row>
    <row r="44" spans="2:13" ht="26.25" customHeight="1">
      <c r="B44" s="21" t="s">
        <v>47</v>
      </c>
      <c r="C44" s="23">
        <f>2135331621</f>
        <v>2135331621</v>
      </c>
      <c r="D44" s="23">
        <f>533813643</f>
        <v>533813643</v>
      </c>
      <c r="E44" s="23">
        <f>533795987</f>
        <v>533795987</v>
      </c>
      <c r="F44" s="23" t="s">
        <v>61</v>
      </c>
      <c r="G44" s="23" t="s">
        <v>61</v>
      </c>
      <c r="H44" s="23" t="s">
        <v>61</v>
      </c>
      <c r="I44" s="23" t="s">
        <v>61</v>
      </c>
      <c r="J44" s="23" t="s">
        <v>61</v>
      </c>
      <c r="K44" s="32">
        <f t="shared" si="0"/>
        <v>0.6431046551052724</v>
      </c>
      <c r="L44" s="32">
        <f t="shared" si="1"/>
        <v>24.999097927000633</v>
      </c>
      <c r="M44" s="28"/>
    </row>
    <row r="45" spans="2:13" ht="26.25" customHeight="1">
      <c r="B45" s="21" t="s">
        <v>60</v>
      </c>
      <c r="C45" s="23">
        <f>574940966</f>
        <v>574940966</v>
      </c>
      <c r="D45" s="23">
        <f>143735241</f>
        <v>143735241</v>
      </c>
      <c r="E45" s="23">
        <f>143735241</f>
        <v>143735241</v>
      </c>
      <c r="F45" s="23" t="s">
        <v>61</v>
      </c>
      <c r="G45" s="23" t="s">
        <v>61</v>
      </c>
      <c r="H45" s="23" t="s">
        <v>61</v>
      </c>
      <c r="I45" s="23" t="s">
        <v>61</v>
      </c>
      <c r="J45" s="23" t="s">
        <v>61</v>
      </c>
      <c r="K45" s="32">
        <f t="shared" si="0"/>
        <v>0.17316305756122874</v>
      </c>
      <c r="L45" s="32">
        <f t="shared" si="1"/>
        <v>24.99999991303455</v>
      </c>
      <c r="M45" s="28"/>
    </row>
    <row r="46" spans="2:13" ht="26.25" customHeight="1">
      <c r="B46" s="21" t="s">
        <v>45</v>
      </c>
      <c r="C46" s="23">
        <f>376420483</f>
        <v>376420483</v>
      </c>
      <c r="D46" s="23">
        <f>0</f>
        <v>0</v>
      </c>
      <c r="E46" s="23">
        <f>0</f>
        <v>0</v>
      </c>
      <c r="F46" s="23" t="s">
        <v>61</v>
      </c>
      <c r="G46" s="23" t="s">
        <v>61</v>
      </c>
      <c r="H46" s="23" t="s">
        <v>61</v>
      </c>
      <c r="I46" s="23" t="s">
        <v>61</v>
      </c>
      <c r="J46" s="23" t="s">
        <v>61</v>
      </c>
      <c r="K46" s="32">
        <f t="shared" si="0"/>
        <v>0</v>
      </c>
      <c r="L46" s="32">
        <f t="shared" si="1"/>
        <v>0</v>
      </c>
      <c r="M46" s="28"/>
    </row>
    <row r="47" spans="1:13" s="6" customFormat="1" ht="13.5" customHeight="1">
      <c r="A47" s="3"/>
      <c r="B47" s="22"/>
      <c r="C47" s="8"/>
      <c r="D47" s="9"/>
      <c r="E47" s="9"/>
      <c r="F47" s="16"/>
      <c r="G47" s="16"/>
      <c r="H47" s="16"/>
      <c r="I47" s="16"/>
      <c r="J47" s="16"/>
      <c r="K47" s="10"/>
      <c r="L47" s="10"/>
      <c r="M47" s="4"/>
    </row>
    <row r="48" spans="1:13" s="6" customFormat="1" ht="18.75" customHeight="1">
      <c r="A48" s="3"/>
      <c r="B48" s="75" t="s">
        <v>5</v>
      </c>
      <c r="C48" s="76">
        <f aca="true" t="shared" si="4" ref="C48:J48">+C6</f>
        <v>303124072984.43</v>
      </c>
      <c r="D48" s="76">
        <f t="shared" si="4"/>
        <v>83005719016.7</v>
      </c>
      <c r="E48" s="76">
        <f t="shared" si="4"/>
        <v>77453626761.73</v>
      </c>
      <c r="F48" s="76">
        <f t="shared" si="4"/>
        <v>994546509.19</v>
      </c>
      <c r="G48" s="76">
        <f t="shared" si="4"/>
        <v>271171924.41</v>
      </c>
      <c r="H48" s="76">
        <f t="shared" si="4"/>
        <v>49080732.71</v>
      </c>
      <c r="I48" s="76">
        <f t="shared" si="4"/>
        <v>143713235.25</v>
      </c>
      <c r="J48" s="76">
        <f t="shared" si="4"/>
        <v>280399.81</v>
      </c>
      <c r="K48" s="77">
        <f>IF($D$48=0,"",100*$D48/$D$48)</f>
        <v>100</v>
      </c>
      <c r="L48" s="77">
        <f t="shared" si="1"/>
        <v>27.383413728728698</v>
      </c>
      <c r="M48" s="4"/>
    </row>
    <row r="49" spans="1:13" s="6" customFormat="1" ht="24.75" customHeight="1">
      <c r="A49" s="3"/>
      <c r="B49" s="66" t="s">
        <v>76</v>
      </c>
      <c r="C49" s="67">
        <f>30569529668.63</f>
        <v>30569529668.63</v>
      </c>
      <c r="D49" s="67">
        <f>5001867799.46</f>
        <v>5001867799.46</v>
      </c>
      <c r="E49" s="67">
        <f>4620556388.29</f>
        <v>4620556388.29</v>
      </c>
      <c r="F49" s="67">
        <f>0</f>
        <v>0</v>
      </c>
      <c r="G49" s="67">
        <f>221.16</f>
        <v>221.16</v>
      </c>
      <c r="H49" s="67">
        <f>0</f>
        <v>0</v>
      </c>
      <c r="I49" s="67">
        <f>133624.4</f>
        <v>133624.4</v>
      </c>
      <c r="J49" s="67">
        <f>0</f>
        <v>0</v>
      </c>
      <c r="K49" s="33">
        <f>IF($D$48=0,"",100*$D49/$D$48)</f>
        <v>6.025931536661552</v>
      </c>
      <c r="L49" s="33">
        <f t="shared" si="1"/>
        <v>16.362266131273987</v>
      </c>
      <c r="M49" s="4"/>
    </row>
    <row r="50" spans="1:13" s="6" customFormat="1" ht="24.75" customHeight="1">
      <c r="A50" s="3"/>
      <c r="B50" s="66" t="s">
        <v>77</v>
      </c>
      <c r="C50" s="67">
        <f>+C48-C49</f>
        <v>272554543315.8</v>
      </c>
      <c r="D50" s="67">
        <f aca="true" t="shared" si="5" ref="D50:J50">+D48-D49</f>
        <v>78003851217.23999</v>
      </c>
      <c r="E50" s="67">
        <f t="shared" si="5"/>
        <v>72833070373.44</v>
      </c>
      <c r="F50" s="67">
        <f t="shared" si="5"/>
        <v>994546509.19</v>
      </c>
      <c r="G50" s="67">
        <f t="shared" si="5"/>
        <v>271171703.25</v>
      </c>
      <c r="H50" s="67">
        <f t="shared" si="5"/>
        <v>49080732.71</v>
      </c>
      <c r="I50" s="67">
        <f t="shared" si="5"/>
        <v>143579610.85</v>
      </c>
      <c r="J50" s="67">
        <f t="shared" si="5"/>
        <v>280399.81</v>
      </c>
      <c r="K50" s="33">
        <f>IF($D$48=0,"",100*$D50/$D$48)</f>
        <v>93.97406846333844</v>
      </c>
      <c r="L50" s="33">
        <f t="shared" si="1"/>
        <v>28.619538044852728</v>
      </c>
      <c r="M50" s="4"/>
    </row>
    <row r="51" spans="1:13" s="6" customFormat="1" ht="13.5" customHeight="1">
      <c r="A51" s="3"/>
      <c r="B51" s="22"/>
      <c r="C51" s="8"/>
      <c r="D51" s="9"/>
      <c r="E51" s="9"/>
      <c r="F51" s="16"/>
      <c r="G51" s="16"/>
      <c r="H51" s="16"/>
      <c r="I51" s="16"/>
      <c r="J51" s="16"/>
      <c r="K51" s="10"/>
      <c r="L51" s="10"/>
      <c r="M51" s="4"/>
    </row>
    <row r="52" spans="2:13" ht="58.5" customHeight="1">
      <c r="B52" s="99" t="s">
        <v>104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</row>
    <row r="53" spans="2:13" s="6" customFormat="1" ht="13.5" customHeight="1">
      <c r="B53" s="7"/>
      <c r="C53" s="8"/>
      <c r="D53" s="9"/>
      <c r="E53" s="9"/>
      <c r="F53" s="5"/>
      <c r="G53" s="5"/>
      <c r="H53" s="5"/>
      <c r="I53" s="5"/>
      <c r="J53" s="5"/>
      <c r="K53" s="10"/>
      <c r="L53" s="10"/>
      <c r="M53" s="4"/>
    </row>
    <row r="54" spans="2:27" ht="29.25" customHeight="1">
      <c r="B54" s="92" t="s">
        <v>0</v>
      </c>
      <c r="C54" s="91" t="s">
        <v>56</v>
      </c>
      <c r="D54" s="91" t="s">
        <v>57</v>
      </c>
      <c r="E54" s="91" t="s">
        <v>58</v>
      </c>
      <c r="F54" s="91" t="s">
        <v>12</v>
      </c>
      <c r="G54" s="91"/>
      <c r="H54" s="91"/>
      <c r="I54" s="91" t="s">
        <v>92</v>
      </c>
      <c r="J54" s="91"/>
      <c r="K54" s="91" t="s">
        <v>2</v>
      </c>
      <c r="L54" s="98" t="s">
        <v>36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2:27" ht="18" customHeight="1">
      <c r="B55" s="92"/>
      <c r="C55" s="91"/>
      <c r="D55" s="97"/>
      <c r="E55" s="91"/>
      <c r="F55" s="88" t="s">
        <v>59</v>
      </c>
      <c r="G55" s="96" t="s">
        <v>34</v>
      </c>
      <c r="H55" s="97"/>
      <c r="I55" s="91"/>
      <c r="J55" s="91"/>
      <c r="K55" s="91"/>
      <c r="L55" s="98"/>
      <c r="M55" s="12"/>
      <c r="N55" s="13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2:27" ht="36" customHeight="1">
      <c r="B56" s="92"/>
      <c r="C56" s="91"/>
      <c r="D56" s="97"/>
      <c r="E56" s="91"/>
      <c r="F56" s="97"/>
      <c r="G56" s="18" t="s">
        <v>54</v>
      </c>
      <c r="H56" s="18" t="s">
        <v>55</v>
      </c>
      <c r="I56" s="91"/>
      <c r="J56" s="91"/>
      <c r="K56" s="91"/>
      <c r="L56" s="98"/>
      <c r="M56" s="12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13.5" customHeight="1">
      <c r="B57" s="92"/>
      <c r="C57" s="93" t="s">
        <v>81</v>
      </c>
      <c r="D57" s="93"/>
      <c r="E57" s="93"/>
      <c r="F57" s="93"/>
      <c r="G57" s="93"/>
      <c r="H57" s="93"/>
      <c r="I57" s="93"/>
      <c r="J57" s="93"/>
      <c r="K57" s="93" t="s">
        <v>4</v>
      </c>
      <c r="L57" s="93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11.25" customHeight="1">
      <c r="B58" s="17">
        <v>1</v>
      </c>
      <c r="C58" s="19">
        <v>2</v>
      </c>
      <c r="D58" s="19">
        <v>3</v>
      </c>
      <c r="E58" s="19">
        <v>4</v>
      </c>
      <c r="F58" s="17">
        <v>5</v>
      </c>
      <c r="G58" s="17">
        <v>6</v>
      </c>
      <c r="H58" s="19">
        <v>7</v>
      </c>
      <c r="I58" s="97">
        <v>8</v>
      </c>
      <c r="J58" s="97"/>
      <c r="K58" s="17">
        <v>9</v>
      </c>
      <c r="L58" s="19">
        <v>10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12" ht="44.25" customHeight="1">
      <c r="B59" s="68" t="s">
        <v>65</v>
      </c>
      <c r="C59" s="76">
        <f>333149556581.39</f>
        <v>333149556581.39</v>
      </c>
      <c r="D59" s="76">
        <f>207773693289.14</f>
        <v>207773693289.14</v>
      </c>
      <c r="E59" s="76">
        <f>68287628529.38</f>
        <v>68287628529.38</v>
      </c>
      <c r="F59" s="76">
        <f>7156321480.24</f>
        <v>7156321480.24</v>
      </c>
      <c r="G59" s="76">
        <f>7468039.14</f>
        <v>7468039.14</v>
      </c>
      <c r="H59" s="76">
        <f>15982581.7</f>
        <v>15982581.7</v>
      </c>
      <c r="I59" s="102">
        <f>0</f>
        <v>0</v>
      </c>
      <c r="J59" s="102"/>
      <c r="K59" s="60">
        <f aca="true" t="shared" si="6" ref="K59:K68">IF($E$59=0,"",100*$E59/$E$59)</f>
        <v>100</v>
      </c>
      <c r="L59" s="60">
        <f aca="true" t="shared" si="7" ref="L59:L68">IF(C59=0,"",100*E59/C59)</f>
        <v>20.497589500076973</v>
      </c>
    </row>
    <row r="60" spans="2:12" ht="24" customHeight="1">
      <c r="B60" s="20" t="s">
        <v>14</v>
      </c>
      <c r="C60" s="26">
        <f>69350435060.57</f>
        <v>69350435060.57</v>
      </c>
      <c r="D60" s="26">
        <f>28854907830.36</f>
        <v>28854907830.36</v>
      </c>
      <c r="E60" s="26">
        <f>4474487707.4</f>
        <v>4474487707.4</v>
      </c>
      <c r="F60" s="26">
        <f>1457300499.55</f>
        <v>1457300499.55</v>
      </c>
      <c r="G60" s="26">
        <f>907304.44</f>
        <v>907304.44</v>
      </c>
      <c r="H60" s="26">
        <f>7466319.26</f>
        <v>7466319.26</v>
      </c>
      <c r="I60" s="103">
        <f>0</f>
        <v>0</v>
      </c>
      <c r="J60" s="104"/>
      <c r="K60" s="34">
        <f t="shared" si="6"/>
        <v>6.552413378178597</v>
      </c>
      <c r="L60" s="34">
        <f t="shared" si="7"/>
        <v>6.451996593088457</v>
      </c>
    </row>
    <row r="61" spans="2:12" ht="22.5" customHeight="1">
      <c r="B61" s="21" t="s">
        <v>13</v>
      </c>
      <c r="C61" s="23">
        <f>67259978115.35</f>
        <v>67259978115.35</v>
      </c>
      <c r="D61" s="23">
        <f>28132744501.33</f>
        <v>28132744501.33</v>
      </c>
      <c r="E61" s="23">
        <f>4083421477.31</f>
        <v>4083421477.31</v>
      </c>
      <c r="F61" s="23">
        <f>1301918231.61</f>
        <v>1301918231.61</v>
      </c>
      <c r="G61" s="23">
        <f>907304.44</f>
        <v>907304.44</v>
      </c>
      <c r="H61" s="23">
        <f>7466319.26</f>
        <v>7466319.26</v>
      </c>
      <c r="I61" s="100">
        <f>0</f>
        <v>0</v>
      </c>
      <c r="J61" s="101"/>
      <c r="K61" s="35">
        <f t="shared" si="6"/>
        <v>5.979738299966227</v>
      </c>
      <c r="L61" s="35">
        <f t="shared" si="7"/>
        <v>6.071101406406919</v>
      </c>
    </row>
    <row r="62" spans="2:12" ht="44.25" customHeight="1">
      <c r="B62" s="68" t="s">
        <v>66</v>
      </c>
      <c r="C62" s="76">
        <f aca="true" t="shared" si="8" ref="C62:I62">C59-C60</f>
        <v>263799121520.82</v>
      </c>
      <c r="D62" s="76">
        <f t="shared" si="8"/>
        <v>178918785458.78003</v>
      </c>
      <c r="E62" s="76">
        <f t="shared" si="8"/>
        <v>63813140821.979996</v>
      </c>
      <c r="F62" s="76">
        <f t="shared" si="8"/>
        <v>5699020980.69</v>
      </c>
      <c r="G62" s="76">
        <f t="shared" si="8"/>
        <v>6560734.699999999</v>
      </c>
      <c r="H62" s="76">
        <f t="shared" si="8"/>
        <v>8516262.44</v>
      </c>
      <c r="I62" s="102">
        <f t="shared" si="8"/>
        <v>0</v>
      </c>
      <c r="J62" s="102"/>
      <c r="K62" s="60">
        <f t="shared" si="6"/>
        <v>93.4475866218214</v>
      </c>
      <c r="L62" s="60">
        <f t="shared" si="7"/>
        <v>24.190050540764833</v>
      </c>
    </row>
    <row r="63" spans="2:12" ht="22.5" customHeight="1">
      <c r="B63" s="21" t="s">
        <v>102</v>
      </c>
      <c r="C63" s="23">
        <f>103486348321.04</f>
        <v>103486348321.04</v>
      </c>
      <c r="D63" s="23">
        <f>86544029419.75</f>
        <v>86544029419.75</v>
      </c>
      <c r="E63" s="23">
        <f>28445524131.43</f>
        <v>28445524131.43</v>
      </c>
      <c r="F63" s="23">
        <f>2720810383.56</f>
        <v>2720810383.56</v>
      </c>
      <c r="G63" s="23">
        <f>1411237.31</f>
        <v>1411237.31</v>
      </c>
      <c r="H63" s="23">
        <f>1318648.5</f>
        <v>1318648.5</v>
      </c>
      <c r="I63" s="100">
        <f>0</f>
        <v>0</v>
      </c>
      <c r="J63" s="101"/>
      <c r="K63" s="35">
        <f t="shared" si="6"/>
        <v>41.65545757558652</v>
      </c>
      <c r="L63" s="35">
        <f t="shared" si="7"/>
        <v>27.487223767124355</v>
      </c>
    </row>
    <row r="64" spans="2:12" ht="22.5" customHeight="1">
      <c r="B64" s="21" t="s">
        <v>53</v>
      </c>
      <c r="C64" s="23">
        <f>26709506576.31</f>
        <v>26709506576.31</v>
      </c>
      <c r="D64" s="23">
        <f>16877639060.75</f>
        <v>16877639060.75</v>
      </c>
      <c r="E64" s="23">
        <f>6703482297.29</f>
        <v>6703482297.29</v>
      </c>
      <c r="F64" s="23">
        <f>162726405.94</f>
        <v>162726405.94</v>
      </c>
      <c r="G64" s="23">
        <f>150205.88</f>
        <v>150205.88</v>
      </c>
      <c r="H64" s="23">
        <f>562797.38</f>
        <v>562797.38</v>
      </c>
      <c r="I64" s="100">
        <f>0</f>
        <v>0</v>
      </c>
      <c r="J64" s="101"/>
      <c r="K64" s="35">
        <f t="shared" si="6"/>
        <v>9.816539894054017</v>
      </c>
      <c r="L64" s="35">
        <f t="shared" si="7"/>
        <v>25.097739181882357</v>
      </c>
    </row>
    <row r="65" spans="2:12" ht="22.5" customHeight="1">
      <c r="B65" s="21" t="s">
        <v>52</v>
      </c>
      <c r="C65" s="23">
        <f>2171135302.11</f>
        <v>2171135302.11</v>
      </c>
      <c r="D65" s="23">
        <f>802782341.86</f>
        <v>802782341.86</v>
      </c>
      <c r="E65" s="23">
        <f>212742398.3</f>
        <v>212742398.3</v>
      </c>
      <c r="F65" s="23">
        <f>37792698.27</f>
        <v>37792698.27</v>
      </c>
      <c r="G65" s="23">
        <f>0</f>
        <v>0</v>
      </c>
      <c r="H65" s="23">
        <f>10079.79</f>
        <v>10079.79</v>
      </c>
      <c r="I65" s="100">
        <f>0</f>
        <v>0</v>
      </c>
      <c r="J65" s="101"/>
      <c r="K65" s="35">
        <f t="shared" si="6"/>
        <v>0.31153871188903554</v>
      </c>
      <c r="L65" s="35">
        <f t="shared" si="7"/>
        <v>9.798670681336535</v>
      </c>
    </row>
    <row r="66" spans="2:12" ht="33.75" customHeight="1">
      <c r="B66" s="21" t="s">
        <v>69</v>
      </c>
      <c r="C66" s="23">
        <f>503364586.63</f>
        <v>503364586.63</v>
      </c>
      <c r="D66" s="23">
        <f>74694762.36</f>
        <v>74694762.36</v>
      </c>
      <c r="E66" s="23">
        <f>6761121.09</f>
        <v>6761121.09</v>
      </c>
      <c r="F66" s="23">
        <f>248715.36</f>
        <v>248715.36</v>
      </c>
      <c r="G66" s="23">
        <f>0</f>
        <v>0</v>
      </c>
      <c r="H66" s="23">
        <f>0</f>
        <v>0</v>
      </c>
      <c r="I66" s="100">
        <f>0</f>
        <v>0</v>
      </c>
      <c r="J66" s="101"/>
      <c r="K66" s="35">
        <f t="shared" si="6"/>
        <v>0.009900945801758371</v>
      </c>
      <c r="L66" s="35">
        <f t="shared" si="7"/>
        <v>1.343185688779848</v>
      </c>
    </row>
    <row r="67" spans="2:12" ht="30" customHeight="1">
      <c r="B67" s="21" t="s">
        <v>71</v>
      </c>
      <c r="C67" s="23">
        <f>57865636940.33</f>
        <v>57865636940.33</v>
      </c>
      <c r="D67" s="23">
        <f>34475983059.31</f>
        <v>34475983059.31</v>
      </c>
      <c r="E67" s="23">
        <f>14646942067.47</f>
        <v>14646942067.47</v>
      </c>
      <c r="F67" s="23">
        <f>582346152.03</f>
        <v>582346152.03</v>
      </c>
      <c r="G67" s="23">
        <f>980339.79</f>
        <v>980339.79</v>
      </c>
      <c r="H67" s="23">
        <f>68836.81</f>
        <v>68836.81</v>
      </c>
      <c r="I67" s="100">
        <f>0</f>
        <v>0</v>
      </c>
      <c r="J67" s="101"/>
      <c r="K67" s="35">
        <f t="shared" si="6"/>
        <v>21.448895477704742</v>
      </c>
      <c r="L67" s="35">
        <f t="shared" si="7"/>
        <v>25.311986252866554</v>
      </c>
    </row>
    <row r="68" spans="2:12" ht="22.5" customHeight="1">
      <c r="B68" s="21" t="s">
        <v>51</v>
      </c>
      <c r="C68" s="23">
        <f aca="true" t="shared" si="9" ref="C68:I68">C62-C63-C64-C65-C66-C67</f>
        <v>73063129794.40002</v>
      </c>
      <c r="D68" s="23">
        <f t="shared" si="9"/>
        <v>40143656814.75003</v>
      </c>
      <c r="E68" s="23">
        <f t="shared" si="9"/>
        <v>13797688806.399996</v>
      </c>
      <c r="F68" s="23">
        <f t="shared" si="9"/>
        <v>2195096625.5299997</v>
      </c>
      <c r="G68" s="23">
        <f t="shared" si="9"/>
        <v>4018951.719999999</v>
      </c>
      <c r="H68" s="23">
        <f t="shared" si="9"/>
        <v>6555899.96</v>
      </c>
      <c r="I68" s="100">
        <f t="shared" si="9"/>
        <v>0</v>
      </c>
      <c r="J68" s="101"/>
      <c r="K68" s="35">
        <f t="shared" si="6"/>
        <v>20.20525401678533</v>
      </c>
      <c r="L68" s="35">
        <f t="shared" si="7"/>
        <v>18.884612314346175</v>
      </c>
    </row>
    <row r="69" spans="2:13" ht="24" customHeight="1">
      <c r="B69" s="20" t="s">
        <v>15</v>
      </c>
      <c r="C69" s="26">
        <f>C6-C59</f>
        <v>-30025483596.960022</v>
      </c>
      <c r="D69" s="26"/>
      <c r="E69" s="26">
        <f>D6-E59</f>
        <v>14718090487.32</v>
      </c>
      <c r="F69" s="26"/>
      <c r="G69" s="26"/>
      <c r="H69" s="26"/>
      <c r="I69" s="103"/>
      <c r="J69" s="103"/>
      <c r="K69" s="27"/>
      <c r="L69" s="27"/>
      <c r="M69" s="14"/>
    </row>
    <row r="70" spans="2:13" ht="38.25">
      <c r="B70" s="61" t="s">
        <v>80</v>
      </c>
      <c r="C70" s="62">
        <f>+C50-C62</f>
        <v>8755421794.97998</v>
      </c>
      <c r="D70" s="62"/>
      <c r="E70" s="62">
        <f>+D50-E62</f>
        <v>14190710395.259995</v>
      </c>
      <c r="F70" s="62"/>
      <c r="G70" s="62"/>
      <c r="H70" s="62"/>
      <c r="I70" s="106"/>
      <c r="J70" s="107"/>
      <c r="K70" s="27"/>
      <c r="L70" s="27"/>
      <c r="M70" s="14"/>
    </row>
    <row r="71" spans="2:13" ht="12" customHeight="1" thickBot="1">
      <c r="B71" s="63"/>
      <c r="C71" s="64"/>
      <c r="D71" s="64"/>
      <c r="E71" s="64"/>
      <c r="F71" s="2"/>
      <c r="G71" s="2"/>
      <c r="H71" s="2"/>
      <c r="I71" s="2"/>
      <c r="L71" s="11"/>
      <c r="M71" s="11"/>
    </row>
    <row r="72" spans="2:13" ht="12" customHeight="1" thickBot="1">
      <c r="B72" s="65" t="s">
        <v>74</v>
      </c>
      <c r="C72" s="64"/>
      <c r="D72" s="64"/>
      <c r="E72" s="64"/>
      <c r="F72" s="2"/>
      <c r="G72" s="2"/>
      <c r="H72" s="2"/>
      <c r="I72" s="2"/>
      <c r="L72" s="11"/>
      <c r="M72" s="11"/>
    </row>
    <row r="73" spans="2:13" ht="35.25" customHeight="1">
      <c r="B73" s="81" t="s">
        <v>75</v>
      </c>
      <c r="C73" s="76">
        <f>32502315232.5</f>
        <v>32502315232.5</v>
      </c>
      <c r="D73" s="76">
        <f>16642158499.27</f>
        <v>16642158499.27</v>
      </c>
      <c r="E73" s="76">
        <f>3030512034.21</f>
        <v>3030512034.21</v>
      </c>
      <c r="F73" s="76">
        <f>487254726.56</f>
        <v>487254726.56</v>
      </c>
      <c r="G73" s="76">
        <f>556589.86</f>
        <v>556589.86</v>
      </c>
      <c r="H73" s="76">
        <f>6613090.18</f>
        <v>6613090.18</v>
      </c>
      <c r="I73" s="102">
        <f>0</f>
        <v>0</v>
      </c>
      <c r="J73" s="102"/>
      <c r="K73" s="60">
        <f>IF($E$73=0,"",100*$E73/$E$73)</f>
        <v>100</v>
      </c>
      <c r="L73" s="60">
        <f>IF(C73=0,"",100*E73/C73)</f>
        <v>9.323988191400296</v>
      </c>
      <c r="M73" s="11"/>
    </row>
    <row r="74" spans="2:13" ht="21.75" customHeight="1">
      <c r="B74" s="78" t="s">
        <v>78</v>
      </c>
      <c r="C74" s="79">
        <f>26641326972.9</f>
        <v>26641326972.9</v>
      </c>
      <c r="D74" s="79">
        <f>14020656761.78</f>
        <v>14020656761.78</v>
      </c>
      <c r="E74" s="79">
        <f>2081629424.11</f>
        <v>2081629424.11</v>
      </c>
      <c r="F74" s="79">
        <f>460343449.35</f>
        <v>460343449.35</v>
      </c>
      <c r="G74" s="79">
        <f>556589.86</f>
        <v>556589.86</v>
      </c>
      <c r="H74" s="79">
        <f>6602954.64</f>
        <v>6602954.64</v>
      </c>
      <c r="I74" s="105">
        <f>0</f>
        <v>0</v>
      </c>
      <c r="J74" s="105"/>
      <c r="K74" s="80">
        <f>IF($E$73=0,"",100*$E74/$E$73)</f>
        <v>68.68903342443394</v>
      </c>
      <c r="L74" s="80">
        <f>IF(C74=0,"",100*E74/C74)</f>
        <v>7.81353506237684</v>
      </c>
      <c r="M74" s="11"/>
    </row>
    <row r="75" spans="2:12" ht="24" customHeight="1">
      <c r="B75" s="78" t="s">
        <v>79</v>
      </c>
      <c r="C75" s="79">
        <f aca="true" t="shared" si="10" ref="C75:I75">C73-C74</f>
        <v>5860988259.599998</v>
      </c>
      <c r="D75" s="79">
        <f t="shared" si="10"/>
        <v>2621501737.49</v>
      </c>
      <c r="E75" s="79">
        <f t="shared" si="10"/>
        <v>948882610.1000001</v>
      </c>
      <c r="F75" s="79">
        <f t="shared" si="10"/>
        <v>26911277.20999998</v>
      </c>
      <c r="G75" s="79">
        <f t="shared" si="10"/>
        <v>0</v>
      </c>
      <c r="H75" s="79">
        <f t="shared" si="10"/>
        <v>10135.540000000037</v>
      </c>
      <c r="I75" s="105">
        <f t="shared" si="10"/>
        <v>0</v>
      </c>
      <c r="J75" s="105"/>
      <c r="K75" s="80">
        <f>IF($E$73=0,"",100*$E75/$E$73)</f>
        <v>31.31096657556606</v>
      </c>
      <c r="L75" s="80">
        <f>IF(C75=0,"",100*E75/C75)</f>
        <v>16.189805679029966</v>
      </c>
    </row>
    <row r="76" spans="2:13" ht="20.25">
      <c r="B76" s="99" t="s">
        <v>104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</row>
    <row r="77" spans="2:8" ht="12.75">
      <c r="B77" s="41" t="s">
        <v>16</v>
      </c>
      <c r="C77" s="86" t="s">
        <v>17</v>
      </c>
      <c r="D77" s="87"/>
      <c r="E77" s="86" t="s">
        <v>1</v>
      </c>
      <c r="F77" s="87"/>
      <c r="G77" s="19" t="s">
        <v>26</v>
      </c>
      <c r="H77" s="19" t="s">
        <v>27</v>
      </c>
    </row>
    <row r="78" spans="2:8" ht="12.75">
      <c r="B78" s="41"/>
      <c r="C78" s="88" t="s">
        <v>81</v>
      </c>
      <c r="D78" s="89"/>
      <c r="E78" s="89"/>
      <c r="F78" s="90"/>
      <c r="G78" s="94" t="s">
        <v>4</v>
      </c>
      <c r="H78" s="95"/>
    </row>
    <row r="79" spans="2:8" ht="12.75">
      <c r="B79" s="39">
        <v>1</v>
      </c>
      <c r="C79" s="43">
        <v>2</v>
      </c>
      <c r="D79" s="44"/>
      <c r="E79" s="43">
        <v>3</v>
      </c>
      <c r="F79" s="44"/>
      <c r="G79" s="40">
        <v>4</v>
      </c>
      <c r="H79" s="40">
        <v>5</v>
      </c>
    </row>
    <row r="80" spans="2:8" ht="25.5">
      <c r="B80" s="38" t="s">
        <v>67</v>
      </c>
      <c r="C80" s="45">
        <f>39600468047.9</f>
        <v>39600468047.9</v>
      </c>
      <c r="D80" s="46"/>
      <c r="E80" s="45">
        <f>33568066752.88</f>
        <v>33568066752.88</v>
      </c>
      <c r="F80" s="46"/>
      <c r="G80" s="42">
        <f>IF($E$80=0,"",100*$E80/$E$80)</f>
        <v>100</v>
      </c>
      <c r="H80" s="34">
        <f>IF(C80=0,"",100*E80/C80)</f>
        <v>84.76684344305396</v>
      </c>
    </row>
    <row r="81" spans="2:8" ht="33.75">
      <c r="B81" s="37" t="s">
        <v>93</v>
      </c>
      <c r="C81" s="47">
        <f>20588908992.76</f>
        <v>20588908992.76</v>
      </c>
      <c r="D81" s="48"/>
      <c r="E81" s="47">
        <f>382725932.14</f>
        <v>382725932.14</v>
      </c>
      <c r="F81" s="48"/>
      <c r="G81" s="58">
        <f aca="true" t="shared" si="11" ref="G81:G88">IF($E$80=0,"",100*$E81/$E$80)</f>
        <v>1.1401488651626437</v>
      </c>
      <c r="H81" s="59">
        <f aca="true" t="shared" si="12" ref="H81:H93">IF(C81=0,"",100*E81/C81)</f>
        <v>1.8588936998778514</v>
      </c>
    </row>
    <row r="82" spans="2:8" ht="22.5">
      <c r="B82" s="30" t="s">
        <v>94</v>
      </c>
      <c r="C82" s="82">
        <f>1569216119.38</f>
        <v>1569216119.38</v>
      </c>
      <c r="D82" s="83"/>
      <c r="E82" s="82">
        <f>800000</f>
        <v>800000</v>
      </c>
      <c r="F82" s="83"/>
      <c r="G82" s="84">
        <f t="shared" si="11"/>
        <v>0.0023832173770667424</v>
      </c>
      <c r="H82" s="80">
        <f t="shared" si="12"/>
        <v>0.050980868098403256</v>
      </c>
    </row>
    <row r="83" spans="2:8" ht="12.75">
      <c r="B83" s="85" t="s">
        <v>95</v>
      </c>
      <c r="C83" s="82">
        <f>196098535.38</f>
        <v>196098535.38</v>
      </c>
      <c r="D83" s="83"/>
      <c r="E83" s="82">
        <f>30759981.52</f>
        <v>30759981.52</v>
      </c>
      <c r="F83" s="83"/>
      <c r="G83" s="84">
        <f t="shared" si="11"/>
        <v>0.09163465309589484</v>
      </c>
      <c r="H83" s="80">
        <f t="shared" si="12"/>
        <v>15.685982284565904</v>
      </c>
    </row>
    <row r="84" spans="2:8" ht="12.75">
      <c r="B84" s="85" t="s">
        <v>96</v>
      </c>
      <c r="C84" s="82">
        <f>1936469778.87</f>
        <v>1936469778.87</v>
      </c>
      <c r="D84" s="83"/>
      <c r="E84" s="82">
        <f>4116662942.85</f>
        <v>4116662942.85</v>
      </c>
      <c r="F84" s="83"/>
      <c r="G84" s="84">
        <f t="shared" si="11"/>
        <v>12.263628326158543</v>
      </c>
      <c r="H84" s="80">
        <f t="shared" si="12"/>
        <v>212.58596378675333</v>
      </c>
    </row>
    <row r="85" spans="2:8" ht="45">
      <c r="B85" s="85" t="s">
        <v>103</v>
      </c>
      <c r="C85" s="82">
        <f>6940462163.4</f>
        <v>6940462163.4</v>
      </c>
      <c r="D85" s="83"/>
      <c r="E85" s="82">
        <f>9042726495.15</f>
        <v>9042726495.15</v>
      </c>
      <c r="F85" s="83"/>
      <c r="G85" s="84">
        <f t="shared" si="11"/>
        <v>26.938478649129152</v>
      </c>
      <c r="H85" s="80">
        <f t="shared" si="12"/>
        <v>130.28997611767315</v>
      </c>
    </row>
    <row r="86" spans="2:8" ht="12.75">
      <c r="B86" s="85" t="s">
        <v>97</v>
      </c>
      <c r="C86" s="82">
        <f>500000</f>
        <v>500000</v>
      </c>
      <c r="D86" s="83"/>
      <c r="E86" s="82">
        <f>0</f>
        <v>0</v>
      </c>
      <c r="F86" s="83"/>
      <c r="G86" s="84">
        <f t="shared" si="11"/>
        <v>0</v>
      </c>
      <c r="H86" s="80">
        <f t="shared" si="12"/>
        <v>0</v>
      </c>
    </row>
    <row r="87" spans="2:8" ht="33.75">
      <c r="B87" s="85" t="s">
        <v>98</v>
      </c>
      <c r="C87" s="82">
        <f>9822516889.33</f>
        <v>9822516889.33</v>
      </c>
      <c r="D87" s="83"/>
      <c r="E87" s="82">
        <f>19921166991.28</f>
        <v>19921166991.28</v>
      </c>
      <c r="F87" s="83"/>
      <c r="G87" s="84">
        <f t="shared" si="11"/>
        <v>59.345589181333615</v>
      </c>
      <c r="H87" s="80">
        <f t="shared" si="12"/>
        <v>202.8112266512869</v>
      </c>
    </row>
    <row r="88" spans="2:8" ht="12.75">
      <c r="B88" s="85" t="s">
        <v>83</v>
      </c>
      <c r="C88" s="82">
        <f>115511688.16</f>
        <v>115511688.16</v>
      </c>
      <c r="D88" s="83"/>
      <c r="E88" s="82">
        <f>74024409.94</f>
        <v>74024409.94</v>
      </c>
      <c r="F88" s="83"/>
      <c r="G88" s="84">
        <f t="shared" si="11"/>
        <v>0.22052032512015013</v>
      </c>
      <c r="H88" s="80">
        <f t="shared" si="12"/>
        <v>64.08391316856675</v>
      </c>
    </row>
    <row r="89" spans="2:8" ht="25.5">
      <c r="B89" s="38" t="s">
        <v>68</v>
      </c>
      <c r="C89" s="55">
        <f>9525956745.23</f>
        <v>9525956745.23</v>
      </c>
      <c r="D89" s="56"/>
      <c r="E89" s="55">
        <f>2724477408.77</f>
        <v>2724477408.77</v>
      </c>
      <c r="F89" s="56"/>
      <c r="G89" s="42">
        <f>IF($E$89=0,"",100*$E89/$E$89)</f>
        <v>100</v>
      </c>
      <c r="H89" s="34">
        <f t="shared" si="12"/>
        <v>28.600564558874854</v>
      </c>
    </row>
    <row r="90" spans="2:8" ht="33.75">
      <c r="B90" s="37" t="s">
        <v>99</v>
      </c>
      <c r="C90" s="47">
        <f>8739514512.99</f>
        <v>8739514512.99</v>
      </c>
      <c r="D90" s="53"/>
      <c r="E90" s="54">
        <f>1897800761.72</f>
        <v>1897800761.72</v>
      </c>
      <c r="F90" s="53"/>
      <c r="G90" s="58">
        <f>IF($E$89=0,"",100*$E90/$E$89)</f>
        <v>69.65742331395533</v>
      </c>
      <c r="H90" s="59">
        <f t="shared" si="12"/>
        <v>21.715173753635845</v>
      </c>
    </row>
    <row r="91" spans="2:8" ht="22.5">
      <c r="B91" s="30" t="s">
        <v>100</v>
      </c>
      <c r="C91" s="82">
        <f>671329709.57</f>
        <v>671329709.57</v>
      </c>
      <c r="D91" s="83"/>
      <c r="E91" s="82">
        <f>317052420</f>
        <v>317052420</v>
      </c>
      <c r="F91" s="83"/>
      <c r="G91" s="84">
        <f>IF($E$89=0,"",100*$E91/$E$89)</f>
        <v>11.637182932015477</v>
      </c>
      <c r="H91" s="80">
        <f t="shared" si="12"/>
        <v>47.22752702291074</v>
      </c>
    </row>
    <row r="92" spans="2:8" ht="12.75">
      <c r="B92" s="85" t="s">
        <v>101</v>
      </c>
      <c r="C92" s="82">
        <f>160798890.23</f>
        <v>160798890.23</v>
      </c>
      <c r="D92" s="83"/>
      <c r="E92" s="82">
        <f>44226672.82</f>
        <v>44226672.82</v>
      </c>
      <c r="F92" s="83"/>
      <c r="G92" s="84">
        <f>IF($E$89=0,"",100*$E92/$E$89)</f>
        <v>1.6233084802845437</v>
      </c>
      <c r="H92" s="80">
        <f t="shared" si="12"/>
        <v>27.50433958638646</v>
      </c>
    </row>
    <row r="93" spans="2:8" ht="12.75">
      <c r="B93" s="36" t="s">
        <v>33</v>
      </c>
      <c r="C93" s="47">
        <f>625643342.01</f>
        <v>625643342.01</v>
      </c>
      <c r="D93" s="50"/>
      <c r="E93" s="47">
        <f>782449974.23</f>
        <v>782449974.23</v>
      </c>
      <c r="F93" s="50"/>
      <c r="G93" s="58">
        <f>IF($E$89=0,"",100*$E93/$E$89)</f>
        <v>28.719268205760127</v>
      </c>
      <c r="H93" s="59">
        <f t="shared" si="12"/>
        <v>125.06326235587011</v>
      </c>
    </row>
    <row r="95" spans="2:8" ht="12.75">
      <c r="B95" s="41" t="s">
        <v>16</v>
      </c>
      <c r="C95" s="86" t="s">
        <v>17</v>
      </c>
      <c r="D95" s="87"/>
      <c r="E95" s="86" t="s">
        <v>1</v>
      </c>
      <c r="F95" s="87"/>
      <c r="G95" s="19" t="s">
        <v>26</v>
      </c>
      <c r="H95" s="19" t="s">
        <v>27</v>
      </c>
    </row>
    <row r="96" spans="2:8" ht="12.75">
      <c r="B96" s="41"/>
      <c r="C96" s="88" t="s">
        <v>81</v>
      </c>
      <c r="D96" s="89"/>
      <c r="E96" s="89"/>
      <c r="F96" s="90"/>
      <c r="G96" s="94" t="s">
        <v>4</v>
      </c>
      <c r="H96" s="95"/>
    </row>
    <row r="97" spans="2:8" ht="12.75">
      <c r="B97" s="39">
        <v>1</v>
      </c>
      <c r="C97" s="43">
        <v>2</v>
      </c>
      <c r="D97" s="44"/>
      <c r="E97" s="43">
        <v>3</v>
      </c>
      <c r="F97" s="44"/>
      <c r="G97" s="40">
        <v>4</v>
      </c>
      <c r="H97" s="40">
        <v>5</v>
      </c>
    </row>
    <row r="98" spans="2:8" ht="22.5">
      <c r="B98" s="57" t="s">
        <v>84</v>
      </c>
      <c r="C98" s="52">
        <f>30195928192.23</f>
        <v>30195928192.23</v>
      </c>
      <c r="D98" s="49"/>
      <c r="E98" s="52">
        <f>0</f>
        <v>0</v>
      </c>
      <c r="F98" s="46"/>
      <c r="G98" s="42"/>
      <c r="H98" s="34"/>
    </row>
    <row r="99" spans="2:8" ht="56.25">
      <c r="B99" s="51" t="s">
        <v>85</v>
      </c>
      <c r="C99" s="54">
        <f>1458040061.64</f>
        <v>1458040061.64</v>
      </c>
      <c r="D99" s="53"/>
      <c r="E99" s="54">
        <f>0</f>
        <v>0</v>
      </c>
      <c r="F99" s="53"/>
      <c r="G99" s="58"/>
      <c r="H99" s="59"/>
    </row>
    <row r="100" spans="2:8" ht="12.75">
      <c r="B100" s="51" t="s">
        <v>86</v>
      </c>
      <c r="C100" s="54">
        <f>13371319583.74</f>
        <v>13371319583.74</v>
      </c>
      <c r="D100" s="53"/>
      <c r="E100" s="54">
        <f>0</f>
        <v>0</v>
      </c>
      <c r="F100" s="53"/>
      <c r="G100" s="58"/>
      <c r="H100" s="59"/>
    </row>
    <row r="101" spans="2:8" ht="33.75">
      <c r="B101" s="51" t="s">
        <v>87</v>
      </c>
      <c r="C101" s="54">
        <f>0</f>
        <v>0</v>
      </c>
      <c r="D101" s="53"/>
      <c r="E101" s="54">
        <f>0</f>
        <v>0</v>
      </c>
      <c r="F101" s="53"/>
      <c r="G101" s="58"/>
      <c r="H101" s="59"/>
    </row>
    <row r="102" spans="2:8" ht="33.75">
      <c r="B102" s="51" t="s">
        <v>88</v>
      </c>
      <c r="C102" s="54">
        <f>1301521462.88</f>
        <v>1301521462.88</v>
      </c>
      <c r="D102" s="53"/>
      <c r="E102" s="54">
        <f>0</f>
        <v>0</v>
      </c>
      <c r="F102" s="53"/>
      <c r="G102" s="58"/>
      <c r="H102" s="59"/>
    </row>
    <row r="103" spans="2:8" ht="101.25">
      <c r="B103" s="51" t="s">
        <v>89</v>
      </c>
      <c r="C103" s="54">
        <f>7774714976.35</f>
        <v>7774714976.35</v>
      </c>
      <c r="D103" s="53"/>
      <c r="E103" s="54">
        <f>0</f>
        <v>0</v>
      </c>
      <c r="F103" s="53"/>
      <c r="G103" s="58"/>
      <c r="H103" s="59"/>
    </row>
  </sheetData>
  <sheetProtection/>
  <mergeCells count="42">
    <mergeCell ref="I75:J75"/>
    <mergeCell ref="I67:J67"/>
    <mergeCell ref="I65:J65"/>
    <mergeCell ref="I66:J66"/>
    <mergeCell ref="I68:J68"/>
    <mergeCell ref="I69:J69"/>
    <mergeCell ref="I73:J73"/>
    <mergeCell ref="I74:J74"/>
    <mergeCell ref="I70:J70"/>
    <mergeCell ref="B1:M1"/>
    <mergeCell ref="B3:B4"/>
    <mergeCell ref="K4:M4"/>
    <mergeCell ref="C4:J4"/>
    <mergeCell ref="B52:M52"/>
    <mergeCell ref="I58:J58"/>
    <mergeCell ref="C57:J57"/>
    <mergeCell ref="I64:J64"/>
    <mergeCell ref="I59:J59"/>
    <mergeCell ref="I60:J60"/>
    <mergeCell ref="I61:J61"/>
    <mergeCell ref="I62:J62"/>
    <mergeCell ref="I63:J63"/>
    <mergeCell ref="C95:D95"/>
    <mergeCell ref="E95:F95"/>
    <mergeCell ref="C96:F96"/>
    <mergeCell ref="G96:H96"/>
    <mergeCell ref="B76:M76"/>
    <mergeCell ref="I54:J56"/>
    <mergeCell ref="D54:D56"/>
    <mergeCell ref="E54:E56"/>
    <mergeCell ref="F55:F56"/>
    <mergeCell ref="F54:H54"/>
    <mergeCell ref="C77:D77"/>
    <mergeCell ref="E77:F77"/>
    <mergeCell ref="C78:F78"/>
    <mergeCell ref="C54:C56"/>
    <mergeCell ref="B54:B57"/>
    <mergeCell ref="K54:K56"/>
    <mergeCell ref="K57:L57"/>
    <mergeCell ref="G78:H78"/>
    <mergeCell ref="G55:H55"/>
    <mergeCell ref="L54:L56"/>
  </mergeCells>
  <printOptions/>
  <pageMargins left="0.1968503937007874" right="0.1968503937007874" top="0.5511811023622047" bottom="0.3937007874015748" header="0.31496062992125984" footer="0.1968503937007874"/>
  <pageSetup firstPageNumber="1" useFirstPageNumber="1" horizontalDpi="600" verticalDpi="600" orientation="landscape" paperSize="9" scale="55" r:id="rId3"/>
  <headerFooter alignWithMargins="0">
    <oddFooter>&amp;RStrona &amp;P z &amp;N</oddFooter>
  </headerFooter>
  <rowBreaks count="3" manualBreakCount="3">
    <brk id="21" max="255" man="1"/>
    <brk id="51" max="255" man="1"/>
    <brk id="75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2018-03-19T09:12:59Z</cp:lastPrinted>
  <dcterms:created xsi:type="dcterms:W3CDTF">2001-05-17T08:58:03Z</dcterms:created>
  <dcterms:modified xsi:type="dcterms:W3CDTF">2021-05-31T09:30:20Z</dcterms:modified>
  <cp:category/>
  <cp:version/>
  <cp:contentType/>
  <cp:contentStatus/>
</cp:coreProperties>
</file>