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'doch_wyd'!$A$1:$M$130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<sst xmlns="http://schemas.openxmlformats.org/spreadsheetml/2006/main" count="335" uniqueCount="119">
  <si>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</si>
  <si>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</si>
  <si>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</si>
  <si>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</si>
  <si>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</si>
  <si>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</si>
  <si>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</si>
  <si>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</si>
  <si>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</si>
  <si>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</si>
  <si>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</si>
  <si>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</si>
  <si>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</si>
  <si>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</si>
  <si>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</si>
  <si>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</si>
  <si>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</si>
  <si>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</si>
  <si>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</si>
  <si>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</si>
  <si>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</si>
  <si>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</si>
  <si>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</si>
  <si>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</si>
  <si>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</si>
  <si>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</si>
  <si>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</si>
  <si>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</si>
  <si>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</si>
  <si>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</si>
  <si>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</si>
  <si>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</si>
  <si>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</si>
  <si>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</si>
  <si>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</si>
  <si>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</si>
  <si>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</si>
  <si>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</si>
  <si>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</si>
  <si>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</si>
  <si>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</si>
  <si>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</si>
  <si>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</si>
  <si>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</si>
  <si>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</si>
  <si>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</si>
  <si>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</si>
  <si>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</si>
  <si>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</si>
  <si>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</si>
  <si>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</si>
  <si>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</si>
  <si>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</si>
  <si>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</si>
  <si>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</si>
  <si>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</si>
  <si>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</si>
  <si>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</si>
  <si>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</si>
  <si>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</si>
  <si>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</si>
  <si>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</si>
  <si>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</si>
  <si>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</si>
  <si>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</si>
  <si>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</si>
  <si>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</si>
  <si>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</si>
  <si>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</si>
  <si>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</si>
  <si>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</si>
  <si>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</si>
  <si>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</si>
  <si>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</si>
  <si>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</si>
  <si>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</si>
  <si>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z tego:</t>
  </si>
  <si>
    <t>świadczenia na rzecz osób fizycznych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</si>
  <si>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</si>
  <si>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</si>
  <si>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</si>
  <si>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</si>
  <si>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</si>
  <si>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</si>
  <si>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</si>
  <si>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</si>
  <si>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</si>
  <si>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</si>
  <si>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</si>
  <si>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</si>
  <si>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</si>
  <si>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</si>
  <si>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</si>
  <si>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</si>
  <si>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</si>
  <si>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</si>
  <si>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</si>
  <si>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</si>
  <si>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</si>
  <si>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</si>
  <si>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</si>
  <si>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</si>
  <si>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</si>
  <si>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</si>
  <si>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</si>
  <si>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</si>
  <si>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</si>
  <si>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</si>
  <si>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</si>
  <si>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</si>
  <si>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</si>
  <si>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</si>
  <si>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</si>
  <si>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</si>
  <si>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</si>
  <si>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</si>
  <si>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wykonanychwydatków bieżących ponoszonych na spłatę przejętych zobowiązań samodzielnego publicznego zakładu opieki zdrowotnej przekształconego na zasadach określonych w ustawie o działalności leczniczej</t>
  </si>
  <si>
    <t>wydatki na wynagrodzenia i pochodne od wynagrodzeń</t>
  </si>
  <si>
    <t xml:space="preserve">Informacja z wykonania budżetów miast na prawach powiatu za III Kwartały 2020 rok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</si>
</sst>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35">
    <xf numFmtId="0" fontId="0" fillId="0" borderId="0" xfId="0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50" borderId="19" xfId="0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/>
    </xf>
    <xf numFmtId="164" fontId="33" fillId="5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/>
    </xf>
    <xf numFmtId="4" fontId="34" fillId="50" borderId="19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13" fillId="40" borderId="19" xfId="0" applyFont="1" applyFill="1" applyBorder="1" applyAlignment="1" quotePrefix="1">
      <alignment horizontal="center" vertical="center" wrapText="1"/>
    </xf>
    <xf numFmtId="4" fontId="35" fillId="0" borderId="19" xfId="0" applyNumberFormat="1" applyFont="1" applyBorder="1" applyAlignment="1">
      <alignment horizontal="center" vertical="center"/>
    </xf>
    <xf numFmtId="0" fontId="13" fillId="50" borderId="19" xfId="0" applyFont="1" applyFill="1" applyBorder="1" applyAlignment="1" quotePrefix="1">
      <alignment horizontal="center" vertical="center" wrapText="1"/>
    </xf>
    <xf numFmtId="164" fontId="34" fillId="40" borderId="19" xfId="0" applyNumberFormat="1" applyFont="1" applyFill="1" applyBorder="1" applyAlignment="1">
      <alignment horizontal="center" vertical="center"/>
    </xf>
    <xf numFmtId="0" fontId="5" fillId="51" borderId="19" xfId="0" applyFont="1" applyFill="1" applyBorder="1" applyAlignment="1">
      <alignment horizontal="center" vertical="center" wrapText="1"/>
    </xf>
    <xf numFmtId="4" fontId="34" fillId="51" borderId="19" xfId="0" applyNumberFormat="1" applyFont="1" applyFill="1" applyBorder="1" applyAlignment="1">
      <alignment horizontal="center" vertical="center"/>
    </xf>
    <xf numFmtId="164" fontId="34" fillId="51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3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36" fillId="50" borderId="19" xfId="0" applyNumberFormat="1" applyFont="1" applyFill="1" applyBorder="1" applyAlignment="1">
      <alignment horizontal="center" vertical="center"/>
    </xf>
    <xf numFmtId="164" fontId="36" fillId="5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 wrapText="1"/>
    </xf>
    <xf numFmtId="164" fontId="35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4" fontId="34" fillId="50" borderId="21" xfId="0" applyNumberFormat="1" applyFont="1" applyFill="1" applyBorder="1" applyAlignment="1">
      <alignment horizontal="center" vertical="center" wrapText="1"/>
    </xf>
    <xf numFmtId="4" fontId="34" fillId="5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center" vertical="center" wrapText="1"/>
    </xf>
    <xf numFmtId="164" fontId="36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 vertical="top" wrapText="1"/>
    </xf>
    <xf numFmtId="4" fontId="36" fillId="40" borderId="20" xfId="0" applyNumberFormat="1" applyFont="1" applyFill="1" applyBorder="1" applyAlignment="1">
      <alignment horizontal="center" vertical="center"/>
    </xf>
    <xf numFmtId="4" fontId="36" fillId="40" borderId="21" xfId="0" applyNumberFormat="1" applyFont="1" applyFill="1" applyBorder="1" applyAlignment="1">
      <alignment horizontal="center" vertical="center"/>
    </xf>
    <xf numFmtId="164" fontId="36" fillId="40" borderId="19" xfId="7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4" fontId="35" fillId="0" borderId="20" xfId="0" applyNumberFormat="1" applyFont="1" applyBorder="1" applyAlignment="1">
      <alignment horizontal="center" vertical="center"/>
    </xf>
    <xf numFmtId="4" fontId="35" fillId="0" borderId="21" xfId="0" applyNumberFormat="1" applyFont="1" applyBorder="1" applyAlignment="1">
      <alignment horizontal="center" vertical="center"/>
    </xf>
    <xf numFmtId="164" fontId="36" fillId="51" borderId="19" xfId="71" applyNumberFormat="1" applyFont="1" applyFill="1" applyBorder="1" applyAlignment="1">
      <alignment horizontal="center" vertical="center"/>
    </xf>
    <xf numFmtId="164" fontId="36" fillId="51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4" fontId="35" fillId="0" borderId="20" xfId="0" applyNumberFormat="1" applyFont="1" applyFill="1" applyBorder="1" applyAlignment="1">
      <alignment horizontal="center" vertical="center"/>
    </xf>
    <xf numFmtId="4" fontId="35" fillId="0" borderId="21" xfId="0" applyNumberFormat="1" applyFont="1" applyFill="1" applyBorder="1" applyAlignment="1">
      <alignment horizontal="center" vertical="center"/>
    </xf>
    <xf numFmtId="164" fontId="36" fillId="0" borderId="19" xfId="71" applyNumberFormat="1" applyFont="1" applyFill="1" applyBorder="1" applyAlignment="1">
      <alignment horizontal="center" vertical="center"/>
    </xf>
    <xf numFmtId="0" fontId="12" fillId="50" borderId="19" xfId="0" applyFont="1" applyFill="1" applyBorder="1" applyAlignment="1">
      <alignment horizontal="center" vertical="top" wrapText="1"/>
    </xf>
    <xf numFmtId="4" fontId="36" fillId="50" borderId="20" xfId="0" applyNumberFormat="1" applyFont="1" applyFill="1" applyBorder="1" applyAlignment="1">
      <alignment horizontal="center" vertical="center"/>
    </xf>
    <xf numFmtId="4" fontId="36" fillId="50" borderId="21" xfId="0" applyNumberFormat="1" applyFont="1" applyFill="1" applyBorder="1" applyAlignment="1">
      <alignment horizontal="center" vertical="center"/>
    </xf>
    <xf numFmtId="164" fontId="36" fillId="50" borderId="19" xfId="71" applyNumberFormat="1" applyFont="1" applyFill="1" applyBorder="1" applyAlignment="1">
      <alignment horizontal="center" vertical="center"/>
    </xf>
    <xf numFmtId="0" fontId="55" fillId="0" borderId="19" xfId="89" applyFont="1" applyFill="1" applyBorder="1" applyAlignment="1">
      <alignment horizontal="center" vertical="top" wrapText="1"/>
      <protection/>
    </xf>
    <xf numFmtId="4" fontId="36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5" fillId="50" borderId="19" xfId="89" applyFont="1" applyFill="1" applyBorder="1" applyAlignment="1">
      <alignment horizontal="center" vertical="top" wrapText="1"/>
      <protection/>
    </xf>
    <xf numFmtId="0" fontId="55" fillId="0" borderId="19" xfId="89" applyFont="1" applyBorder="1" applyAlignment="1">
      <alignment horizontal="center" vertical="top" wrapText="1"/>
      <protection/>
    </xf>
    <xf numFmtId="4" fontId="35" fillId="50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2" borderId="20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6" fillId="50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29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23" hidden="1" customWidth="1"/>
    <col min="2" max="2" width="22.875" style="23" customWidth="1"/>
    <col min="3" max="5" width="14.625" style="23" customWidth="1"/>
    <col min="6" max="6" width="13.875" style="23" customWidth="1"/>
    <col min="7" max="7" width="13.00390625" style="23" customWidth="1"/>
    <col min="8" max="9" width="12.25390625" style="23" customWidth="1"/>
    <col min="10" max="10" width="13.00390625" style="23" customWidth="1"/>
    <col min="11" max="11" width="7.375" style="23" customWidth="1"/>
    <col min="12" max="12" width="7.25390625" style="23" customWidth="1"/>
    <col min="13" max="13" width="8.125" style="23" customWidth="1"/>
    <col min="14" max="16384" width="9.125" style="23" customWidth="1"/>
  </cols>
  <sheetData>
    <row r="1" spans="2:13" ht="27.75" customHeight="1">
      <c r="B1" s="106" t="s">
        <v>118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2:13" ht="63" customHeight="1">
      <c r="B2" s="133" t="s">
        <v>0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2</v>
      </c>
      <c r="L2" s="5" t="s">
        <v>18</v>
      </c>
      <c r="M2" s="5" t="s">
        <v>3</v>
      </c>
    </row>
    <row r="3" spans="2:13" ht="12.75">
      <c r="B3" s="133"/>
      <c r="C3" s="105" t="s">
        <v>84</v>
      </c>
      <c r="D3" s="105"/>
      <c r="E3" s="105"/>
      <c r="F3" s="105"/>
      <c r="G3" s="105"/>
      <c r="H3" s="105"/>
      <c r="I3" s="105"/>
      <c r="J3" s="105"/>
      <c r="K3" s="105" t="s">
        <v>4</v>
      </c>
      <c r="L3" s="105"/>
      <c r="M3" s="105"/>
    </row>
    <row r="4" spans="2:13" ht="12.75">
      <c r="B4" s="6">
        <v>1</v>
      </c>
      <c r="C4" s="8">
        <v>2</v>
      </c>
      <c r="D4" s="8">
        <v>3</v>
      </c>
      <c r="E4" s="8">
        <v>4</v>
      </c>
      <c r="F4" s="6">
        <v>5</v>
      </c>
      <c r="G4" s="8">
        <v>6</v>
      </c>
      <c r="H4" s="6">
        <v>7</v>
      </c>
      <c r="I4" s="8">
        <v>8</v>
      </c>
      <c r="J4" s="6">
        <v>9</v>
      </c>
      <c r="K4" s="8">
        <v>10</v>
      </c>
      <c r="L4" s="6">
        <v>11</v>
      </c>
      <c r="M4" s="8">
        <v>12</v>
      </c>
    </row>
    <row r="5" spans="2:13" ht="12.75">
      <c r="B5" s="24" t="s">
        <v>5</v>
      </c>
      <c r="C5" s="25">
        <f>100385399198.1</f>
        <v>100385399198.1</v>
      </c>
      <c r="D5" s="25">
        <f>75193170133.96</f>
        <v>75193170133.96</v>
      </c>
      <c r="E5" s="25">
        <f>72312517447.37</f>
        <v>72312517447.37</v>
      </c>
      <c r="F5" s="25">
        <f>360375150.84</f>
        <v>360375150.84</v>
      </c>
      <c r="G5" s="25">
        <f>112613442.34</f>
        <v>112613442.34</v>
      </c>
      <c r="H5" s="25">
        <f>17538387.83</f>
        <v>17538387.83</v>
      </c>
      <c r="I5" s="25">
        <f>116375981.47</f>
        <v>116375981.47</v>
      </c>
      <c r="J5" s="25">
        <f>4751721.97</f>
        <v>4751721.97</v>
      </c>
      <c r="K5" s="26">
        <f aca="true" t="shared" si="0" ref="K5:K63">IF($D$5=0,"",100*$D5/$D$5)</f>
        <v>100</v>
      </c>
      <c r="L5" s="26">
        <f aca="true" t="shared" si="1" ref="L5:L63">IF(C5=0,"",100*D5/C5)</f>
        <v>74.90448883465037</v>
      </c>
      <c r="M5" s="26"/>
    </row>
    <row r="6" spans="2:13" ht="25.5" customHeight="1">
      <c r="B6" s="24" t="s">
        <v>64</v>
      </c>
      <c r="C6" s="25">
        <f>C5-C23-C50</f>
        <v>55772641874.69</v>
      </c>
      <c r="D6" s="25">
        <f>D5-D23-D50</f>
        <v>40643834106.32001</v>
      </c>
      <c r="E6" s="25">
        <f>E5-E23-E50</f>
        <v>39157800814.52</v>
      </c>
      <c r="F6" s="25">
        <f>F5</f>
        <v>360375150.84</v>
      </c>
      <c r="G6" s="25">
        <f>G5</f>
        <v>112613442.34</v>
      </c>
      <c r="H6" s="25">
        <f>H5</f>
        <v>17538387.83</v>
      </c>
      <c r="I6" s="25">
        <f>I5</f>
        <v>116375981.47</v>
      </c>
      <c r="J6" s="25">
        <f>J5</f>
        <v>4751721.97</v>
      </c>
      <c r="K6" s="26">
        <f t="shared" si="0"/>
        <v>54.052560935935</v>
      </c>
      <c r="L6" s="26">
        <f t="shared" si="1"/>
        <v>72.87414176584748</v>
      </c>
      <c r="M6" s="26">
        <f aca="true" t="shared" si="2" ref="M6:M22">IF($D$6=0,"",100*$D6/$D$6)</f>
        <v>100</v>
      </c>
    </row>
    <row r="7" spans="2:13" ht="33.75">
      <c r="B7" s="27" t="s">
        <v>65</v>
      </c>
      <c r="C7" s="28">
        <f>1967799732</f>
        <v>1967799732</v>
      </c>
      <c r="D7" s="28">
        <f>1603818636.29</f>
        <v>1603818636.29</v>
      </c>
      <c r="E7" s="28">
        <f>1613366425.71</f>
        <v>1613366425.71</v>
      </c>
      <c r="F7" s="28">
        <f>0</f>
        <v>0</v>
      </c>
      <c r="G7" s="28">
        <f>0</f>
        <v>0</v>
      </c>
      <c r="H7" s="28">
        <f>0</f>
        <v>0</v>
      </c>
      <c r="I7" s="28">
        <f>0</f>
        <v>0</v>
      </c>
      <c r="J7" s="28">
        <f>0</f>
        <v>0</v>
      </c>
      <c r="K7" s="29">
        <f t="shared" si="0"/>
        <v>2.132931266806181</v>
      </c>
      <c r="L7" s="29">
        <f t="shared" si="1"/>
        <v>81.50314334375568</v>
      </c>
      <c r="M7" s="29">
        <f t="shared" si="2"/>
        <v>3.9460318435868493</v>
      </c>
    </row>
    <row r="8" spans="2:13" ht="33.75">
      <c r="B8" s="30" t="s">
        <v>66</v>
      </c>
      <c r="C8" s="31">
        <f>522651880.75</f>
        <v>522651880.75</v>
      </c>
      <c r="D8" s="31">
        <f>334346548.46</f>
        <v>334346548.46</v>
      </c>
      <c r="E8" s="31">
        <f>337570921.68</f>
        <v>337570921.68</v>
      </c>
      <c r="F8" s="31">
        <f>0</f>
        <v>0</v>
      </c>
      <c r="G8" s="31">
        <f>0</f>
        <v>0</v>
      </c>
      <c r="H8" s="31">
        <f>0</f>
        <v>0</v>
      </c>
      <c r="I8" s="31">
        <f>0</f>
        <v>0</v>
      </c>
      <c r="J8" s="31">
        <f>0</f>
        <v>0</v>
      </c>
      <c r="K8" s="29">
        <f t="shared" si="0"/>
        <v>0.4446501562101273</v>
      </c>
      <c r="L8" s="29">
        <f t="shared" si="1"/>
        <v>63.971174843992934</v>
      </c>
      <c r="M8" s="29">
        <f t="shared" si="2"/>
        <v>0.8226255121142962</v>
      </c>
    </row>
    <row r="9" spans="2:13" ht="33.75">
      <c r="B9" s="30" t="s">
        <v>67</v>
      </c>
      <c r="C9" s="31">
        <f>19034792847.14</f>
        <v>19034792847.14</v>
      </c>
      <c r="D9" s="31">
        <f>13324320887</f>
        <v>13324320887</v>
      </c>
      <c r="E9" s="31">
        <f>12134965260</f>
        <v>12134965260</v>
      </c>
      <c r="F9" s="31">
        <f>0</f>
        <v>0</v>
      </c>
      <c r="G9" s="31">
        <f>0</f>
        <v>0</v>
      </c>
      <c r="H9" s="31">
        <f>0</f>
        <v>0</v>
      </c>
      <c r="I9" s="31">
        <f>0</f>
        <v>0</v>
      </c>
      <c r="J9" s="31">
        <f>0</f>
        <v>0</v>
      </c>
      <c r="K9" s="29">
        <f t="shared" si="0"/>
        <v>17.720121206835838</v>
      </c>
      <c r="L9" s="29">
        <f t="shared" si="1"/>
        <v>69.999820822857</v>
      </c>
      <c r="M9" s="29">
        <f t="shared" si="2"/>
        <v>32.783129790720466</v>
      </c>
    </row>
    <row r="10" spans="2:13" ht="33.75">
      <c r="B10" s="30" t="s">
        <v>68</v>
      </c>
      <c r="C10" s="31">
        <f>5117615714</f>
        <v>5117615714</v>
      </c>
      <c r="D10" s="31">
        <f>3578917677</f>
        <v>3578917677</v>
      </c>
      <c r="E10" s="31">
        <f>3259547671</f>
        <v>3259547671</v>
      </c>
      <c r="F10" s="31">
        <f>0</f>
        <v>0</v>
      </c>
      <c r="G10" s="31">
        <f>0</f>
        <v>0</v>
      </c>
      <c r="H10" s="31">
        <f>0</f>
        <v>0</v>
      </c>
      <c r="I10" s="31">
        <f>0</f>
        <v>0</v>
      </c>
      <c r="J10" s="31">
        <f>0</f>
        <v>0</v>
      </c>
      <c r="K10" s="29">
        <f t="shared" si="0"/>
        <v>4.75963132106812</v>
      </c>
      <c r="L10" s="29">
        <f t="shared" si="1"/>
        <v>69.93330247930375</v>
      </c>
      <c r="M10" s="29">
        <f t="shared" si="2"/>
        <v>8.805561177220453</v>
      </c>
    </row>
    <row r="11" spans="2:13" ht="12.75">
      <c r="B11" s="30" t="s">
        <v>19</v>
      </c>
      <c r="C11" s="31">
        <f>21859045</f>
        <v>21859045</v>
      </c>
      <c r="D11" s="31">
        <f>18315363.89</f>
        <v>18315363.89</v>
      </c>
      <c r="E11" s="31">
        <f>18311812.48</f>
        <v>18311812.48</v>
      </c>
      <c r="F11" s="31">
        <f>569781.83</f>
        <v>569781.83</v>
      </c>
      <c r="G11" s="31">
        <f>5612.69</f>
        <v>5612.69</v>
      </c>
      <c r="H11" s="31">
        <f>14633.54</f>
        <v>14633.54</v>
      </c>
      <c r="I11" s="31">
        <f>51399.75</f>
        <v>51399.75</v>
      </c>
      <c r="J11" s="31">
        <f>0</f>
        <v>0</v>
      </c>
      <c r="K11" s="29">
        <f t="shared" si="0"/>
        <v>0.024357749324001577</v>
      </c>
      <c r="L11" s="29">
        <f t="shared" si="1"/>
        <v>83.78849071402708</v>
      </c>
      <c r="M11" s="29">
        <f t="shared" si="2"/>
        <v>0.04506308101270399</v>
      </c>
    </row>
    <row r="12" spans="2:13" ht="12.75">
      <c r="B12" s="30" t="s">
        <v>20</v>
      </c>
      <c r="C12" s="31">
        <f>9260557178</f>
        <v>9260557178</v>
      </c>
      <c r="D12" s="32">
        <f>6933709567.79</f>
        <v>6933709567.79</v>
      </c>
      <c r="E12" s="31">
        <f>6933569294.76</f>
        <v>6933569294.76</v>
      </c>
      <c r="F12" s="31">
        <f>162274494.48</f>
        <v>162274494.48</v>
      </c>
      <c r="G12" s="31">
        <f>109709346.75</f>
        <v>109709346.75</v>
      </c>
      <c r="H12" s="31">
        <f>15657949.35</f>
        <v>15657949.35</v>
      </c>
      <c r="I12" s="31">
        <f>98278751.53</f>
        <v>98278751.53</v>
      </c>
      <c r="J12" s="31">
        <f>4189424.69</f>
        <v>4189424.69</v>
      </c>
      <c r="K12" s="29">
        <f t="shared" si="0"/>
        <v>9.22119596159769</v>
      </c>
      <c r="L12" s="29">
        <f t="shared" si="1"/>
        <v>74.87356791297812</v>
      </c>
      <c r="M12" s="29">
        <f t="shared" si="2"/>
        <v>17.059683763229973</v>
      </c>
    </row>
    <row r="13" spans="2:13" ht="12.75">
      <c r="B13" s="30" t="s">
        <v>21</v>
      </c>
      <c r="C13" s="31">
        <f>4598237</f>
        <v>4598237</v>
      </c>
      <c r="D13" s="32">
        <f>3595346.02</f>
        <v>3595346.02</v>
      </c>
      <c r="E13" s="31">
        <f>3590106.53</f>
        <v>3590106.53</v>
      </c>
      <c r="F13" s="31">
        <f>0</f>
        <v>0</v>
      </c>
      <c r="G13" s="31">
        <f>17601.36</f>
        <v>17601.36</v>
      </c>
      <c r="H13" s="31">
        <f>1440.38</f>
        <v>1440.38</v>
      </c>
      <c r="I13" s="31">
        <f>1314.7</f>
        <v>1314.7</v>
      </c>
      <c r="J13" s="31">
        <f>0</f>
        <v>0</v>
      </c>
      <c r="K13" s="29">
        <f t="shared" si="0"/>
        <v>0.004781479506176864</v>
      </c>
      <c r="L13" s="29">
        <f t="shared" si="1"/>
        <v>78.1896631252369</v>
      </c>
      <c r="M13" s="29">
        <f t="shared" si="2"/>
        <v>0.008845981436187717</v>
      </c>
    </row>
    <row r="14" spans="2:13" ht="22.5">
      <c r="B14" s="30" t="s">
        <v>22</v>
      </c>
      <c r="C14" s="31">
        <f>348562795</f>
        <v>348562795</v>
      </c>
      <c r="D14" s="32">
        <f>321773996.56</f>
        <v>321773996.56</v>
      </c>
      <c r="E14" s="31">
        <f>321764519.25</f>
        <v>321764519.25</v>
      </c>
      <c r="F14" s="31">
        <f>197233211.43</f>
        <v>197233211.43</v>
      </c>
      <c r="G14" s="31">
        <f>82293.92</f>
        <v>82293.92</v>
      </c>
      <c r="H14" s="31">
        <f>190662.43</f>
        <v>190662.43</v>
      </c>
      <c r="I14" s="31">
        <f>1036094.21</f>
        <v>1036094.21</v>
      </c>
      <c r="J14" s="31">
        <f>0</f>
        <v>0</v>
      </c>
      <c r="K14" s="29">
        <f t="shared" si="0"/>
        <v>0.42792981860818635</v>
      </c>
      <c r="L14" s="29">
        <f t="shared" si="1"/>
        <v>92.31449861423104</v>
      </c>
      <c r="M14" s="29">
        <f t="shared" si="2"/>
        <v>0.791692033084952</v>
      </c>
    </row>
    <row r="15" spans="2:13" ht="33.75">
      <c r="B15" s="30" t="s">
        <v>41</v>
      </c>
      <c r="C15" s="31">
        <f>26375445</f>
        <v>26375445</v>
      </c>
      <c r="D15" s="32">
        <f>21090587.51</f>
        <v>21090587.51</v>
      </c>
      <c r="E15" s="31">
        <f>21319910.78</f>
        <v>21319910.78</v>
      </c>
      <c r="F15" s="31">
        <f>0</f>
        <v>0</v>
      </c>
      <c r="G15" s="31">
        <f>0</f>
        <v>0</v>
      </c>
      <c r="H15" s="31">
        <f>30286.09</f>
        <v>30286.09</v>
      </c>
      <c r="I15" s="31">
        <f>400062.05</f>
        <v>400062.05</v>
      </c>
      <c r="J15" s="31">
        <f>0</f>
        <v>0</v>
      </c>
      <c r="K15" s="29">
        <f t="shared" si="0"/>
        <v>0.028048541473149988</v>
      </c>
      <c r="L15" s="29">
        <f t="shared" si="1"/>
        <v>79.96296369596799</v>
      </c>
      <c r="M15" s="29">
        <f t="shared" si="2"/>
        <v>0.051891235100579435</v>
      </c>
    </row>
    <row r="16" spans="2:13" ht="22.5" customHeight="1">
      <c r="B16" s="30" t="s">
        <v>27</v>
      </c>
      <c r="C16" s="31">
        <f>153644743.89</f>
        <v>153644743.89</v>
      </c>
      <c r="D16" s="32">
        <f>120499187.07</f>
        <v>120499187.07</v>
      </c>
      <c r="E16" s="31">
        <f>119500296.91</f>
        <v>119500296.91</v>
      </c>
      <c r="F16" s="31">
        <f>0</f>
        <v>0</v>
      </c>
      <c r="G16" s="31">
        <f>0</f>
        <v>0</v>
      </c>
      <c r="H16" s="31">
        <f>661685.31</f>
        <v>661685.31</v>
      </c>
      <c r="I16" s="31">
        <f>3681898.88</f>
        <v>3681898.88</v>
      </c>
      <c r="J16" s="31">
        <f>0</f>
        <v>0</v>
      </c>
      <c r="K16" s="29">
        <f t="shared" si="0"/>
        <v>0.16025283527124246</v>
      </c>
      <c r="L16" s="29">
        <f t="shared" si="1"/>
        <v>78.42714564727959</v>
      </c>
      <c r="M16" s="29">
        <f t="shared" si="2"/>
        <v>0.29647593471321326</v>
      </c>
    </row>
    <row r="17" spans="2:13" ht="22.5" customHeight="1">
      <c r="B17" s="30" t="s">
        <v>28</v>
      </c>
      <c r="C17" s="31">
        <f>1437478014.29</f>
        <v>1437478014.29</v>
      </c>
      <c r="D17" s="32">
        <f>1124380523.49</f>
        <v>1124380523.49</v>
      </c>
      <c r="E17" s="31">
        <f>1124116870.13</f>
        <v>1124116870.13</v>
      </c>
      <c r="F17" s="31">
        <f>0</f>
        <v>0</v>
      </c>
      <c r="G17" s="31">
        <f>0</f>
        <v>0</v>
      </c>
      <c r="H17" s="31">
        <f>9984</f>
        <v>9984</v>
      </c>
      <c r="I17" s="31">
        <f>4108186.96</f>
        <v>4108186.96</v>
      </c>
      <c r="J17" s="31">
        <f>0</f>
        <v>0</v>
      </c>
      <c r="K17" s="29">
        <f t="shared" si="0"/>
        <v>1.4953226755659665</v>
      </c>
      <c r="L17" s="29">
        <f t="shared" si="1"/>
        <v>78.21897185991779</v>
      </c>
      <c r="M17" s="29">
        <f t="shared" si="2"/>
        <v>2.7664233658388095</v>
      </c>
    </row>
    <row r="18" spans="2:13" ht="12.75">
      <c r="B18" s="30" t="s">
        <v>55</v>
      </c>
      <c r="C18" s="31">
        <f>301080952</f>
        <v>301080952</v>
      </c>
      <c r="D18" s="32">
        <f>224992682.37</f>
        <v>224992682.37</v>
      </c>
      <c r="E18" s="31">
        <f>224840756.98</f>
        <v>224840756.98</v>
      </c>
      <c r="F18" s="31">
        <f>0</f>
        <v>0</v>
      </c>
      <c r="G18" s="31">
        <f>0</f>
        <v>0</v>
      </c>
      <c r="H18" s="31">
        <f>5045</f>
        <v>5045</v>
      </c>
      <c r="I18" s="31">
        <f>66</f>
        <v>66</v>
      </c>
      <c r="J18" s="31">
        <f>0</f>
        <v>0</v>
      </c>
      <c r="K18" s="29">
        <f t="shared" si="0"/>
        <v>0.2992195726941229</v>
      </c>
      <c r="L18" s="29">
        <f t="shared" si="1"/>
        <v>74.72830176583207</v>
      </c>
      <c r="M18" s="29">
        <f t="shared" si="2"/>
        <v>0.553571500615426</v>
      </c>
    </row>
    <row r="19" spans="2:13" ht="12.75">
      <c r="B19" s="30" t="s">
        <v>56</v>
      </c>
      <c r="C19" s="31">
        <f>9270590</f>
        <v>9270590</v>
      </c>
      <c r="D19" s="32">
        <f>9984941.42</f>
        <v>9984941.42</v>
      </c>
      <c r="E19" s="31">
        <f>9984941.42</f>
        <v>9984941.42</v>
      </c>
      <c r="F19" s="31">
        <f>0</f>
        <v>0</v>
      </c>
      <c r="G19" s="31">
        <f>0</f>
        <v>0</v>
      </c>
      <c r="H19" s="31">
        <f>0</f>
        <v>0</v>
      </c>
      <c r="I19" s="31">
        <f>0</f>
        <v>0</v>
      </c>
      <c r="J19" s="31">
        <f>0</f>
        <v>0</v>
      </c>
      <c r="K19" s="29">
        <f t="shared" si="0"/>
        <v>0.013279053672310102</v>
      </c>
      <c r="L19" s="29">
        <f t="shared" si="1"/>
        <v>107.7055658809202</v>
      </c>
      <c r="M19" s="29">
        <f t="shared" si="2"/>
        <v>0.02456692789828942</v>
      </c>
    </row>
    <row r="20" spans="2:13" ht="12.75">
      <c r="B20" s="30" t="s">
        <v>57</v>
      </c>
      <c r="C20" s="31">
        <f>19243132</f>
        <v>19243132</v>
      </c>
      <c r="D20" s="32">
        <f>13113499.74</f>
        <v>13113499.74</v>
      </c>
      <c r="E20" s="31">
        <f>13091902.44</f>
        <v>13091902.44</v>
      </c>
      <c r="F20" s="31">
        <f>0</f>
        <v>0</v>
      </c>
      <c r="G20" s="31">
        <f>0</f>
        <v>0</v>
      </c>
      <c r="H20" s="31">
        <f>0</f>
        <v>0</v>
      </c>
      <c r="I20" s="31">
        <f>25641.8</f>
        <v>25641.8</v>
      </c>
      <c r="J20" s="31">
        <f>0</f>
        <v>0</v>
      </c>
      <c r="K20" s="29">
        <f t="shared" si="0"/>
        <v>0.017439748472684036</v>
      </c>
      <c r="L20" s="29">
        <f t="shared" si="1"/>
        <v>68.1463897872758</v>
      </c>
      <c r="M20" s="29">
        <f t="shared" si="2"/>
        <v>0.03226442590454547</v>
      </c>
    </row>
    <row r="21" spans="2:13" ht="12.75">
      <c r="B21" s="30" t="s">
        <v>23</v>
      </c>
      <c r="C21" s="31">
        <f>4549987146.43</f>
        <v>4549987146.43</v>
      </c>
      <c r="D21" s="32">
        <f>2819537543.74</f>
        <v>2819537543.74</v>
      </c>
      <c r="E21" s="31">
        <f>2818981413.94</f>
        <v>2818981413.94</v>
      </c>
      <c r="F21" s="31">
        <f>0</f>
        <v>0</v>
      </c>
      <c r="G21" s="31">
        <f>0</f>
        <v>0</v>
      </c>
      <c r="H21" s="31">
        <f>0</f>
        <v>0</v>
      </c>
      <c r="I21" s="31">
        <f>0</f>
        <v>0</v>
      </c>
      <c r="J21" s="31">
        <f>0</f>
        <v>0</v>
      </c>
      <c r="K21" s="29">
        <f t="shared" si="0"/>
        <v>3.7497255917217847</v>
      </c>
      <c r="L21" s="29">
        <f t="shared" si="1"/>
        <v>61.96803316141802</v>
      </c>
      <c r="M21" s="29">
        <f t="shared" si="2"/>
        <v>6.937183968334251</v>
      </c>
    </row>
    <row r="22" spans="2:13" ht="13.5" customHeight="1">
      <c r="B22" s="30" t="s">
        <v>24</v>
      </c>
      <c r="C22" s="31">
        <f>C6-SUM(C7:C21)</f>
        <v>12997124422.190002</v>
      </c>
      <c r="D22" s="31">
        <f aca="true" t="shared" si="3" ref="D22:J22">D6-SUM(D7:D21)</f>
        <v>10191437117.970009</v>
      </c>
      <c r="E22" s="31">
        <f t="shared" si="3"/>
        <v>10203278710.510006</v>
      </c>
      <c r="F22" s="31">
        <f t="shared" si="3"/>
        <v>297663.09999996424</v>
      </c>
      <c r="G22" s="31">
        <f t="shared" si="3"/>
        <v>2798587.620000005</v>
      </c>
      <c r="H22" s="31">
        <f t="shared" si="3"/>
        <v>966701.7299999986</v>
      </c>
      <c r="I22" s="31">
        <f t="shared" si="3"/>
        <v>8792565.590000018</v>
      </c>
      <c r="J22" s="31">
        <f t="shared" si="3"/>
        <v>562297.2799999998</v>
      </c>
      <c r="K22" s="29">
        <f t="shared" si="0"/>
        <v>13.553673957107415</v>
      </c>
      <c r="L22" s="29">
        <f t="shared" si="1"/>
        <v>78.41301496329572</v>
      </c>
      <c r="M22" s="29">
        <f t="shared" si="2"/>
        <v>25.07498945918901</v>
      </c>
    </row>
    <row r="23" spans="2:13" ht="26.25" customHeight="1">
      <c r="B23" s="24" t="s">
        <v>76</v>
      </c>
      <c r="C23" s="25">
        <f>C24+C46+C48</f>
        <v>26054027858.410004</v>
      </c>
      <c r="D23" s="25">
        <f>D24+D46+D48</f>
        <v>19021805644.64</v>
      </c>
      <c r="E23" s="25">
        <f>E24+E46+E48</f>
        <v>18938437406.85</v>
      </c>
      <c r="F23" s="33" t="s">
        <v>63</v>
      </c>
      <c r="G23" s="33" t="s">
        <v>63</v>
      </c>
      <c r="H23" s="33" t="s">
        <v>63</v>
      </c>
      <c r="I23" s="33" t="s">
        <v>63</v>
      </c>
      <c r="J23" s="33" t="s">
        <v>63</v>
      </c>
      <c r="K23" s="26">
        <f t="shared" si="0"/>
        <v>25.297251879062685</v>
      </c>
      <c r="L23" s="26">
        <f t="shared" si="1"/>
        <v>73.00907847344584</v>
      </c>
      <c r="M23" s="34"/>
    </row>
    <row r="24" spans="2:13" ht="25.5" customHeight="1">
      <c r="B24" s="24" t="s">
        <v>69</v>
      </c>
      <c r="C24" s="25">
        <f>C25+C32+C39</f>
        <v>19783256074.15</v>
      </c>
      <c r="D24" s="25">
        <f>D25+D32+D39</f>
        <v>15812236054.3</v>
      </c>
      <c r="E24" s="25">
        <f>E25+E32+E39</f>
        <v>15731377690.539999</v>
      </c>
      <c r="F24" s="33" t="s">
        <v>63</v>
      </c>
      <c r="G24" s="33" t="s">
        <v>63</v>
      </c>
      <c r="H24" s="33" t="s">
        <v>63</v>
      </c>
      <c r="I24" s="33" t="s">
        <v>63</v>
      </c>
      <c r="J24" s="33" t="s">
        <v>63</v>
      </c>
      <c r="K24" s="26">
        <f t="shared" si="0"/>
        <v>21.028819540564378</v>
      </c>
      <c r="L24" s="26">
        <f t="shared" si="1"/>
        <v>79.92736885694576</v>
      </c>
      <c r="M24" s="35"/>
    </row>
    <row r="25" spans="2:13" ht="13.5" customHeight="1">
      <c r="B25" s="36" t="s">
        <v>58</v>
      </c>
      <c r="C25" s="25">
        <f>C26+C28+C30</f>
        <v>16903513123.5</v>
      </c>
      <c r="D25" s="25">
        <f>D26+D28+D30</f>
        <v>13559382148.75</v>
      </c>
      <c r="E25" s="25">
        <f>E26+E28+E30</f>
        <v>13540648487.06</v>
      </c>
      <c r="F25" s="33" t="s">
        <v>63</v>
      </c>
      <c r="G25" s="33" t="s">
        <v>63</v>
      </c>
      <c r="H25" s="33" t="s">
        <v>63</v>
      </c>
      <c r="I25" s="33" t="s">
        <v>63</v>
      </c>
      <c r="J25" s="33" t="s">
        <v>63</v>
      </c>
      <c r="K25" s="26">
        <f t="shared" si="0"/>
        <v>18.032731063996042</v>
      </c>
      <c r="L25" s="26">
        <f t="shared" si="1"/>
        <v>80.21635532023906</v>
      </c>
      <c r="M25" s="35"/>
    </row>
    <row r="26" spans="2:13" ht="22.5" customHeight="1">
      <c r="B26" s="30" t="s">
        <v>9</v>
      </c>
      <c r="C26" s="28">
        <f>15462992487.41</f>
        <v>15462992487.41</v>
      </c>
      <c r="D26" s="37">
        <f>12480031836.85</f>
        <v>12480031836.85</v>
      </c>
      <c r="E26" s="28">
        <f>12467182204.67</f>
        <v>12467182204.67</v>
      </c>
      <c r="F26" s="28" t="s">
        <v>63</v>
      </c>
      <c r="G26" s="28" t="s">
        <v>63</v>
      </c>
      <c r="H26" s="28" t="s">
        <v>63</v>
      </c>
      <c r="I26" s="28" t="s">
        <v>63</v>
      </c>
      <c r="J26" s="28" t="s">
        <v>63</v>
      </c>
      <c r="K26" s="29">
        <f t="shared" si="0"/>
        <v>16.5972944279597</v>
      </c>
      <c r="L26" s="29">
        <f t="shared" si="1"/>
        <v>80.70903382389449</v>
      </c>
      <c r="M26" s="35"/>
    </row>
    <row r="27" spans="2:13" ht="12.75">
      <c r="B27" s="30" t="s">
        <v>6</v>
      </c>
      <c r="C27" s="31">
        <f>4091384.68</f>
        <v>4091384.68</v>
      </c>
      <c r="D27" s="31">
        <f>2516655.68</f>
        <v>2516655.68</v>
      </c>
      <c r="E27" s="31">
        <f>2516655.68</f>
        <v>2516655.68</v>
      </c>
      <c r="F27" s="31" t="s">
        <v>63</v>
      </c>
      <c r="G27" s="31" t="s">
        <v>63</v>
      </c>
      <c r="H27" s="31" t="s">
        <v>63</v>
      </c>
      <c r="I27" s="31" t="s">
        <v>63</v>
      </c>
      <c r="J27" s="31" t="s">
        <v>63</v>
      </c>
      <c r="K27" s="29">
        <f t="shared" si="0"/>
        <v>0.0033469205720632143</v>
      </c>
      <c r="L27" s="29">
        <f t="shared" si="1"/>
        <v>61.51109897590955</v>
      </c>
      <c r="M27" s="35"/>
    </row>
    <row r="28" spans="2:13" ht="13.5" customHeight="1">
      <c r="B28" s="30" t="s">
        <v>7</v>
      </c>
      <c r="C28" s="31">
        <f>1423073257.6</f>
        <v>1423073257.6</v>
      </c>
      <c r="D28" s="32">
        <f>1066487998.92</f>
        <v>1066487998.92</v>
      </c>
      <c r="E28" s="31">
        <f>1060661348.4</f>
        <v>1060661348.4</v>
      </c>
      <c r="F28" s="31" t="s">
        <v>63</v>
      </c>
      <c r="G28" s="31" t="s">
        <v>63</v>
      </c>
      <c r="H28" s="31" t="s">
        <v>63</v>
      </c>
      <c r="I28" s="31" t="s">
        <v>63</v>
      </c>
      <c r="J28" s="31" t="s">
        <v>63</v>
      </c>
      <c r="K28" s="29">
        <f t="shared" si="0"/>
        <v>1.4183309428502666</v>
      </c>
      <c r="L28" s="29">
        <f t="shared" si="1"/>
        <v>74.942592956783</v>
      </c>
      <c r="M28" s="35"/>
    </row>
    <row r="29" spans="2:13" ht="12.75">
      <c r="B29" s="30" t="s">
        <v>6</v>
      </c>
      <c r="C29" s="31">
        <f>27425860.94</f>
        <v>27425860.94</v>
      </c>
      <c r="D29" s="31">
        <f>12604885.81</f>
        <v>12604885.81</v>
      </c>
      <c r="E29" s="31">
        <f>12460661.5</f>
        <v>12460661.5</v>
      </c>
      <c r="F29" s="31" t="s">
        <v>63</v>
      </c>
      <c r="G29" s="31" t="s">
        <v>63</v>
      </c>
      <c r="H29" s="31" t="s">
        <v>63</v>
      </c>
      <c r="I29" s="31" t="s">
        <v>63</v>
      </c>
      <c r="J29" s="31" t="s">
        <v>63</v>
      </c>
      <c r="K29" s="29">
        <f t="shared" si="0"/>
        <v>0.016763338728163515</v>
      </c>
      <c r="L29" s="29">
        <f t="shared" si="1"/>
        <v>45.95985459700212</v>
      </c>
      <c r="M29" s="35"/>
    </row>
    <row r="30" spans="2:13" ht="33.75">
      <c r="B30" s="30" t="s">
        <v>10</v>
      </c>
      <c r="C30" s="31">
        <f>17447378.49</f>
        <v>17447378.49</v>
      </c>
      <c r="D30" s="32">
        <f>12862312.98</f>
        <v>12862312.98</v>
      </c>
      <c r="E30" s="31">
        <f>12804933.99</f>
        <v>12804933.99</v>
      </c>
      <c r="F30" s="31" t="s">
        <v>63</v>
      </c>
      <c r="G30" s="31" t="s">
        <v>63</v>
      </c>
      <c r="H30" s="31" t="s">
        <v>63</v>
      </c>
      <c r="I30" s="31" t="s">
        <v>63</v>
      </c>
      <c r="J30" s="31" t="s">
        <v>63</v>
      </c>
      <c r="K30" s="29">
        <f t="shared" si="0"/>
        <v>0.01710569318607689</v>
      </c>
      <c r="L30" s="29">
        <f t="shared" si="1"/>
        <v>73.72060500304995</v>
      </c>
      <c r="M30" s="35"/>
    </row>
    <row r="31" spans="2:13" ht="12.75">
      <c r="B31" s="30" t="s">
        <v>6</v>
      </c>
      <c r="C31" s="31">
        <f>1965747</f>
        <v>1965747</v>
      </c>
      <c r="D31" s="31">
        <f>767620</f>
        <v>767620</v>
      </c>
      <c r="E31" s="31">
        <f>767620</f>
        <v>767620</v>
      </c>
      <c r="F31" s="31" t="s">
        <v>63</v>
      </c>
      <c r="G31" s="31" t="s">
        <v>63</v>
      </c>
      <c r="H31" s="31" t="s">
        <v>63</v>
      </c>
      <c r="I31" s="31" t="s">
        <v>63</v>
      </c>
      <c r="J31" s="31" t="s">
        <v>63</v>
      </c>
      <c r="K31" s="29">
        <f t="shared" si="0"/>
        <v>0.001020863994206456</v>
      </c>
      <c r="L31" s="29">
        <f t="shared" si="1"/>
        <v>39.049786162715755</v>
      </c>
      <c r="M31" s="35"/>
    </row>
    <row r="32" spans="2:13" ht="13.5" customHeight="1">
      <c r="B32" s="38" t="s">
        <v>59</v>
      </c>
      <c r="C32" s="25">
        <f>C33+C35+C37</f>
        <v>2127319632.4299998</v>
      </c>
      <c r="D32" s="25">
        <f>D33+D35+D37</f>
        <v>1716226547.96</v>
      </c>
      <c r="E32" s="25">
        <f>E33+E35+E37</f>
        <v>1655074607.66</v>
      </c>
      <c r="F32" s="33" t="s">
        <v>63</v>
      </c>
      <c r="G32" s="33" t="s">
        <v>63</v>
      </c>
      <c r="H32" s="33" t="s">
        <v>63</v>
      </c>
      <c r="I32" s="33" t="s">
        <v>63</v>
      </c>
      <c r="J32" s="33" t="s">
        <v>63</v>
      </c>
      <c r="K32" s="26">
        <f t="shared" si="0"/>
        <v>2.2824234500320513</v>
      </c>
      <c r="L32" s="26">
        <f t="shared" si="1"/>
        <v>80.67553750724261</v>
      </c>
      <c r="M32" s="35"/>
    </row>
    <row r="33" spans="2:13" ht="22.5">
      <c r="B33" s="30" t="s">
        <v>9</v>
      </c>
      <c r="C33" s="31">
        <f>1837155947.57</f>
        <v>1837155947.57</v>
      </c>
      <c r="D33" s="31">
        <f>1506571123.21</f>
        <v>1506571123.21</v>
      </c>
      <c r="E33" s="31">
        <f>1446322025.45</f>
        <v>1446322025.45</v>
      </c>
      <c r="F33" s="31" t="s">
        <v>63</v>
      </c>
      <c r="G33" s="31" t="s">
        <v>63</v>
      </c>
      <c r="H33" s="31" t="s">
        <v>63</v>
      </c>
      <c r="I33" s="31" t="s">
        <v>63</v>
      </c>
      <c r="J33" s="31" t="s">
        <v>63</v>
      </c>
      <c r="K33" s="29">
        <f t="shared" si="0"/>
        <v>2.0036010192494556</v>
      </c>
      <c r="L33" s="29">
        <f t="shared" si="1"/>
        <v>82.00561989322335</v>
      </c>
      <c r="M33" s="35"/>
    </row>
    <row r="34" spans="2:13" ht="12.75">
      <c r="B34" s="30" t="s">
        <v>6</v>
      </c>
      <c r="C34" s="31">
        <f>43696898</f>
        <v>43696898</v>
      </c>
      <c r="D34" s="32">
        <f>24860869.81</f>
        <v>24860869.81</v>
      </c>
      <c r="E34" s="31">
        <f>24860868.22</f>
        <v>24860868.22</v>
      </c>
      <c r="F34" s="31" t="s">
        <v>63</v>
      </c>
      <c r="G34" s="31" t="s">
        <v>63</v>
      </c>
      <c r="H34" s="31" t="s">
        <v>63</v>
      </c>
      <c r="I34" s="31" t="s">
        <v>63</v>
      </c>
      <c r="J34" s="31" t="s">
        <v>63</v>
      </c>
      <c r="K34" s="29">
        <f t="shared" si="0"/>
        <v>0.03306267014106367</v>
      </c>
      <c r="L34" s="29">
        <f t="shared" si="1"/>
        <v>56.89390082106057</v>
      </c>
      <c r="M34" s="35"/>
    </row>
    <row r="35" spans="2:13" ht="13.5" customHeight="1">
      <c r="B35" s="30" t="s">
        <v>7</v>
      </c>
      <c r="C35" s="31">
        <f>237918424.63</f>
        <v>237918424.63</v>
      </c>
      <c r="D35" s="31">
        <f>163940536.84</f>
        <v>163940536.84</v>
      </c>
      <c r="E35" s="31">
        <f>163822321.39</f>
        <v>163822321.39</v>
      </c>
      <c r="F35" s="31" t="s">
        <v>63</v>
      </c>
      <c r="G35" s="31" t="s">
        <v>63</v>
      </c>
      <c r="H35" s="31" t="s">
        <v>63</v>
      </c>
      <c r="I35" s="31" t="s">
        <v>63</v>
      </c>
      <c r="J35" s="31" t="s">
        <v>63</v>
      </c>
      <c r="K35" s="29">
        <f t="shared" si="0"/>
        <v>0.21802583472399498</v>
      </c>
      <c r="L35" s="29">
        <f t="shared" si="1"/>
        <v>68.90619635488632</v>
      </c>
      <c r="M35" s="35"/>
    </row>
    <row r="36" spans="2:13" ht="12.75">
      <c r="B36" s="30" t="s">
        <v>6</v>
      </c>
      <c r="C36" s="31">
        <f>63473674</f>
        <v>63473674</v>
      </c>
      <c r="D36" s="32">
        <f>32311484.65</f>
        <v>32311484.65</v>
      </c>
      <c r="E36" s="31">
        <f>32268700.02</f>
        <v>32268700.02</v>
      </c>
      <c r="F36" s="31" t="s">
        <v>63</v>
      </c>
      <c r="G36" s="31" t="s">
        <v>63</v>
      </c>
      <c r="H36" s="31" t="s">
        <v>63</v>
      </c>
      <c r="I36" s="31" t="s">
        <v>63</v>
      </c>
      <c r="J36" s="31" t="s">
        <v>63</v>
      </c>
      <c r="K36" s="29">
        <f t="shared" si="0"/>
        <v>0.04297130256968238</v>
      </c>
      <c r="L36" s="29">
        <f t="shared" si="1"/>
        <v>50.90533226420768</v>
      </c>
      <c r="M36" s="35"/>
    </row>
    <row r="37" spans="2:13" ht="33.75">
      <c r="B37" s="30" t="s">
        <v>10</v>
      </c>
      <c r="C37" s="31">
        <f>52245260.23</f>
        <v>52245260.23</v>
      </c>
      <c r="D37" s="31">
        <f>45714887.91</f>
        <v>45714887.91</v>
      </c>
      <c r="E37" s="31">
        <f>44930260.82</f>
        <v>44930260.82</v>
      </c>
      <c r="F37" s="31" t="s">
        <v>63</v>
      </c>
      <c r="G37" s="31" t="s">
        <v>63</v>
      </c>
      <c r="H37" s="31" t="s">
        <v>63</v>
      </c>
      <c r="I37" s="31" t="s">
        <v>63</v>
      </c>
      <c r="J37" s="31" t="s">
        <v>63</v>
      </c>
      <c r="K37" s="29">
        <f t="shared" si="0"/>
        <v>0.06079659605860063</v>
      </c>
      <c r="L37" s="29">
        <f t="shared" si="1"/>
        <v>87.5005459035877</v>
      </c>
      <c r="M37" s="35"/>
    </row>
    <row r="38" spans="2:13" ht="12.75">
      <c r="B38" s="30" t="s">
        <v>6</v>
      </c>
      <c r="C38" s="31">
        <f>100000</f>
        <v>100000</v>
      </c>
      <c r="D38" s="32">
        <f>100000</f>
        <v>100000</v>
      </c>
      <c r="E38" s="31">
        <f>100000</f>
        <v>100000</v>
      </c>
      <c r="F38" s="31" t="s">
        <v>63</v>
      </c>
      <c r="G38" s="31" t="s">
        <v>63</v>
      </c>
      <c r="H38" s="31" t="s">
        <v>63</v>
      </c>
      <c r="I38" s="31" t="s">
        <v>63</v>
      </c>
      <c r="J38" s="31" t="s">
        <v>63</v>
      </c>
      <c r="K38" s="29">
        <f t="shared" si="0"/>
        <v>0.00013299080198619836</v>
      </c>
      <c r="L38" s="29">
        <f t="shared" si="1"/>
        <v>100</v>
      </c>
      <c r="M38" s="35"/>
    </row>
    <row r="39" spans="2:13" ht="13.5" customHeight="1">
      <c r="B39" s="36" t="s">
        <v>60</v>
      </c>
      <c r="C39" s="25">
        <f>C40+C42+C44</f>
        <v>752423318.22</v>
      </c>
      <c r="D39" s="25">
        <f>D40+D42+D44</f>
        <v>536627357.59</v>
      </c>
      <c r="E39" s="25">
        <f>E40+E42+E44</f>
        <v>535654595.82</v>
      </c>
      <c r="F39" s="33" t="s">
        <v>63</v>
      </c>
      <c r="G39" s="33" t="s">
        <v>63</v>
      </c>
      <c r="H39" s="33" t="s">
        <v>63</v>
      </c>
      <c r="I39" s="33" t="s">
        <v>63</v>
      </c>
      <c r="J39" s="33" t="s">
        <v>63</v>
      </c>
      <c r="K39" s="26">
        <f t="shared" si="0"/>
        <v>0.7136650265362855</v>
      </c>
      <c r="L39" s="26">
        <f t="shared" si="1"/>
        <v>71.31987334729254</v>
      </c>
      <c r="M39" s="35"/>
    </row>
    <row r="40" spans="2:13" ht="22.5">
      <c r="B40" s="30" t="s">
        <v>11</v>
      </c>
      <c r="C40" s="28">
        <f>412156502.77</f>
        <v>412156502.77</v>
      </c>
      <c r="D40" s="37">
        <f>313377783.34</f>
        <v>313377783.34</v>
      </c>
      <c r="E40" s="28">
        <f>313105798.36</f>
        <v>313105798.36</v>
      </c>
      <c r="F40" s="28" t="s">
        <v>63</v>
      </c>
      <c r="G40" s="28" t="s">
        <v>63</v>
      </c>
      <c r="H40" s="28" t="s">
        <v>63</v>
      </c>
      <c r="I40" s="28" t="s">
        <v>63</v>
      </c>
      <c r="J40" s="28" t="s">
        <v>63</v>
      </c>
      <c r="K40" s="29">
        <f t="shared" si="0"/>
        <v>0.4167636273104371</v>
      </c>
      <c r="L40" s="29">
        <f t="shared" si="1"/>
        <v>76.03368653263186</v>
      </c>
      <c r="M40" s="35"/>
    </row>
    <row r="41" spans="2:13" ht="12.75">
      <c r="B41" s="30" t="s">
        <v>6</v>
      </c>
      <c r="C41" s="31">
        <f>3199449.65</f>
        <v>3199449.65</v>
      </c>
      <c r="D41" s="31">
        <f>2818645.4</f>
        <v>2818645.4</v>
      </c>
      <c r="E41" s="31">
        <f>2818645.4</f>
        <v>2818645.4</v>
      </c>
      <c r="F41" s="31" t="s">
        <v>63</v>
      </c>
      <c r="G41" s="31" t="s">
        <v>63</v>
      </c>
      <c r="H41" s="31" t="s">
        <v>63</v>
      </c>
      <c r="I41" s="31" t="s">
        <v>63</v>
      </c>
      <c r="J41" s="31" t="s">
        <v>63</v>
      </c>
      <c r="K41" s="29">
        <f t="shared" si="0"/>
        <v>0.003748539122607089</v>
      </c>
      <c r="L41" s="29">
        <f t="shared" si="1"/>
        <v>88.0978201985457</v>
      </c>
      <c r="M41" s="35"/>
    </row>
    <row r="42" spans="2:13" ht="24" customHeight="1">
      <c r="B42" s="30" t="s">
        <v>8</v>
      </c>
      <c r="C42" s="31">
        <f>241639938.95</f>
        <v>241639938.95</v>
      </c>
      <c r="D42" s="32">
        <f>172897849.82</f>
        <v>172897849.82</v>
      </c>
      <c r="E42" s="31">
        <f>172897849.82</f>
        <v>172897849.82</v>
      </c>
      <c r="F42" s="31" t="s">
        <v>63</v>
      </c>
      <c r="G42" s="31" t="s">
        <v>63</v>
      </c>
      <c r="H42" s="31" t="s">
        <v>63</v>
      </c>
      <c r="I42" s="31" t="s">
        <v>63</v>
      </c>
      <c r="J42" s="31" t="s">
        <v>63</v>
      </c>
      <c r="K42" s="29">
        <f t="shared" si="0"/>
        <v>0.22993823709251082</v>
      </c>
      <c r="L42" s="29">
        <f t="shared" si="1"/>
        <v>71.55185130872589</v>
      </c>
      <c r="M42" s="35"/>
    </row>
    <row r="43" spans="2:13" ht="12.75">
      <c r="B43" s="30" t="s">
        <v>6</v>
      </c>
      <c r="C43" s="31">
        <f>229379338.96</f>
        <v>229379338.96</v>
      </c>
      <c r="D43" s="31">
        <f>163988781.24</f>
        <v>163988781.24</v>
      </c>
      <c r="E43" s="31">
        <f>163988781.24</f>
        <v>163988781.24</v>
      </c>
      <c r="F43" s="31" t="s">
        <v>63</v>
      </c>
      <c r="G43" s="31" t="s">
        <v>63</v>
      </c>
      <c r="H43" s="31" t="s">
        <v>63</v>
      </c>
      <c r="I43" s="31" t="s">
        <v>63</v>
      </c>
      <c r="J43" s="31" t="s">
        <v>63</v>
      </c>
      <c r="K43" s="29">
        <f t="shared" si="0"/>
        <v>0.2180899953384684</v>
      </c>
      <c r="L43" s="29">
        <f t="shared" si="1"/>
        <v>71.49239420756939</v>
      </c>
      <c r="M43" s="35"/>
    </row>
    <row r="44" spans="2:13" ht="33.75">
      <c r="B44" s="30" t="s">
        <v>85</v>
      </c>
      <c r="C44" s="31">
        <f>98626876.5</f>
        <v>98626876.5</v>
      </c>
      <c r="D44" s="31">
        <f>50351724.43</f>
        <v>50351724.43</v>
      </c>
      <c r="E44" s="31">
        <f>49650947.64</f>
        <v>49650947.64</v>
      </c>
      <c r="F44" s="31" t="s">
        <v>63</v>
      </c>
      <c r="G44" s="31" t="s">
        <v>63</v>
      </c>
      <c r="H44" s="31" t="s">
        <v>63</v>
      </c>
      <c r="I44" s="31" t="s">
        <v>63</v>
      </c>
      <c r="J44" s="31" t="s">
        <v>63</v>
      </c>
      <c r="K44" s="29">
        <f t="shared" si="0"/>
        <v>0.06696316213333757</v>
      </c>
      <c r="L44" s="29">
        <f t="shared" si="1"/>
        <v>51.0527416226144</v>
      </c>
      <c r="M44" s="35"/>
    </row>
    <row r="45" spans="2:13" ht="12.75">
      <c r="B45" s="30" t="s">
        <v>6</v>
      </c>
      <c r="C45" s="31">
        <f>89057098</f>
        <v>89057098</v>
      </c>
      <c r="D45" s="31">
        <f>42624065.33</f>
        <v>42624065.33</v>
      </c>
      <c r="E45" s="31">
        <f>41923288.54</f>
        <v>41923288.54</v>
      </c>
      <c r="F45" s="31" t="s">
        <v>63</v>
      </c>
      <c r="G45" s="31" t="s">
        <v>63</v>
      </c>
      <c r="H45" s="31" t="s">
        <v>63</v>
      </c>
      <c r="I45" s="31" t="s">
        <v>63</v>
      </c>
      <c r="J45" s="31" t="s">
        <v>63</v>
      </c>
      <c r="K45" s="29">
        <f t="shared" si="0"/>
        <v>0.05668608632148813</v>
      </c>
      <c r="L45" s="29">
        <f t="shared" si="1"/>
        <v>47.86150266203374</v>
      </c>
      <c r="M45" s="35"/>
    </row>
    <row r="46" spans="2:13" ht="13.5" customHeight="1">
      <c r="B46" s="24" t="s">
        <v>101</v>
      </c>
      <c r="C46" s="25">
        <f>415043877.49</f>
        <v>415043877.49</v>
      </c>
      <c r="D46" s="25">
        <f>235150571.3</f>
        <v>235150571.3</v>
      </c>
      <c r="E46" s="25">
        <f>234082388.53</f>
        <v>234082388.53</v>
      </c>
      <c r="F46" s="33" t="s">
        <v>63</v>
      </c>
      <c r="G46" s="33" t="s">
        <v>63</v>
      </c>
      <c r="H46" s="33" t="s">
        <v>63</v>
      </c>
      <c r="I46" s="33" t="s">
        <v>63</v>
      </c>
      <c r="J46" s="33" t="s">
        <v>63</v>
      </c>
      <c r="K46" s="26">
        <f t="shared" si="0"/>
        <v>0.3127286306469972</v>
      </c>
      <c r="L46" s="26">
        <f t="shared" si="1"/>
        <v>56.656798004607516</v>
      </c>
      <c r="M46" s="35"/>
    </row>
    <row r="47" spans="2:13" ht="13.5" customHeight="1">
      <c r="B47" s="30" t="s">
        <v>102</v>
      </c>
      <c r="C47" s="31">
        <f>362396417.36</f>
        <v>362396417.36</v>
      </c>
      <c r="D47" s="31">
        <f>205183634.5</f>
        <v>205183634.5</v>
      </c>
      <c r="E47" s="31">
        <f>205183634.5</f>
        <v>205183634.5</v>
      </c>
      <c r="F47" s="31" t="s">
        <v>63</v>
      </c>
      <c r="G47" s="31" t="s">
        <v>63</v>
      </c>
      <c r="H47" s="31" t="s">
        <v>63</v>
      </c>
      <c r="I47" s="31" t="s">
        <v>63</v>
      </c>
      <c r="J47" s="31" t="s">
        <v>63</v>
      </c>
      <c r="K47" s="29">
        <f t="shared" si="0"/>
        <v>0.27287536106598</v>
      </c>
      <c r="L47" s="29">
        <f t="shared" si="1"/>
        <v>56.61856041368455</v>
      </c>
      <c r="M47" s="35"/>
    </row>
    <row r="48" spans="2:13" ht="13.5" customHeight="1">
      <c r="B48" s="24" t="s">
        <v>103</v>
      </c>
      <c r="C48" s="33">
        <f>5855727906.77</f>
        <v>5855727906.77</v>
      </c>
      <c r="D48" s="33">
        <f>2974419019.04</f>
        <v>2974419019.04</v>
      </c>
      <c r="E48" s="33">
        <f>2972977327.78</f>
        <v>2972977327.78</v>
      </c>
      <c r="F48" s="33" t="s">
        <v>63</v>
      </c>
      <c r="G48" s="33" t="s">
        <v>63</v>
      </c>
      <c r="H48" s="33" t="s">
        <v>63</v>
      </c>
      <c r="I48" s="33" t="s">
        <v>63</v>
      </c>
      <c r="J48" s="33" t="s">
        <v>63</v>
      </c>
      <c r="K48" s="39">
        <f t="shared" si="0"/>
        <v>3.95570370785131</v>
      </c>
      <c r="L48" s="39">
        <f t="shared" si="1"/>
        <v>50.79503464635329</v>
      </c>
      <c r="M48" s="35"/>
    </row>
    <row r="49" spans="2:13" ht="13.5" customHeight="1">
      <c r="B49" s="40" t="s">
        <v>104</v>
      </c>
      <c r="C49" s="41">
        <f>5061283564.96</f>
        <v>5061283564.96</v>
      </c>
      <c r="D49" s="41">
        <f>2498287807.68</f>
        <v>2498287807.68</v>
      </c>
      <c r="E49" s="41">
        <f>2497870230.25</f>
        <v>2497870230.25</v>
      </c>
      <c r="F49" s="41" t="s">
        <v>63</v>
      </c>
      <c r="G49" s="41" t="s">
        <v>63</v>
      </c>
      <c r="H49" s="41" t="s">
        <v>63</v>
      </c>
      <c r="I49" s="41" t="s">
        <v>63</v>
      </c>
      <c r="J49" s="41" t="s">
        <v>63</v>
      </c>
      <c r="K49" s="42">
        <f t="shared" si="0"/>
        <v>3.3224929913570445</v>
      </c>
      <c r="L49" s="42">
        <f t="shared" si="1"/>
        <v>49.36075553987942</v>
      </c>
      <c r="M49" s="35"/>
    </row>
    <row r="50" spans="2:13" s="43" customFormat="1" ht="25.5" customHeight="1">
      <c r="B50" s="24" t="s">
        <v>70</v>
      </c>
      <c r="C50" s="25">
        <f>C51+C52+C53+C57</f>
        <v>18558729465</v>
      </c>
      <c r="D50" s="25">
        <f>D51+D52+D53+D57</f>
        <v>15527530383</v>
      </c>
      <c r="E50" s="25">
        <f>E51+E52+E53+E57</f>
        <v>14216279226</v>
      </c>
      <c r="F50" s="33" t="s">
        <v>63</v>
      </c>
      <c r="G50" s="33" t="s">
        <v>63</v>
      </c>
      <c r="H50" s="33" t="s">
        <v>63</v>
      </c>
      <c r="I50" s="33" t="s">
        <v>63</v>
      </c>
      <c r="J50" s="33" t="s">
        <v>63</v>
      </c>
      <c r="K50" s="26">
        <f t="shared" si="0"/>
        <v>20.65018718500232</v>
      </c>
      <c r="L50" s="26">
        <f t="shared" si="1"/>
        <v>83.66699030924205</v>
      </c>
      <c r="M50" s="44"/>
    </row>
    <row r="51" spans="2:13" ht="13.5" customHeight="1">
      <c r="B51" s="30" t="s">
        <v>44</v>
      </c>
      <c r="C51" s="31">
        <f>17117319407</f>
        <v>17117319407</v>
      </c>
      <c r="D51" s="31">
        <f>14486674401</f>
        <v>14486674401</v>
      </c>
      <c r="E51" s="31">
        <f>13175423244</f>
        <v>13175423244</v>
      </c>
      <c r="F51" s="31" t="s">
        <v>63</v>
      </c>
      <c r="G51" s="31" t="s">
        <v>63</v>
      </c>
      <c r="H51" s="31" t="s">
        <v>63</v>
      </c>
      <c r="I51" s="31" t="s">
        <v>63</v>
      </c>
      <c r="J51" s="31" t="s">
        <v>63</v>
      </c>
      <c r="K51" s="29">
        <f t="shared" si="0"/>
        <v>19.2659444670192</v>
      </c>
      <c r="L51" s="29">
        <f t="shared" si="1"/>
        <v>84.63167658760742</v>
      </c>
      <c r="M51" s="35"/>
    </row>
    <row r="52" spans="2:13" s="43" customFormat="1" ht="12.75">
      <c r="B52" s="30" t="s">
        <v>40</v>
      </c>
      <c r="C52" s="28">
        <f>179940177</f>
        <v>179940177</v>
      </c>
      <c r="D52" s="37">
        <f>97191357</f>
        <v>97191357</v>
      </c>
      <c r="E52" s="28">
        <f>97191357</f>
        <v>97191357</v>
      </c>
      <c r="F52" s="28" t="s">
        <v>63</v>
      </c>
      <c r="G52" s="28" t="s">
        <v>63</v>
      </c>
      <c r="H52" s="28" t="s">
        <v>63</v>
      </c>
      <c r="I52" s="28" t="s">
        <v>63</v>
      </c>
      <c r="J52" s="28" t="s">
        <v>63</v>
      </c>
      <c r="K52" s="29">
        <f t="shared" si="0"/>
        <v>0.12925556513556916</v>
      </c>
      <c r="L52" s="29">
        <f t="shared" si="1"/>
        <v>54.01314960360409</v>
      </c>
      <c r="M52" s="44"/>
    </row>
    <row r="53" spans="2:13" s="43" customFormat="1" ht="25.5" customHeight="1">
      <c r="B53" s="24" t="s">
        <v>61</v>
      </c>
      <c r="C53" s="25">
        <f>C54+C55+C56</f>
        <v>302474837</v>
      </c>
      <c r="D53" s="25">
        <f>D54+D55+D56</f>
        <v>224418312</v>
      </c>
      <c r="E53" s="25">
        <f>E54+E55+E56</f>
        <v>224418312</v>
      </c>
      <c r="F53" s="33" t="s">
        <v>63</v>
      </c>
      <c r="G53" s="33" t="s">
        <v>63</v>
      </c>
      <c r="H53" s="33" t="s">
        <v>63</v>
      </c>
      <c r="I53" s="33" t="s">
        <v>63</v>
      </c>
      <c r="J53" s="33" t="s">
        <v>63</v>
      </c>
      <c r="K53" s="26">
        <f t="shared" si="0"/>
        <v>0.29845571293268885</v>
      </c>
      <c r="L53" s="26">
        <f t="shared" si="1"/>
        <v>74.1940434536047</v>
      </c>
      <c r="M53" s="44"/>
    </row>
    <row r="54" spans="2:13" ht="13.5" customHeight="1">
      <c r="B54" s="30" t="s">
        <v>45</v>
      </c>
      <c r="C54" s="28">
        <f>189159504</f>
        <v>189159504</v>
      </c>
      <c r="D54" s="37">
        <f>141869637</f>
        <v>141869637</v>
      </c>
      <c r="E54" s="28">
        <f>141869637</f>
        <v>141869637</v>
      </c>
      <c r="F54" s="28" t="s">
        <v>63</v>
      </c>
      <c r="G54" s="28" t="s">
        <v>63</v>
      </c>
      <c r="H54" s="28" t="s">
        <v>63</v>
      </c>
      <c r="I54" s="28" t="s">
        <v>63</v>
      </c>
      <c r="J54" s="28" t="s">
        <v>63</v>
      </c>
      <c r="K54" s="29">
        <f t="shared" si="0"/>
        <v>0.1886735680212084</v>
      </c>
      <c r="L54" s="29">
        <f t="shared" si="1"/>
        <v>75.0000047578894</v>
      </c>
      <c r="M54" s="35"/>
    </row>
    <row r="55" spans="2:13" ht="13.5" customHeight="1">
      <c r="B55" s="30" t="s">
        <v>43</v>
      </c>
      <c r="C55" s="31">
        <f>3250459</f>
        <v>3250459</v>
      </c>
      <c r="D55" s="31">
        <f>0</f>
        <v>0</v>
      </c>
      <c r="E55" s="31">
        <f>0</f>
        <v>0</v>
      </c>
      <c r="F55" s="31" t="s">
        <v>63</v>
      </c>
      <c r="G55" s="31" t="s">
        <v>63</v>
      </c>
      <c r="H55" s="31" t="s">
        <v>63</v>
      </c>
      <c r="I55" s="31" t="s">
        <v>63</v>
      </c>
      <c r="J55" s="31" t="s">
        <v>63</v>
      </c>
      <c r="K55" s="29">
        <f t="shared" si="0"/>
        <v>0</v>
      </c>
      <c r="L55" s="29">
        <f t="shared" si="1"/>
        <v>0</v>
      </c>
      <c r="M55" s="35"/>
    </row>
    <row r="56" spans="2:13" ht="13.5" customHeight="1">
      <c r="B56" s="30" t="s">
        <v>42</v>
      </c>
      <c r="C56" s="28">
        <f>110064874</f>
        <v>110064874</v>
      </c>
      <c r="D56" s="37">
        <f>82548675</f>
        <v>82548675</v>
      </c>
      <c r="E56" s="28">
        <f>82548675</f>
        <v>82548675</v>
      </c>
      <c r="F56" s="28" t="s">
        <v>63</v>
      </c>
      <c r="G56" s="28" t="s">
        <v>63</v>
      </c>
      <c r="H56" s="28" t="s">
        <v>63</v>
      </c>
      <c r="I56" s="28" t="s">
        <v>63</v>
      </c>
      <c r="J56" s="28" t="s">
        <v>63</v>
      </c>
      <c r="K56" s="29">
        <f t="shared" si="0"/>
        <v>0.10978214491148043</v>
      </c>
      <c r="L56" s="29">
        <f t="shared" si="1"/>
        <v>75.00001771682399</v>
      </c>
      <c r="M56" s="35"/>
    </row>
    <row r="57" spans="2:13" s="43" customFormat="1" ht="25.5" customHeight="1">
      <c r="B57" s="24" t="s">
        <v>62</v>
      </c>
      <c r="C57" s="25">
        <f>C58+C59</f>
        <v>958995044</v>
      </c>
      <c r="D57" s="25">
        <f>D58+D59</f>
        <v>719246313</v>
      </c>
      <c r="E57" s="25">
        <f>E58+E59</f>
        <v>719246313</v>
      </c>
      <c r="F57" s="33" t="s">
        <v>63</v>
      </c>
      <c r="G57" s="33" t="s">
        <v>63</v>
      </c>
      <c r="H57" s="33" t="s">
        <v>63</v>
      </c>
      <c r="I57" s="33" t="s">
        <v>63</v>
      </c>
      <c r="J57" s="33" t="s">
        <v>63</v>
      </c>
      <c r="K57" s="26">
        <f t="shared" si="0"/>
        <v>0.9565314399148626</v>
      </c>
      <c r="L57" s="26">
        <f t="shared" si="1"/>
        <v>75.00000312827477</v>
      </c>
      <c r="M57" s="44"/>
    </row>
    <row r="58" spans="2:13" ht="13.5" customHeight="1">
      <c r="B58" s="30" t="s">
        <v>42</v>
      </c>
      <c r="C58" s="28">
        <f>846564324</f>
        <v>846564324</v>
      </c>
      <c r="D58" s="37">
        <f>634923270</f>
        <v>634923270</v>
      </c>
      <c r="E58" s="28">
        <f>634923270</f>
        <v>634923270</v>
      </c>
      <c r="F58" s="28" t="s">
        <v>63</v>
      </c>
      <c r="G58" s="28" t="s">
        <v>63</v>
      </c>
      <c r="H58" s="28" t="s">
        <v>63</v>
      </c>
      <c r="I58" s="28" t="s">
        <v>63</v>
      </c>
      <c r="J58" s="28" t="s">
        <v>63</v>
      </c>
      <c r="K58" s="29">
        <f t="shared" si="0"/>
        <v>0.8443895487699956</v>
      </c>
      <c r="L58" s="29">
        <f t="shared" si="1"/>
        <v>75.0000031893619</v>
      </c>
      <c r="M58" s="35"/>
    </row>
    <row r="59" spans="2:13" ht="13.5" customHeight="1">
      <c r="B59" s="30" t="s">
        <v>45</v>
      </c>
      <c r="C59" s="31">
        <f>112430720</f>
        <v>112430720</v>
      </c>
      <c r="D59" s="31">
        <f>84323043</f>
        <v>84323043</v>
      </c>
      <c r="E59" s="31">
        <f>84323043</f>
        <v>84323043</v>
      </c>
      <c r="F59" s="31" t="s">
        <v>63</v>
      </c>
      <c r="G59" s="31" t="s">
        <v>63</v>
      </c>
      <c r="H59" s="31" t="s">
        <v>63</v>
      </c>
      <c r="I59" s="31" t="s">
        <v>63</v>
      </c>
      <c r="J59" s="31" t="s">
        <v>63</v>
      </c>
      <c r="K59" s="29">
        <f t="shared" si="0"/>
        <v>0.1121418911448669</v>
      </c>
      <c r="L59" s="29">
        <f t="shared" si="1"/>
        <v>75.00000266830988</v>
      </c>
      <c r="M59" s="35"/>
    </row>
    <row r="60" spans="2:13" ht="11.25" customHeight="1">
      <c r="B60" s="45"/>
      <c r="C60" s="46"/>
      <c r="D60" s="46"/>
      <c r="E60" s="46"/>
      <c r="F60" s="46"/>
      <c r="G60" s="46"/>
      <c r="H60" s="46"/>
      <c r="I60" s="46"/>
      <c r="J60" s="46"/>
      <c r="K60" s="34"/>
      <c r="L60" s="34"/>
      <c r="M60" s="35"/>
    </row>
    <row r="61" spans="2:13" ht="13.5" customHeight="1">
      <c r="B61" s="24" t="s">
        <v>5</v>
      </c>
      <c r="C61" s="33">
        <f aca="true" t="shared" si="4" ref="C61:J61">+C5</f>
        <v>100385399198.1</v>
      </c>
      <c r="D61" s="33">
        <f t="shared" si="4"/>
        <v>75193170133.96</v>
      </c>
      <c r="E61" s="33">
        <f t="shared" si="4"/>
        <v>72312517447.37</v>
      </c>
      <c r="F61" s="33">
        <f t="shared" si="4"/>
        <v>360375150.84</v>
      </c>
      <c r="G61" s="33">
        <f t="shared" si="4"/>
        <v>112613442.34</v>
      </c>
      <c r="H61" s="33">
        <f t="shared" si="4"/>
        <v>17538387.83</v>
      </c>
      <c r="I61" s="33">
        <f t="shared" si="4"/>
        <v>116375981.47</v>
      </c>
      <c r="J61" s="33">
        <f t="shared" si="4"/>
        <v>4751721.97</v>
      </c>
      <c r="K61" s="26">
        <f t="shared" si="0"/>
        <v>100</v>
      </c>
      <c r="L61" s="26">
        <f t="shared" si="1"/>
        <v>74.90448883465037</v>
      </c>
      <c r="M61" s="35"/>
    </row>
    <row r="62" spans="2:13" ht="12.75">
      <c r="B62" s="30" t="s">
        <v>78</v>
      </c>
      <c r="C62" s="31">
        <f>9270387960.58</f>
        <v>9270387960.58</v>
      </c>
      <c r="D62" s="31">
        <f>5960927509.96</f>
        <v>5960927509.96</v>
      </c>
      <c r="E62" s="31">
        <f>5979974747.12</f>
        <v>5979974747.12</v>
      </c>
      <c r="F62" s="31">
        <f>0</f>
        <v>0</v>
      </c>
      <c r="G62" s="31">
        <f>0</f>
        <v>0</v>
      </c>
      <c r="H62" s="31">
        <f>0</f>
        <v>0</v>
      </c>
      <c r="I62" s="31">
        <f>0</f>
        <v>0</v>
      </c>
      <c r="J62" s="31">
        <f>0</f>
        <v>0</v>
      </c>
      <c r="K62" s="29">
        <f t="shared" si="0"/>
        <v>7.927485301311728</v>
      </c>
      <c r="L62" s="29">
        <f t="shared" si="1"/>
        <v>64.30073407183549</v>
      </c>
      <c r="M62" s="35"/>
    </row>
    <row r="63" spans="1:13" s="43" customFormat="1" ht="12.75">
      <c r="A63" s="9"/>
      <c r="B63" s="30" t="s">
        <v>79</v>
      </c>
      <c r="C63" s="31">
        <f>C61-C62</f>
        <v>91115011237.52</v>
      </c>
      <c r="D63" s="31">
        <f aca="true" t="shared" si="5" ref="D63:J63">D61-D62</f>
        <v>69232242624</v>
      </c>
      <c r="E63" s="31">
        <f t="shared" si="5"/>
        <v>66332542700.24999</v>
      </c>
      <c r="F63" s="31">
        <f t="shared" si="5"/>
        <v>360375150.84</v>
      </c>
      <c r="G63" s="31">
        <f t="shared" si="5"/>
        <v>112613442.34</v>
      </c>
      <c r="H63" s="31">
        <f t="shared" si="5"/>
        <v>17538387.83</v>
      </c>
      <c r="I63" s="31">
        <f t="shared" si="5"/>
        <v>116375981.47</v>
      </c>
      <c r="J63" s="31">
        <f t="shared" si="5"/>
        <v>4751721.97</v>
      </c>
      <c r="K63" s="29">
        <f t="shared" si="0"/>
        <v>92.07251469868827</v>
      </c>
      <c r="L63" s="29">
        <f t="shared" si="1"/>
        <v>75.98335519437552</v>
      </c>
      <c r="M63" s="47"/>
    </row>
    <row r="64" spans="2:13" ht="18">
      <c r="B64" s="106" t="s">
        <v>118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  <row r="65" spans="2:13" s="43" customFormat="1" ht="6" customHeight="1">
      <c r="B65" s="48"/>
      <c r="C65" s="49"/>
      <c r="D65" s="49"/>
      <c r="E65" s="49"/>
      <c r="F65" s="50"/>
      <c r="G65" s="50"/>
      <c r="H65" s="50"/>
      <c r="I65" s="50"/>
      <c r="J65" s="50"/>
      <c r="K65" s="1"/>
      <c r="L65" s="1"/>
      <c r="M65" s="51"/>
    </row>
    <row r="66" spans="2:27" ht="29.25" customHeight="1">
      <c r="B66" s="134" t="s">
        <v>0</v>
      </c>
      <c r="C66" s="128" t="s">
        <v>51</v>
      </c>
      <c r="D66" s="128" t="s">
        <v>52</v>
      </c>
      <c r="E66" s="128" t="s">
        <v>53</v>
      </c>
      <c r="F66" s="128" t="s">
        <v>12</v>
      </c>
      <c r="G66" s="128"/>
      <c r="H66" s="128"/>
      <c r="I66" s="128" t="s">
        <v>100</v>
      </c>
      <c r="J66" s="128"/>
      <c r="K66" s="128" t="s">
        <v>2</v>
      </c>
      <c r="L66" s="131" t="s">
        <v>31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2:27" ht="18" customHeight="1">
      <c r="B67" s="134"/>
      <c r="C67" s="128"/>
      <c r="D67" s="123"/>
      <c r="E67" s="128"/>
      <c r="F67" s="118" t="s">
        <v>54</v>
      </c>
      <c r="G67" s="129" t="s">
        <v>30</v>
      </c>
      <c r="H67" s="123"/>
      <c r="I67" s="128"/>
      <c r="J67" s="128"/>
      <c r="K67" s="128"/>
      <c r="L67" s="131"/>
      <c r="M67" s="2"/>
      <c r="N67" s="3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2:27" ht="36" customHeight="1">
      <c r="B68" s="134"/>
      <c r="C68" s="128"/>
      <c r="D68" s="123"/>
      <c r="E68" s="128"/>
      <c r="F68" s="123"/>
      <c r="G68" s="7" t="s">
        <v>49</v>
      </c>
      <c r="H68" s="7" t="s">
        <v>50</v>
      </c>
      <c r="I68" s="128"/>
      <c r="J68" s="128"/>
      <c r="K68" s="128"/>
      <c r="L68" s="131"/>
      <c r="M68" s="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2:27" ht="13.5" customHeight="1">
      <c r="B69" s="134"/>
      <c r="C69" s="105" t="s">
        <v>84</v>
      </c>
      <c r="D69" s="105"/>
      <c r="E69" s="105"/>
      <c r="F69" s="105"/>
      <c r="G69" s="105"/>
      <c r="H69" s="105"/>
      <c r="I69" s="105"/>
      <c r="J69" s="105"/>
      <c r="K69" s="105" t="s">
        <v>4</v>
      </c>
      <c r="L69" s="105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2:27" ht="11.25" customHeight="1">
      <c r="B70" s="6">
        <v>1</v>
      </c>
      <c r="C70" s="8">
        <v>2</v>
      </c>
      <c r="D70" s="8">
        <v>3</v>
      </c>
      <c r="E70" s="8">
        <v>4</v>
      </c>
      <c r="F70" s="6">
        <v>5</v>
      </c>
      <c r="G70" s="6">
        <v>6</v>
      </c>
      <c r="H70" s="8">
        <v>7</v>
      </c>
      <c r="I70" s="123">
        <v>8</v>
      </c>
      <c r="J70" s="123"/>
      <c r="K70" s="6">
        <v>9</v>
      </c>
      <c r="L70" s="8">
        <v>10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2:12" ht="25.5" customHeight="1">
      <c r="B71" s="24" t="s">
        <v>71</v>
      </c>
      <c r="C71" s="53">
        <f>112318609480.28</f>
        <v>112318609480.28</v>
      </c>
      <c r="D71" s="53">
        <f>97490301162.86</f>
        <v>97490301162.86</v>
      </c>
      <c r="E71" s="53">
        <f>72932074495.89</f>
        <v>72932074495.89</v>
      </c>
      <c r="F71" s="53">
        <f>3019191291.47</f>
        <v>3019191291.47</v>
      </c>
      <c r="G71" s="53">
        <f>193400.97</f>
        <v>193400.97</v>
      </c>
      <c r="H71" s="53">
        <f>2686436.4</f>
        <v>2686436.4</v>
      </c>
      <c r="I71" s="130">
        <f>0</f>
        <v>0</v>
      </c>
      <c r="J71" s="130"/>
      <c r="K71" s="54">
        <f aca="true" t="shared" si="6" ref="K71:K80">IF($E$71=0,"",100*$E71/$E$71)</f>
        <v>100</v>
      </c>
      <c r="L71" s="54">
        <f aca="true" t="shared" si="7" ref="L71:L80">IF(C71=0,"",100*E71/C71)</f>
        <v>64.9332063790327</v>
      </c>
    </row>
    <row r="72" spans="2:12" ht="12.75">
      <c r="B72" s="24" t="s">
        <v>14</v>
      </c>
      <c r="C72" s="55">
        <f>21165300498.67</f>
        <v>21165300498.67</v>
      </c>
      <c r="D72" s="55">
        <f>15576396719.44</f>
        <v>15576396719.44</v>
      </c>
      <c r="E72" s="55">
        <f>8817200696.11</f>
        <v>8817200696.11</v>
      </c>
      <c r="F72" s="55">
        <f>922380620.61</f>
        <v>922380620.61</v>
      </c>
      <c r="G72" s="55">
        <f>3046.57</f>
        <v>3046.57</v>
      </c>
      <c r="H72" s="55">
        <f>92916.86</f>
        <v>92916.86</v>
      </c>
      <c r="I72" s="125">
        <f>0</f>
        <v>0</v>
      </c>
      <c r="J72" s="125"/>
      <c r="K72" s="54">
        <f t="shared" si="6"/>
        <v>12.089606331720185</v>
      </c>
      <c r="L72" s="54">
        <f t="shared" si="7"/>
        <v>41.65875507727406</v>
      </c>
    </row>
    <row r="73" spans="2:12" ht="12.75">
      <c r="B73" s="30" t="s">
        <v>13</v>
      </c>
      <c r="C73" s="31">
        <f>19937444090.49</f>
        <v>19937444090.49</v>
      </c>
      <c r="D73" s="31">
        <f>14645091763.62</f>
        <v>14645091763.62</v>
      </c>
      <c r="E73" s="31">
        <f>7965743870.84</f>
        <v>7965743870.84</v>
      </c>
      <c r="F73" s="31">
        <f>839007982.8</f>
        <v>839007982.8</v>
      </c>
      <c r="G73" s="31">
        <f>3046.57</f>
        <v>3046.57</v>
      </c>
      <c r="H73" s="31">
        <f>92916.86</f>
        <v>92916.86</v>
      </c>
      <c r="I73" s="124">
        <f>0</f>
        <v>0</v>
      </c>
      <c r="J73" s="124"/>
      <c r="K73" s="57">
        <f t="shared" si="6"/>
        <v>10.922140808278941</v>
      </c>
      <c r="L73" s="57">
        <f t="shared" si="7"/>
        <v>39.95368631348085</v>
      </c>
    </row>
    <row r="74" spans="2:12" ht="25.5" customHeight="1">
      <c r="B74" s="24" t="s">
        <v>72</v>
      </c>
      <c r="C74" s="55">
        <f aca="true" t="shared" si="8" ref="C74:I74">C71-C72</f>
        <v>91153308981.61</v>
      </c>
      <c r="D74" s="55">
        <f t="shared" si="8"/>
        <v>81913904443.42</v>
      </c>
      <c r="E74" s="55">
        <f t="shared" si="8"/>
        <v>64114873799.78</v>
      </c>
      <c r="F74" s="55">
        <f t="shared" si="8"/>
        <v>2096810670.8599997</v>
      </c>
      <c r="G74" s="55">
        <f t="shared" si="8"/>
        <v>190354.4</v>
      </c>
      <c r="H74" s="55">
        <f t="shared" si="8"/>
        <v>2593519.54</v>
      </c>
      <c r="I74" s="125">
        <f t="shared" si="8"/>
        <v>0</v>
      </c>
      <c r="J74" s="125"/>
      <c r="K74" s="54">
        <f t="shared" si="6"/>
        <v>87.91039366827981</v>
      </c>
      <c r="L74" s="54">
        <f t="shared" si="7"/>
        <v>70.3374068545499</v>
      </c>
    </row>
    <row r="75" spans="2:12" ht="24" customHeight="1">
      <c r="B75" s="30" t="s">
        <v>117</v>
      </c>
      <c r="C75" s="31">
        <f>32449310596.32</f>
        <v>32449310596.32</v>
      </c>
      <c r="D75" s="31">
        <f>30838281747.93</f>
        <v>30838281747.93</v>
      </c>
      <c r="E75" s="31">
        <f>23992045008.32</f>
        <v>23992045008.32</v>
      </c>
      <c r="F75" s="31">
        <f>970017259.47</f>
        <v>970017259.47</v>
      </c>
      <c r="G75" s="31">
        <f>6253.81</f>
        <v>6253.81</v>
      </c>
      <c r="H75" s="31">
        <f>9244.55</f>
        <v>9244.55</v>
      </c>
      <c r="I75" s="124">
        <f>0</f>
        <v>0</v>
      </c>
      <c r="J75" s="124"/>
      <c r="K75" s="57">
        <f t="shared" si="6"/>
        <v>32.89642475434049</v>
      </c>
      <c r="L75" s="57">
        <f t="shared" si="7"/>
        <v>73.93699455371753</v>
      </c>
    </row>
    <row r="76" spans="2:12" ht="13.5" customHeight="1">
      <c r="B76" s="30" t="s">
        <v>48</v>
      </c>
      <c r="C76" s="58">
        <f>9591722187.5</f>
        <v>9591722187.5</v>
      </c>
      <c r="D76" s="58">
        <f>8581503458.67</f>
        <v>8581503458.67</v>
      </c>
      <c r="E76" s="58">
        <f>7316921344.64</f>
        <v>7316921344.64</v>
      </c>
      <c r="F76" s="58">
        <f>59431152.18</f>
        <v>59431152.18</v>
      </c>
      <c r="G76" s="58">
        <f>0</f>
        <v>0</v>
      </c>
      <c r="H76" s="58">
        <f>0</f>
        <v>0</v>
      </c>
      <c r="I76" s="132">
        <f>0</f>
        <v>0</v>
      </c>
      <c r="J76" s="132"/>
      <c r="K76" s="57">
        <f t="shared" si="6"/>
        <v>10.032515042544603</v>
      </c>
      <c r="L76" s="57">
        <f t="shared" si="7"/>
        <v>76.28370798911861</v>
      </c>
    </row>
    <row r="77" spans="2:12" ht="12.75">
      <c r="B77" s="30" t="s">
        <v>47</v>
      </c>
      <c r="C77" s="31">
        <f>1165076741.37</f>
        <v>1165076741.37</v>
      </c>
      <c r="D77" s="31">
        <f>769692839.76</f>
        <v>769692839.76</v>
      </c>
      <c r="E77" s="31">
        <f>565777230.54</f>
        <v>565777230.54</v>
      </c>
      <c r="F77" s="31">
        <f>8088514.14</f>
        <v>8088514.14</v>
      </c>
      <c r="G77" s="31">
        <f>7957.54</f>
        <v>7957.54</v>
      </c>
      <c r="H77" s="31">
        <f>0</f>
        <v>0</v>
      </c>
      <c r="I77" s="124">
        <f>0</f>
        <v>0</v>
      </c>
      <c r="J77" s="124"/>
      <c r="K77" s="57">
        <f t="shared" si="6"/>
        <v>0.7757591354019193</v>
      </c>
      <c r="L77" s="57">
        <f t="shared" si="7"/>
        <v>48.561370290055685</v>
      </c>
    </row>
    <row r="78" spans="2:12" ht="22.5" customHeight="1">
      <c r="B78" s="30" t="s">
        <v>75</v>
      </c>
      <c r="C78" s="58">
        <f>117770929.2</f>
        <v>117770929.2</v>
      </c>
      <c r="D78" s="58">
        <f>16842729.91</f>
        <v>16842729.91</v>
      </c>
      <c r="E78" s="58">
        <f>3977253.29</f>
        <v>3977253.29</v>
      </c>
      <c r="F78" s="58">
        <f>0</f>
        <v>0</v>
      </c>
      <c r="G78" s="58">
        <f>0</f>
        <v>0</v>
      </c>
      <c r="H78" s="58">
        <f>0</f>
        <v>0</v>
      </c>
      <c r="I78" s="132">
        <f>0</f>
        <v>0</v>
      </c>
      <c r="J78" s="132"/>
      <c r="K78" s="57">
        <f t="shared" si="6"/>
        <v>0.0054533664611777</v>
      </c>
      <c r="L78" s="57">
        <f t="shared" si="7"/>
        <v>3.3771095439399827</v>
      </c>
    </row>
    <row r="79" spans="2:12" ht="22.5" customHeight="1">
      <c r="B79" s="30" t="s">
        <v>77</v>
      </c>
      <c r="C79" s="58">
        <f>16714285812.39</f>
        <v>16714285812.39</v>
      </c>
      <c r="D79" s="58">
        <f>15797296810.91</f>
        <v>15797296810.91</v>
      </c>
      <c r="E79" s="58">
        <f>13149085183.25</f>
        <v>13149085183.25</v>
      </c>
      <c r="F79" s="58">
        <f>171803706.16</f>
        <v>171803706.16</v>
      </c>
      <c r="G79" s="58">
        <f>6930</f>
        <v>6930</v>
      </c>
      <c r="H79" s="58">
        <f>8543.35</f>
        <v>8543.35</v>
      </c>
      <c r="I79" s="126">
        <f>0</f>
        <v>0</v>
      </c>
      <c r="J79" s="127"/>
      <c r="K79" s="57">
        <f t="shared" si="6"/>
        <v>18.02922140105997</v>
      </c>
      <c r="L79" s="57">
        <f t="shared" si="7"/>
        <v>78.66973995085581</v>
      </c>
    </row>
    <row r="80" spans="2:12" ht="12.75">
      <c r="B80" s="30" t="s">
        <v>46</v>
      </c>
      <c r="C80" s="31">
        <f aca="true" t="shared" si="9" ref="C80:I80">C74-C75-C76-C77-C78-C79</f>
        <v>31115142714.83</v>
      </c>
      <c r="D80" s="31">
        <f t="shared" si="9"/>
        <v>25910286856.239994</v>
      </c>
      <c r="E80" s="31">
        <f t="shared" si="9"/>
        <v>19087067779.739998</v>
      </c>
      <c r="F80" s="31">
        <f t="shared" si="9"/>
        <v>887470038.9099997</v>
      </c>
      <c r="G80" s="31">
        <f t="shared" si="9"/>
        <v>169213.05</v>
      </c>
      <c r="H80" s="31">
        <f t="shared" si="9"/>
        <v>2575731.64</v>
      </c>
      <c r="I80" s="126">
        <f t="shared" si="9"/>
        <v>0</v>
      </c>
      <c r="J80" s="127"/>
      <c r="K80" s="57">
        <f t="shared" si="6"/>
        <v>26.171019968471658</v>
      </c>
      <c r="L80" s="57">
        <f t="shared" si="7"/>
        <v>61.34333997652782</v>
      </c>
    </row>
    <row r="81" spans="2:13" ht="12.75">
      <c r="B81" s="24" t="s">
        <v>15</v>
      </c>
      <c r="C81" s="56">
        <f>C5-C71</f>
        <v>-11933210282.179993</v>
      </c>
      <c r="D81" s="56"/>
      <c r="E81" s="56">
        <f>D5-E71</f>
        <v>2261095638.0700073</v>
      </c>
      <c r="F81" s="56"/>
      <c r="G81" s="56"/>
      <c r="H81" s="56"/>
      <c r="I81" s="125"/>
      <c r="J81" s="125"/>
      <c r="K81" s="59"/>
      <c r="L81" s="59"/>
      <c r="M81" s="4"/>
    </row>
    <row r="82" spans="2:13" ht="22.5">
      <c r="B82" s="24" t="s">
        <v>83</v>
      </c>
      <c r="C82" s="56">
        <f>+C63-C74</f>
        <v>-38297744.08999634</v>
      </c>
      <c r="D82" s="56"/>
      <c r="E82" s="56">
        <f>+D63-E74</f>
        <v>5117368824.220001</v>
      </c>
      <c r="F82" s="56"/>
      <c r="G82" s="56"/>
      <c r="H82" s="56"/>
      <c r="I82" s="56"/>
      <c r="J82" s="56"/>
      <c r="K82" s="59"/>
      <c r="L82" s="59"/>
      <c r="M82" s="4"/>
    </row>
    <row r="83" spans="2:13" ht="8.25" customHeight="1">
      <c r="B83" s="60"/>
      <c r="C83" s="61"/>
      <c r="D83" s="61"/>
      <c r="E83" s="61"/>
      <c r="F83" s="62"/>
      <c r="G83" s="62"/>
      <c r="H83" s="62"/>
      <c r="I83" s="62"/>
      <c r="J83" s="63"/>
      <c r="K83" s="63"/>
      <c r="L83" s="64"/>
      <c r="M83" s="52"/>
    </row>
    <row r="84" spans="2:13" ht="12.75">
      <c r="B84" s="65" t="s">
        <v>80</v>
      </c>
      <c r="C84" s="66"/>
      <c r="D84" s="67"/>
      <c r="E84" s="67"/>
      <c r="F84" s="68"/>
      <c r="G84" s="68"/>
      <c r="H84" s="68"/>
      <c r="I84" s="68"/>
      <c r="J84" s="69"/>
      <c r="K84" s="69"/>
      <c r="L84" s="69"/>
      <c r="M84" s="52"/>
    </row>
    <row r="85" spans="2:13" ht="26.25" customHeight="1">
      <c r="B85" s="24" t="s">
        <v>105</v>
      </c>
      <c r="C85" s="70">
        <f>9620806500.28</f>
        <v>9620806500.28</v>
      </c>
      <c r="D85" s="71">
        <f>7178600116.82</f>
        <v>7178600116.82</v>
      </c>
      <c r="E85" s="71">
        <f>4243773592.14</f>
        <v>4243773592.14</v>
      </c>
      <c r="F85" s="71">
        <f>303582439.63</f>
        <v>303582439.63</v>
      </c>
      <c r="G85" s="71">
        <f>0</f>
        <v>0</v>
      </c>
      <c r="H85" s="71">
        <f>0</f>
        <v>0</v>
      </c>
      <c r="I85" s="71">
        <f>0</f>
        <v>0</v>
      </c>
      <c r="J85" s="71">
        <f>0</f>
        <v>0</v>
      </c>
      <c r="K85" s="54">
        <f>IF($E$71=0,"",100*$E85/$E$85)</f>
        <v>100</v>
      </c>
      <c r="L85" s="54">
        <f>IF(C85=0,"",100*E85/C85)</f>
        <v>44.11037257652454</v>
      </c>
      <c r="M85" s="52"/>
    </row>
    <row r="86" spans="2:13" ht="15" customHeight="1">
      <c r="B86" s="72" t="s">
        <v>81</v>
      </c>
      <c r="C86" s="73">
        <f>8481140920.95</f>
        <v>8481140920.95</v>
      </c>
      <c r="D86" s="58">
        <f>6561544611.96</f>
        <v>6561544611.96</v>
      </c>
      <c r="E86" s="58">
        <f>3816550856.72</f>
        <v>3816550856.72</v>
      </c>
      <c r="F86" s="58">
        <f>292779794.34</f>
        <v>292779794.34</v>
      </c>
      <c r="G86" s="58">
        <f>0</f>
        <v>0</v>
      </c>
      <c r="H86" s="58">
        <f>0</f>
        <v>0</v>
      </c>
      <c r="I86" s="58">
        <f>0</f>
        <v>0</v>
      </c>
      <c r="J86" s="58">
        <f>0</f>
        <v>0</v>
      </c>
      <c r="K86" s="57">
        <f>IF($E$71=0,"",100*$E86/$E$85)</f>
        <v>89.93295174343726</v>
      </c>
      <c r="L86" s="74">
        <f>IF(C86=0,"",100*E86/C86)</f>
        <v>45.0004414770707</v>
      </c>
      <c r="M86" s="52"/>
    </row>
    <row r="87" spans="2:12" ht="12.75">
      <c r="B87" s="75" t="s">
        <v>82</v>
      </c>
      <c r="C87" s="73">
        <f>C85-C86</f>
        <v>1139665579.3300009</v>
      </c>
      <c r="D87" s="58">
        <f aca="true" t="shared" si="10" ref="D87:J87">D85-D86</f>
        <v>617055504.8599997</v>
      </c>
      <c r="E87" s="58">
        <f t="shared" si="10"/>
        <v>427222735.4200001</v>
      </c>
      <c r="F87" s="58">
        <f t="shared" si="10"/>
        <v>10802645.290000021</v>
      </c>
      <c r="G87" s="58">
        <f t="shared" si="10"/>
        <v>0</v>
      </c>
      <c r="H87" s="58">
        <f t="shared" si="10"/>
        <v>0</v>
      </c>
      <c r="I87" s="58">
        <f t="shared" si="10"/>
        <v>0</v>
      </c>
      <c r="J87" s="58">
        <f t="shared" si="10"/>
        <v>0</v>
      </c>
      <c r="K87" s="57">
        <f>IF($E$71=0,"",100*$E87/$E$85)</f>
        <v>10.067048256562746</v>
      </c>
      <c r="L87" s="74">
        <f>IF(C87=0,"",100*E87/C87)</f>
        <v>37.48667531673287</v>
      </c>
    </row>
    <row r="88" ht="6" customHeight="1"/>
    <row r="89" spans="2:13" ht="18">
      <c r="B89" s="106" t="s">
        <v>118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ht="6.75" customHeight="1"/>
    <row r="91" spans="2:8" ht="12.75">
      <c r="B91" s="12" t="s">
        <v>16</v>
      </c>
      <c r="C91" s="117" t="s">
        <v>17</v>
      </c>
      <c r="D91" s="100"/>
      <c r="E91" s="117" t="s">
        <v>1</v>
      </c>
      <c r="F91" s="100"/>
      <c r="G91" s="8" t="s">
        <v>25</v>
      </c>
      <c r="H91" s="8" t="s">
        <v>26</v>
      </c>
    </row>
    <row r="92" spans="2:8" ht="12.75">
      <c r="B92" s="12"/>
      <c r="C92" s="118" t="s">
        <v>84</v>
      </c>
      <c r="D92" s="119"/>
      <c r="E92" s="119"/>
      <c r="F92" s="120"/>
      <c r="G92" s="121" t="s">
        <v>4</v>
      </c>
      <c r="H92" s="122"/>
    </row>
    <row r="93" spans="2:8" ht="12.75">
      <c r="B93" s="10">
        <v>1</v>
      </c>
      <c r="C93" s="13">
        <v>2</v>
      </c>
      <c r="D93" s="14"/>
      <c r="E93" s="13">
        <v>3</v>
      </c>
      <c r="F93" s="14"/>
      <c r="G93" s="11">
        <v>4</v>
      </c>
      <c r="H93" s="11">
        <v>5</v>
      </c>
    </row>
    <row r="94" spans="2:8" ht="22.5">
      <c r="B94" s="76" t="s">
        <v>73</v>
      </c>
      <c r="C94" s="77">
        <f>15478975625.8</f>
        <v>15478975625.8</v>
      </c>
      <c r="D94" s="78"/>
      <c r="E94" s="77">
        <f>9136068708.76</f>
        <v>9136068708.76</v>
      </c>
      <c r="F94" s="78"/>
      <c r="G94" s="79">
        <f>IF($E$94=0,"",100*$E94/$E$94)</f>
        <v>100</v>
      </c>
      <c r="H94" s="54">
        <f>IF(C94=0,"",100*E94/C94)</f>
        <v>59.02243746370536</v>
      </c>
    </row>
    <row r="95" spans="2:8" ht="33.75">
      <c r="B95" s="80" t="s">
        <v>106</v>
      </c>
      <c r="C95" s="81">
        <f>10533374704.06</f>
        <v>10533374704.06</v>
      </c>
      <c r="D95" s="82"/>
      <c r="E95" s="81">
        <f>2828060608.33</f>
        <v>2828060608.33</v>
      </c>
      <c r="F95" s="82"/>
      <c r="G95" s="83">
        <f aca="true" t="shared" si="11" ref="G95:G100">IF($E$94=0,"",100*$E95/$E$94)</f>
        <v>30.95489644926106</v>
      </c>
      <c r="H95" s="84">
        <f aca="true" t="shared" si="12" ref="H95:H106">IF(C95=0,"",100*E95/C95)</f>
        <v>26.84857121089548</v>
      </c>
    </row>
    <row r="96" spans="2:8" ht="22.5">
      <c r="B96" s="85" t="s">
        <v>107</v>
      </c>
      <c r="C96" s="86">
        <f>682600000</f>
        <v>682600000</v>
      </c>
      <c r="D96" s="87"/>
      <c r="E96" s="86">
        <f>0</f>
        <v>0</v>
      </c>
      <c r="F96" s="87"/>
      <c r="G96" s="88">
        <f t="shared" si="11"/>
        <v>0</v>
      </c>
      <c r="H96" s="74">
        <f t="shared" si="12"/>
        <v>0</v>
      </c>
    </row>
    <row r="97" spans="2:8" ht="12.75">
      <c r="B97" s="85" t="s">
        <v>108</v>
      </c>
      <c r="C97" s="86">
        <f>123821154</f>
        <v>123821154</v>
      </c>
      <c r="D97" s="87"/>
      <c r="E97" s="86">
        <f>19327350.33</f>
        <v>19327350.33</v>
      </c>
      <c r="F97" s="87"/>
      <c r="G97" s="88">
        <f t="shared" si="11"/>
        <v>0.21154996690719083</v>
      </c>
      <c r="H97" s="74">
        <f t="shared" si="12"/>
        <v>15.609085932117866</v>
      </c>
    </row>
    <row r="98" spans="2:8" ht="12.75">
      <c r="B98" s="85" t="s">
        <v>109</v>
      </c>
      <c r="C98" s="86">
        <f>96801260.47</f>
        <v>96801260.47</v>
      </c>
      <c r="D98" s="87"/>
      <c r="E98" s="86">
        <f>103954967.99</f>
        <v>103954967.99</v>
      </c>
      <c r="F98" s="87"/>
      <c r="G98" s="88">
        <f t="shared" si="11"/>
        <v>1.137852300632592</v>
      </c>
      <c r="H98" s="74">
        <f t="shared" si="12"/>
        <v>107.39009748970885</v>
      </c>
    </row>
    <row r="99" spans="2:8" ht="12.75">
      <c r="B99" s="85" t="s">
        <v>110</v>
      </c>
      <c r="C99" s="86">
        <f>0</f>
        <v>0</v>
      </c>
      <c r="D99" s="87"/>
      <c r="E99" s="86">
        <f>0</f>
        <v>0</v>
      </c>
      <c r="F99" s="87"/>
      <c r="G99" s="88">
        <f t="shared" si="11"/>
        <v>0</v>
      </c>
      <c r="H99" s="74">
        <f t="shared" si="12"/>
      </c>
    </row>
    <row r="100" spans="2:8" ht="37.5" customHeight="1">
      <c r="B100" s="85" t="s">
        <v>114</v>
      </c>
      <c r="C100" s="86">
        <f>4394774621.33</f>
        <v>4394774621.33</v>
      </c>
      <c r="D100" s="87"/>
      <c r="E100" s="86">
        <f>5796034830.19</f>
        <v>5796034830.19</v>
      </c>
      <c r="F100" s="87"/>
      <c r="G100" s="88">
        <f t="shared" si="11"/>
        <v>63.44123511935224</v>
      </c>
      <c r="H100" s="74">
        <f t="shared" si="12"/>
        <v>131.88468874055556</v>
      </c>
    </row>
    <row r="101" spans="2:8" ht="12.75">
      <c r="B101" s="85" t="s">
        <v>86</v>
      </c>
      <c r="C101" s="86">
        <f>3062173</f>
        <v>3062173</v>
      </c>
      <c r="D101" s="87"/>
      <c r="E101" s="86">
        <f>3062172.44</f>
        <v>3062172.44</v>
      </c>
      <c r="F101" s="87"/>
      <c r="G101" s="88"/>
      <c r="H101" s="74"/>
    </row>
    <row r="102" spans="2:8" ht="22.5">
      <c r="B102" s="89" t="s">
        <v>74</v>
      </c>
      <c r="C102" s="90">
        <f>3545765343.62</f>
        <v>3545765343.62</v>
      </c>
      <c r="D102" s="91"/>
      <c r="E102" s="90">
        <f>1903867788.23</f>
        <v>1903867788.23</v>
      </c>
      <c r="F102" s="91"/>
      <c r="G102" s="92">
        <f>IF($E$102=0,"",100*$E102/$E$102)</f>
        <v>100</v>
      </c>
      <c r="H102" s="54">
        <f t="shared" si="12"/>
        <v>53.69412817054251</v>
      </c>
    </row>
    <row r="103" spans="2:8" ht="33.75">
      <c r="B103" s="85" t="s">
        <v>111</v>
      </c>
      <c r="C103" s="86">
        <f>3407413568.62</f>
        <v>3407413568.62</v>
      </c>
      <c r="D103" s="87"/>
      <c r="E103" s="86">
        <f>1846447006.44</f>
        <v>1846447006.44</v>
      </c>
      <c r="F103" s="87"/>
      <c r="G103" s="88">
        <f>IF($E$102=0,"",100*$E103/$E$102)</f>
        <v>96.98399320872048</v>
      </c>
      <c r="H103" s="74">
        <f t="shared" si="12"/>
        <v>54.18910764001593</v>
      </c>
    </row>
    <row r="104" spans="2:8" ht="22.5">
      <c r="B104" s="85" t="s">
        <v>112</v>
      </c>
      <c r="C104" s="86">
        <f>486000000</f>
        <v>486000000</v>
      </c>
      <c r="D104" s="87"/>
      <c r="E104" s="86">
        <f>31000000</f>
        <v>31000000</v>
      </c>
      <c r="F104" s="87"/>
      <c r="G104" s="88">
        <f>IF($E$102=0,"",100*$E104/$E$102)</f>
        <v>1.628264325477153</v>
      </c>
      <c r="H104" s="74">
        <f t="shared" si="12"/>
        <v>6.378600823045267</v>
      </c>
    </row>
    <row r="105" spans="2:8" ht="12.75">
      <c r="B105" s="85" t="s">
        <v>113</v>
      </c>
      <c r="C105" s="86">
        <f>125309602</f>
        <v>125309602</v>
      </c>
      <c r="D105" s="87"/>
      <c r="E105" s="86">
        <f>57420781.79</f>
        <v>57420781.79</v>
      </c>
      <c r="F105" s="87"/>
      <c r="G105" s="88">
        <f>IF($E$102=0,"",100*$E105/$E$102)</f>
        <v>3.0160067912795205</v>
      </c>
      <c r="H105" s="74">
        <f t="shared" si="12"/>
        <v>45.82312997051894</v>
      </c>
    </row>
    <row r="106" spans="2:8" ht="12.75">
      <c r="B106" s="85" t="s">
        <v>29</v>
      </c>
      <c r="C106" s="86">
        <f>13042173</f>
        <v>13042173</v>
      </c>
      <c r="D106" s="87"/>
      <c r="E106" s="86">
        <f>0</f>
        <v>0</v>
      </c>
      <c r="F106" s="87"/>
      <c r="G106" s="88">
        <f>IF($E$102=0,"",100*$E106/$E$102)</f>
        <v>0</v>
      </c>
      <c r="H106" s="74">
        <f t="shared" si="12"/>
        <v>0</v>
      </c>
    </row>
    <row r="107" spans="2:8" ht="12.75">
      <c r="B107" s="43"/>
      <c r="C107" s="43"/>
      <c r="D107" s="43"/>
      <c r="E107" s="43"/>
      <c r="F107" s="43"/>
      <c r="G107" s="43"/>
      <c r="H107" s="43"/>
    </row>
    <row r="108" spans="2:8" ht="12.75">
      <c r="B108" s="16" t="s">
        <v>16</v>
      </c>
      <c r="C108" s="110" t="s">
        <v>17</v>
      </c>
      <c r="D108" s="111"/>
      <c r="E108" s="110" t="s">
        <v>1</v>
      </c>
      <c r="F108" s="111"/>
      <c r="G108" s="17" t="s">
        <v>25</v>
      </c>
      <c r="H108" s="17" t="s">
        <v>26</v>
      </c>
    </row>
    <row r="109" spans="2:8" ht="12.75">
      <c r="B109" s="18"/>
      <c r="C109" s="112" t="s">
        <v>84</v>
      </c>
      <c r="D109" s="113"/>
      <c r="E109" s="113"/>
      <c r="F109" s="114"/>
      <c r="G109" s="115" t="s">
        <v>4</v>
      </c>
      <c r="H109" s="116"/>
    </row>
    <row r="110" spans="2:8" ht="12.75">
      <c r="B110" s="19">
        <v>1</v>
      </c>
      <c r="C110" s="20">
        <v>2</v>
      </c>
      <c r="D110" s="21"/>
      <c r="E110" s="20">
        <v>3</v>
      </c>
      <c r="F110" s="21"/>
      <c r="G110" s="22">
        <v>4</v>
      </c>
      <c r="H110" s="22">
        <v>5</v>
      </c>
    </row>
    <row r="111" spans="2:8" ht="28.5" customHeight="1">
      <c r="B111" s="93" t="s">
        <v>87</v>
      </c>
      <c r="C111" s="86">
        <f>11951069014.9</f>
        <v>11951069014.9</v>
      </c>
      <c r="D111" s="87"/>
      <c r="E111" s="86">
        <f>0</f>
        <v>0</v>
      </c>
      <c r="F111" s="94"/>
      <c r="G111" s="88"/>
      <c r="H111" s="74"/>
    </row>
    <row r="112" spans="2:8" ht="56.25">
      <c r="B112" s="93" t="s">
        <v>88</v>
      </c>
      <c r="C112" s="86">
        <f>672600000</f>
        <v>672600000</v>
      </c>
      <c r="D112" s="87"/>
      <c r="E112" s="86">
        <f>0</f>
        <v>0</v>
      </c>
      <c r="F112" s="87"/>
      <c r="G112" s="88"/>
      <c r="H112" s="74"/>
    </row>
    <row r="113" spans="2:8" ht="12.75">
      <c r="B113" s="93" t="s">
        <v>89</v>
      </c>
      <c r="C113" s="86">
        <f>7226425680.28</f>
        <v>7226425680.28</v>
      </c>
      <c r="D113" s="87"/>
      <c r="E113" s="86">
        <f>0</f>
        <v>0</v>
      </c>
      <c r="F113" s="87"/>
      <c r="G113" s="88"/>
      <c r="H113" s="74"/>
    </row>
    <row r="114" spans="2:8" ht="33.75">
      <c r="B114" s="93" t="s">
        <v>90</v>
      </c>
      <c r="C114" s="86">
        <f>0</f>
        <v>0</v>
      </c>
      <c r="D114" s="87"/>
      <c r="E114" s="86">
        <f>0</f>
        <v>0</v>
      </c>
      <c r="F114" s="87"/>
      <c r="G114" s="88"/>
      <c r="H114" s="74"/>
    </row>
    <row r="115" spans="2:8" ht="33.75">
      <c r="B115" s="93" t="s">
        <v>91</v>
      </c>
      <c r="C115" s="86">
        <f>96801260.47</f>
        <v>96801260.47</v>
      </c>
      <c r="D115" s="87"/>
      <c r="E115" s="86">
        <f>0</f>
        <v>0</v>
      </c>
      <c r="F115" s="87"/>
      <c r="G115" s="88"/>
      <c r="H115" s="74"/>
    </row>
    <row r="116" spans="2:8" ht="101.25">
      <c r="B116" s="93" t="s">
        <v>92</v>
      </c>
      <c r="C116" s="86">
        <f>3646776467.97</f>
        <v>3646776467.97</v>
      </c>
      <c r="D116" s="87"/>
      <c r="E116" s="86">
        <f>0</f>
        <v>0</v>
      </c>
      <c r="F116" s="87"/>
      <c r="G116" s="88"/>
      <c r="H116" s="74"/>
    </row>
    <row r="117" spans="2:8" ht="12.75">
      <c r="B117" s="95"/>
      <c r="C117" s="63"/>
      <c r="D117" s="63"/>
      <c r="E117" s="63"/>
      <c r="F117" s="63"/>
      <c r="G117" s="63"/>
      <c r="H117" s="63"/>
    </row>
    <row r="118" spans="2:6" ht="12.75">
      <c r="B118" s="15" t="s">
        <v>16</v>
      </c>
      <c r="C118" s="101" t="s">
        <v>1</v>
      </c>
      <c r="D118" s="99"/>
      <c r="E118" s="99"/>
      <c r="F118" s="100"/>
    </row>
    <row r="119" spans="2:6" ht="12.75">
      <c r="B119" s="15"/>
      <c r="C119" s="107" t="s">
        <v>84</v>
      </c>
      <c r="D119" s="108"/>
      <c r="E119" s="108"/>
      <c r="F119" s="109"/>
    </row>
    <row r="120" spans="2:6" ht="12.75">
      <c r="B120" s="10">
        <v>1</v>
      </c>
      <c r="C120" s="102">
        <v>2</v>
      </c>
      <c r="D120" s="103"/>
      <c r="E120" s="103"/>
      <c r="F120" s="104"/>
    </row>
    <row r="121" spans="2:6" ht="56.25">
      <c r="B121" s="96" t="s">
        <v>93</v>
      </c>
      <c r="C121" s="98">
        <f>0</f>
        <v>0</v>
      </c>
      <c r="D121" s="99"/>
      <c r="E121" s="99"/>
      <c r="F121" s="100"/>
    </row>
    <row r="122" spans="2:6" ht="45">
      <c r="B122" s="97" t="s">
        <v>94</v>
      </c>
      <c r="C122" s="98">
        <f>0</f>
        <v>0</v>
      </c>
      <c r="D122" s="99"/>
      <c r="E122" s="99"/>
      <c r="F122" s="100"/>
    </row>
    <row r="123" spans="2:6" ht="39.75" customHeight="1">
      <c r="B123" s="97" t="s">
        <v>95</v>
      </c>
      <c r="C123" s="98">
        <f>0</f>
        <v>0</v>
      </c>
      <c r="D123" s="99"/>
      <c r="E123" s="99"/>
      <c r="F123" s="100"/>
    </row>
    <row r="124" spans="2:6" ht="78.75">
      <c r="B124" s="97" t="s">
        <v>96</v>
      </c>
      <c r="C124" s="98">
        <f>0</f>
        <v>0</v>
      </c>
      <c r="D124" s="99"/>
      <c r="E124" s="99"/>
      <c r="F124" s="100"/>
    </row>
    <row r="125" spans="2:6" ht="56.25">
      <c r="B125" s="97" t="s">
        <v>97</v>
      </c>
      <c r="C125" s="98">
        <f>0</f>
        <v>0</v>
      </c>
      <c r="D125" s="99"/>
      <c r="E125" s="99"/>
      <c r="F125" s="100"/>
    </row>
    <row r="126" spans="2:6" ht="56.25">
      <c r="B126" s="93" t="s">
        <v>98</v>
      </c>
      <c r="C126" s="98">
        <f>0</f>
        <v>0</v>
      </c>
      <c r="D126" s="99"/>
      <c r="E126" s="99"/>
      <c r="F126" s="100"/>
    </row>
    <row r="127" spans="2:6" ht="56.25">
      <c r="B127" s="93" t="s">
        <v>99</v>
      </c>
      <c r="C127" s="98">
        <f>0</f>
        <v>0</v>
      </c>
      <c r="D127" s="99"/>
      <c r="E127" s="99"/>
      <c r="F127" s="100"/>
    </row>
    <row r="128" spans="2:6" ht="80.25" customHeight="1">
      <c r="B128" s="93" t="s">
        <v>115</v>
      </c>
      <c r="C128" s="98">
        <f>0</f>
        <v>0</v>
      </c>
      <c r="D128" s="99"/>
      <c r="E128" s="99"/>
      <c r="F128" s="100"/>
    </row>
    <row r="129" spans="2:6" ht="81" customHeight="1">
      <c r="B129" s="93" t="s">
        <v>116</v>
      </c>
      <c r="C129" s="98">
        <f>0</f>
        <v>0</v>
      </c>
      <c r="D129" s="99"/>
      <c r="E129" s="99"/>
      <c r="F129" s="100"/>
    </row>
  </sheetData>
  <sheetProtection/>
  <mergeCells count="50">
    <mergeCell ref="I75:J75"/>
    <mergeCell ref="I76:J76"/>
    <mergeCell ref="I77:J77"/>
    <mergeCell ref="I78:J78"/>
    <mergeCell ref="I80:J80"/>
    <mergeCell ref="B1:M1"/>
    <mergeCell ref="B2:B3"/>
    <mergeCell ref="C66:C68"/>
    <mergeCell ref="B66:B69"/>
    <mergeCell ref="K66:K68"/>
    <mergeCell ref="B89:M89"/>
    <mergeCell ref="I66:J68"/>
    <mergeCell ref="D66:D68"/>
    <mergeCell ref="E66:E68"/>
    <mergeCell ref="F67:F68"/>
    <mergeCell ref="F66:H66"/>
    <mergeCell ref="G67:H67"/>
    <mergeCell ref="I71:J71"/>
    <mergeCell ref="I72:J72"/>
    <mergeCell ref="L66:L68"/>
    <mergeCell ref="G109:H109"/>
    <mergeCell ref="C91:D91"/>
    <mergeCell ref="E91:F91"/>
    <mergeCell ref="C92:F92"/>
    <mergeCell ref="G92:H92"/>
    <mergeCell ref="I70:J70"/>
    <mergeCell ref="I73:J73"/>
    <mergeCell ref="I74:J74"/>
    <mergeCell ref="I81:J81"/>
    <mergeCell ref="I79:J79"/>
    <mergeCell ref="C124:F124"/>
    <mergeCell ref="K69:L69"/>
    <mergeCell ref="K3:M3"/>
    <mergeCell ref="C3:J3"/>
    <mergeCell ref="B64:M64"/>
    <mergeCell ref="C69:J69"/>
    <mergeCell ref="C119:F119"/>
    <mergeCell ref="C108:D108"/>
    <mergeCell ref="E108:F108"/>
    <mergeCell ref="C109:F109"/>
    <mergeCell ref="C125:F125"/>
    <mergeCell ref="C118:F118"/>
    <mergeCell ref="C126:F126"/>
    <mergeCell ref="C127:F127"/>
    <mergeCell ref="C128:F128"/>
    <mergeCell ref="C129:F129"/>
    <mergeCell ref="C120:F120"/>
    <mergeCell ref="C121:F121"/>
    <mergeCell ref="C122:F122"/>
    <mergeCell ref="C123:F123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6" manualBreakCount="6">
    <brk id="22" max="255" man="1"/>
    <brk id="49" max="12" man="1"/>
    <brk id="63" max="255" man="1"/>
    <brk id="88" max="255" man="1"/>
    <brk id="107" max="255" man="1"/>
    <brk id="11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2020-11-27T08:17:12Z</dcterms:modified>
  <cp:category/>
  <cp:version/>
  <cp:contentType/>
  <cp:contentStatus/>
</cp:coreProperties>
</file>