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'doch_wyd'!$A$1:$M$114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5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<sst xmlns="http://schemas.openxmlformats.org/spreadsheetml/2006/main" count="255" uniqueCount="113">
  <si>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</si>
  <si>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</si>
  <si>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</si>
  <si>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</si>
  <si>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</si>
  <si>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</si>
  <si>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</si>
  <si>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</si>
  <si>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</si>
  <si>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</si>
  <si>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</si>
  <si>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</si>
  <si>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</si>
  <si>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</si>
  <si>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</si>
  <si>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</si>
  <si>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</si>
  <si>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</si>
  <si>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</si>
  <si>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</si>
  <si>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</si>
  <si>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</si>
  <si>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</si>
  <si>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</si>
  <si>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</si>
  <si>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</si>
  <si>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</si>
  <si>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</si>
  <si>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</si>
  <si>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</si>
  <si>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 xml:space="preserve">wpływy z opłaty skarbowej        </t>
  </si>
  <si>
    <t>wpływy z opłaty eksploatacyjnej</t>
  </si>
  <si>
    <t>wpływy z opłaty targowej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</si>
  <si>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</si>
  <si>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</si>
  <si>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</si>
  <si>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</si>
  <si>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</si>
  <si>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</si>
  <si>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</si>
  <si>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</si>
  <si>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</si>
  <si>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</si>
  <si>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</si>
  <si>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</si>
  <si>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</si>
  <si>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</si>
  <si>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</si>
  <si>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</si>
  <si>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</si>
  <si>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</si>
  <si>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</si>
  <si>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</si>
  <si>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</si>
  <si>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</si>
  <si>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</si>
  <si>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</si>
  <si>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</si>
  <si>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</si>
  <si>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</si>
  <si>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#</t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</si>
  <si>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</si>
  <si>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</si>
  <si>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</si>
  <si>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</si>
  <si>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</si>
  <si>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</si>
  <si>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</si>
  <si>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</si>
  <si>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   z tego:</t>
  </si>
  <si>
    <t>świadczenia na rzecz osób fizycznych</t>
  </si>
  <si>
    <t>majątkowe</t>
  </si>
  <si>
    <t>bieżące</t>
  </si>
  <si>
    <t>Dochody bieżące minus                  wydatki bieżące</t>
  </si>
  <si>
    <t>UE</t>
  </si>
  <si>
    <t>Wydatki ogółem UE        z tego:</t>
  </si>
  <si>
    <t>wydatki majątkowe</t>
  </si>
  <si>
    <t>wydatki bieżące</t>
  </si>
  <si>
    <t>w złotych</t>
  </si>
  <si>
    <t>z tytułu pomocy finansowej udzielanej między jst na dofinansowanie własnych zadań</t>
  </si>
  <si>
    <t>wolne środki, o których mowa w art. 217 ust. 2 pkt 6 ustawy o finansach publicznych  w tym: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</si>
  <si>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</si>
  <si>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</si>
  <si>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</si>
  <si>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</si>
  <si>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</si>
  <si>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</si>
  <si>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</si>
  <si>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</si>
  <si>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</si>
  <si>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</si>
  <si>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</si>
  <si>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</si>
  <si>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</si>
  <si>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</si>
  <si>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</si>
  <si>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</si>
  <si>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</si>
  <si>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</si>
  <si>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</si>
  <si>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</si>
  <si>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spłaty kredytów i pożyczek, wykup papierów wartościowych w tym:</t>
  </si>
  <si>
    <t>wykup papierów wartościowych</t>
  </si>
  <si>
    <t>udzielone pożyczki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</si>
  <si>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</si>
  <si>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 wydatków bieżących ponoszonych na spłatę przejętych zobowiązań samodzielnego publicznego zakładu opieki zdrowotnej przekształconego na zasadach określonych w ustawie o działalności leczniczej</t>
  </si>
  <si>
    <t>Stan na koniec okresu sprawozdawczego</t>
  </si>
  <si>
    <t>Dotacje §§ 200 i 620</t>
  </si>
  <si>
    <t>w tym: inwestycyjne § 620</t>
  </si>
  <si>
    <t>Dotacje §§ 205 i 625</t>
  </si>
  <si>
    <t>w tym: inwestycyjne § 625</t>
  </si>
  <si>
    <t>wydatki na wynagrodzenia i pochodne od wynagrodzeń</t>
  </si>
  <si>
    <t xml:space="preserve">Informacja z wykonania budżetów gmin za I Kwartał 2019 rok   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</si>
</sst>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[$-415]d\ mmmm\ yyyy"/>
    <numFmt numFmtId="169" formatCode="dd/mm/yy\ h:mm;@"/>
    <numFmt numFmtId="170" formatCode="yyyy/mm/dd;@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4" fontId="5" fillId="0" borderId="10" xfId="0" applyNumberFormat="1" applyFont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13" fillId="34" borderId="10" xfId="0" applyNumberFormat="1" applyFont="1" applyFill="1" applyBorder="1" applyAlignment="1">
      <alignment horizontal="right" vertical="center"/>
    </xf>
    <xf numFmtId="4" fontId="13" fillId="34" borderId="1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7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left" vertical="center" wrapText="1" indent="1"/>
    </xf>
    <xf numFmtId="164" fontId="13" fillId="34" borderId="10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 vertical="center"/>
    </xf>
    <xf numFmtId="164" fontId="12" fillId="34" borderId="10" xfId="0" applyNumberFormat="1" applyFont="1" applyFill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164" fontId="12" fillId="34" borderId="10" xfId="42" applyNumberFormat="1" applyFont="1" applyFill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4" fontId="12" fillId="34" borderId="11" xfId="0" applyNumberFormat="1" applyFont="1" applyFill="1" applyBorder="1" applyAlignment="1">
      <alignment horizontal="right" vertical="center"/>
    </xf>
    <xf numFmtId="4" fontId="12" fillId="34" borderId="12" xfId="0" applyNumberFormat="1" applyFont="1" applyFill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34" borderId="12" xfId="0" applyNumberFormat="1" applyFont="1" applyFill="1" applyBorder="1" applyAlignment="1">
      <alignment horizontal="right" vertical="center"/>
    </xf>
    <xf numFmtId="4" fontId="13" fillId="35" borderId="10" xfId="0" applyNumberFormat="1" applyFont="1" applyFill="1" applyBorder="1" applyAlignment="1">
      <alignment horizontal="right" vertical="center"/>
    </xf>
    <xf numFmtId="164" fontId="13" fillId="35" borderId="10" xfId="0" applyNumberFormat="1" applyFont="1" applyFill="1" applyBorder="1" applyAlignment="1">
      <alignment horizontal="right" vertical="center"/>
    </xf>
    <xf numFmtId="4" fontId="7" fillId="34" borderId="11" xfId="0" applyNumberFormat="1" applyFont="1" applyFill="1" applyBorder="1" applyAlignment="1">
      <alignment horizontal="right" vertical="center"/>
    </xf>
    <xf numFmtId="4" fontId="7" fillId="36" borderId="12" xfId="0" applyNumberFormat="1" applyFont="1" applyFill="1" applyBorder="1" applyAlignment="1">
      <alignment horizontal="right" vertical="center"/>
    </xf>
    <xf numFmtId="4" fontId="7" fillId="36" borderId="11" xfId="0" applyNumberFormat="1" applyFont="1" applyFill="1" applyBorder="1" applyAlignment="1">
      <alignment horizontal="right" vertical="center"/>
    </xf>
    <xf numFmtId="4" fontId="12" fillId="35" borderId="11" xfId="0" applyNumberFormat="1" applyFont="1" applyFill="1" applyBorder="1" applyAlignment="1">
      <alignment horizontal="right" vertical="center"/>
    </xf>
    <xf numFmtId="4" fontId="12" fillId="35" borderId="12" xfId="0" applyNumberFormat="1" applyFont="1" applyFill="1" applyBorder="1" applyAlignment="1">
      <alignment horizontal="right" vertical="center"/>
    </xf>
    <xf numFmtId="164" fontId="12" fillId="36" borderId="10" xfId="42" applyNumberFormat="1" applyFont="1" applyFill="1" applyBorder="1" applyAlignment="1">
      <alignment horizontal="right" vertical="center"/>
    </xf>
    <xf numFmtId="164" fontId="12" fillId="36" borderId="10" xfId="0" applyNumberFormat="1" applyFont="1" applyFill="1" applyBorder="1" applyAlignment="1">
      <alignment horizontal="right" vertical="center"/>
    </xf>
    <xf numFmtId="164" fontId="12" fillId="35" borderId="10" xfId="0" applyNumberFormat="1" applyFont="1" applyFill="1" applyBorder="1" applyAlignment="1">
      <alignment horizontal="right" vertical="center"/>
    </xf>
    <xf numFmtId="0" fontId="50" fillId="0" borderId="10" xfId="52" applyFont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left" vertical="top" wrapText="1"/>
    </xf>
    <xf numFmtId="0" fontId="50" fillId="35" borderId="10" xfId="52" applyFont="1" applyFill="1" applyBorder="1" applyAlignment="1">
      <alignment horizontal="left" vertical="top" wrapText="1"/>
      <protection/>
    </xf>
    <xf numFmtId="4" fontId="7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 indent="2"/>
    </xf>
    <xf numFmtId="164" fontId="5" fillId="35" borderId="10" xfId="0" applyNumberFormat="1" applyFont="1" applyFill="1" applyBorder="1" applyAlignment="1">
      <alignment horizontal="right" vertical="center"/>
    </xf>
    <xf numFmtId="164" fontId="6" fillId="35" borderId="10" xfId="0" applyNumberFormat="1" applyFont="1" applyFill="1" applyBorder="1" applyAlignment="1">
      <alignment horizontal="center" vertical="center"/>
    </xf>
    <xf numFmtId="4" fontId="12" fillId="35" borderId="10" xfId="0" applyNumberFormat="1" applyFont="1" applyFill="1" applyBorder="1" applyAlignment="1">
      <alignment horizontal="right" vertical="center"/>
    </xf>
    <xf numFmtId="164" fontId="12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164" fontId="7" fillId="35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top" wrapText="1" indent="1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164" fontId="12" fillId="0" borderId="10" xfId="42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top" wrapText="1"/>
    </xf>
    <xf numFmtId="0" fontId="50" fillId="0" borderId="10" xfId="52" applyFont="1" applyFill="1" applyBorder="1" applyAlignment="1">
      <alignment horizontal="left" vertical="top" wrapText="1"/>
      <protection/>
    </xf>
    <xf numFmtId="0" fontId="50" fillId="35" borderId="11" xfId="52" applyFont="1" applyFill="1" applyBorder="1" applyAlignment="1">
      <alignment horizontal="left" vertical="top" wrapText="1"/>
      <protection/>
    </xf>
    <xf numFmtId="0" fontId="12" fillId="34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 indent="1"/>
    </xf>
    <xf numFmtId="0" fontId="13" fillId="34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/>
    </xf>
    <xf numFmtId="4" fontId="13" fillId="34" borderId="10" xfId="0" applyNumberFormat="1" applyFont="1" applyFill="1" applyBorder="1" applyAlignment="1">
      <alignment horizontal="right" vertical="center" wrapText="1"/>
    </xf>
    <xf numFmtId="4" fontId="13" fillId="37" borderId="10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37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" fontId="12" fillId="35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" fontId="7" fillId="36" borderId="11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14"/>
  <sheetViews>
    <sheetView tabSelected="1" workbookViewId="0" topLeftCell="B1">
      <selection activeCell="B6" sqref="B6"/>
    </sheetView>
  </sheetViews>
  <sheetFormatPr defaultColWidth="9.00390625" defaultRowHeight="12.75"/>
  <cols>
    <col min="1" max="1" width="5.75390625" style="1" hidden="1" customWidth="1"/>
    <col min="2" max="2" width="22.875" style="1" customWidth="1"/>
    <col min="3" max="5" width="14.625" style="1" customWidth="1"/>
    <col min="6" max="6" width="13.875" style="1" customWidth="1"/>
    <col min="7" max="7" width="13.00390625" style="1" customWidth="1"/>
    <col min="8" max="8" width="11.875" style="1" customWidth="1"/>
    <col min="9" max="9" width="13.00390625" style="1" customWidth="1"/>
    <col min="10" max="10" width="12.75390625" style="1" customWidth="1"/>
    <col min="11" max="11" width="7.375" style="1" customWidth="1"/>
    <col min="12" max="12" width="7.25390625" style="1" customWidth="1"/>
    <col min="13" max="13" width="8.125" style="1" customWidth="1"/>
    <col min="14" max="16384" width="9.125" style="1" customWidth="1"/>
  </cols>
  <sheetData>
    <row r="1" spans="2:13" ht="15">
      <c r="B1" s="103" t="s">
        <v>112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ht="0.75" customHeight="1"/>
    <row r="3" spans="2:13" ht="63.75" customHeight="1">
      <c r="B3" s="107" t="s">
        <v>0</v>
      </c>
      <c r="C3" s="15" t="s">
        <v>37</v>
      </c>
      <c r="D3" s="15" t="s">
        <v>38</v>
      </c>
      <c r="E3" s="15" t="s">
        <v>39</v>
      </c>
      <c r="F3" s="15" t="s">
        <v>40</v>
      </c>
      <c r="G3" s="15" t="s">
        <v>41</v>
      </c>
      <c r="H3" s="15" t="s">
        <v>42</v>
      </c>
      <c r="I3" s="15" t="s">
        <v>43</v>
      </c>
      <c r="J3" s="15" t="s">
        <v>44</v>
      </c>
      <c r="K3" s="17" t="s">
        <v>2</v>
      </c>
      <c r="L3" s="15" t="s">
        <v>18</v>
      </c>
      <c r="M3" s="15" t="s">
        <v>3</v>
      </c>
    </row>
    <row r="4" spans="2:13" ht="12.75">
      <c r="B4" s="107"/>
      <c r="C4" s="108" t="s">
        <v>78</v>
      </c>
      <c r="D4" s="108"/>
      <c r="E4" s="108"/>
      <c r="F4" s="108"/>
      <c r="G4" s="108"/>
      <c r="H4" s="108"/>
      <c r="I4" s="108"/>
      <c r="J4" s="108"/>
      <c r="K4" s="108" t="s">
        <v>4</v>
      </c>
      <c r="L4" s="108"/>
      <c r="M4" s="108"/>
    </row>
    <row r="5" spans="2:13" ht="12.75">
      <c r="B5" s="17">
        <v>1</v>
      </c>
      <c r="C5" s="19">
        <v>2</v>
      </c>
      <c r="D5" s="19">
        <v>3</v>
      </c>
      <c r="E5" s="19">
        <v>4</v>
      </c>
      <c r="F5" s="17">
        <v>5</v>
      </c>
      <c r="G5" s="19">
        <v>6</v>
      </c>
      <c r="H5" s="17">
        <v>7</v>
      </c>
      <c r="I5" s="19">
        <v>8</v>
      </c>
      <c r="J5" s="17">
        <v>9</v>
      </c>
      <c r="K5" s="19">
        <v>10</v>
      </c>
      <c r="L5" s="17">
        <v>11</v>
      </c>
      <c r="M5" s="19">
        <v>12</v>
      </c>
    </row>
    <row r="6" spans="2:13" ht="12.75">
      <c r="B6" s="82" t="s">
        <v>5</v>
      </c>
      <c r="C6" s="49">
        <f>124940254470.92</f>
        <v>124940254470.92</v>
      </c>
      <c r="D6" s="49">
        <f>32919577887.14</f>
        <v>32919577887.14</v>
      </c>
      <c r="E6" s="49">
        <f>30643984773.16</f>
        <v>30643984773.16</v>
      </c>
      <c r="F6" s="49">
        <f>759211139.72</f>
        <v>759211139.72</v>
      </c>
      <c r="G6" s="49">
        <f>178739452.45</f>
        <v>178739452.45</v>
      </c>
      <c r="H6" s="49">
        <f>22150114.33</f>
        <v>22150114.33</v>
      </c>
      <c r="I6" s="49">
        <f>65818142.45</f>
        <v>65818142.45</v>
      </c>
      <c r="J6" s="49">
        <f>771250.76</f>
        <v>771250.76</v>
      </c>
      <c r="K6" s="50">
        <f aca="true" t="shared" si="0" ref="K6:K49">IF($D$6=0,"",100*$D6/$D$6)</f>
        <v>100</v>
      </c>
      <c r="L6" s="50">
        <f aca="true" t="shared" si="1" ref="L6:L45">IF(C6=0,"",100*D6/C6)</f>
        <v>26.348255833592905</v>
      </c>
      <c r="M6" s="50"/>
    </row>
    <row r="7" spans="2:13" ht="25.5" customHeight="1">
      <c r="B7" s="82" t="s">
        <v>61</v>
      </c>
      <c r="C7" s="25">
        <f>C6-C22-C40</f>
        <v>55798921777.369995</v>
      </c>
      <c r="D7" s="25">
        <f>D6-D22-D40</f>
        <v>14019198778.949997</v>
      </c>
      <c r="E7" s="25">
        <f>E6-E22-E40</f>
        <v>13313419919.35</v>
      </c>
      <c r="F7" s="25">
        <f>F6</f>
        <v>759211139.72</v>
      </c>
      <c r="G7" s="25">
        <f>G6</f>
        <v>178739452.45</v>
      </c>
      <c r="H7" s="25">
        <f>H6</f>
        <v>22150114.33</v>
      </c>
      <c r="I7" s="25">
        <f>I6</f>
        <v>65818142.45</v>
      </c>
      <c r="J7" s="25">
        <f>J6</f>
        <v>771250.76</v>
      </c>
      <c r="K7" s="33">
        <f t="shared" si="0"/>
        <v>42.58620455891867</v>
      </c>
      <c r="L7" s="33">
        <f t="shared" si="1"/>
        <v>25.124497628976897</v>
      </c>
      <c r="M7" s="33">
        <f aca="true" t="shared" si="2" ref="M7:M21">IF($D$7=0,"",100*$D7/$D$7)</f>
        <v>100</v>
      </c>
    </row>
    <row r="8" spans="2:13" ht="22.5" customHeight="1">
      <c r="B8" s="32" t="s">
        <v>35</v>
      </c>
      <c r="C8" s="24">
        <f>936471977.62</f>
        <v>936471977.62</v>
      </c>
      <c r="D8" s="24">
        <f>252675360.08</f>
        <v>252675360.08</v>
      </c>
      <c r="E8" s="24">
        <f>225969924.08</f>
        <v>225969924.08</v>
      </c>
      <c r="F8" s="24">
        <f>0</f>
        <v>0</v>
      </c>
      <c r="G8" s="24">
        <f>0</f>
        <v>0</v>
      </c>
      <c r="H8" s="24">
        <f>0</f>
        <v>0</v>
      </c>
      <c r="I8" s="24">
        <f>0</f>
        <v>0</v>
      </c>
      <c r="J8" s="24">
        <f>0</f>
        <v>0</v>
      </c>
      <c r="K8" s="34">
        <f t="shared" si="0"/>
        <v>0.7675534630069099</v>
      </c>
      <c r="L8" s="34">
        <f t="shared" si="1"/>
        <v>26.981625304172226</v>
      </c>
      <c r="M8" s="34">
        <f t="shared" si="2"/>
        <v>1.8023523602461164</v>
      </c>
    </row>
    <row r="9" spans="2:13" ht="22.5" customHeight="1">
      <c r="B9" s="32" t="s">
        <v>19</v>
      </c>
      <c r="C9" s="24">
        <f>22968558443.33</f>
        <v>22968558443.33</v>
      </c>
      <c r="D9" s="24">
        <f>4928884899</f>
        <v>4928884899</v>
      </c>
      <c r="E9" s="24">
        <f>4268437670.29</f>
        <v>4268437670.29</v>
      </c>
      <c r="F9" s="24">
        <f>0</f>
        <v>0</v>
      </c>
      <c r="G9" s="24">
        <f>0</f>
        <v>0</v>
      </c>
      <c r="H9" s="24">
        <f>0</f>
        <v>0</v>
      </c>
      <c r="I9" s="24">
        <f>0</f>
        <v>0</v>
      </c>
      <c r="J9" s="24">
        <f>0</f>
        <v>0</v>
      </c>
      <c r="K9" s="34">
        <f t="shared" si="0"/>
        <v>14.972503341014782</v>
      </c>
      <c r="L9" s="34">
        <f t="shared" si="1"/>
        <v>21.45926968451663</v>
      </c>
      <c r="M9" s="34">
        <f t="shared" si="2"/>
        <v>35.15810694118114</v>
      </c>
    </row>
    <row r="10" spans="2:13" ht="13.5" customHeight="1">
      <c r="B10" s="32" t="s">
        <v>20</v>
      </c>
      <c r="C10" s="24">
        <f>1527276783.94</f>
        <v>1527276783.94</v>
      </c>
      <c r="D10" s="24">
        <f>556833564.49</f>
        <v>556833564.49</v>
      </c>
      <c r="E10" s="24">
        <f>555882242.99</f>
        <v>555882242.99</v>
      </c>
      <c r="F10" s="24">
        <f>37035044.28</f>
        <v>37035044.28</v>
      </c>
      <c r="G10" s="24">
        <f>784943.28</f>
        <v>784943.28</v>
      </c>
      <c r="H10" s="24">
        <f>3372116.12</f>
        <v>3372116.12</v>
      </c>
      <c r="I10" s="24">
        <f>2016621.48</f>
        <v>2016621.48</v>
      </c>
      <c r="J10" s="24">
        <f>1481.4</f>
        <v>1481.4</v>
      </c>
      <c r="K10" s="34">
        <f t="shared" si="0"/>
        <v>1.6914966722812277</v>
      </c>
      <c r="L10" s="34">
        <f t="shared" si="1"/>
        <v>36.4592436908198</v>
      </c>
      <c r="M10" s="34">
        <f t="shared" si="2"/>
        <v>3.9719357237882424</v>
      </c>
    </row>
    <row r="11" spans="2:13" ht="13.5" customHeight="1">
      <c r="B11" s="32" t="s">
        <v>21</v>
      </c>
      <c r="C11" s="24">
        <f>13975028884.03</f>
        <v>13975028884.03</v>
      </c>
      <c r="D11" s="62">
        <f>4030791208.18</f>
        <v>4030791208.18</v>
      </c>
      <c r="E11" s="24">
        <f>4024575404.29</f>
        <v>4024575404.29</v>
      </c>
      <c r="F11" s="24">
        <f>521245009.26</f>
        <v>521245009.26</v>
      </c>
      <c r="G11" s="24">
        <f>175517808.27</f>
        <v>175517808.27</v>
      </c>
      <c r="H11" s="24">
        <f>14531327.32</f>
        <v>14531327.32</v>
      </c>
      <c r="I11" s="24">
        <f>48864914.58</f>
        <v>48864914.58</v>
      </c>
      <c r="J11" s="24">
        <f>234344.5</f>
        <v>234344.5</v>
      </c>
      <c r="K11" s="34">
        <f t="shared" si="0"/>
        <v>12.244358727803204</v>
      </c>
      <c r="L11" s="34">
        <f t="shared" si="1"/>
        <v>28.842811285965904</v>
      </c>
      <c r="M11" s="34">
        <f t="shared" si="2"/>
        <v>28.751937052439</v>
      </c>
    </row>
    <row r="12" spans="2:13" ht="13.5" customHeight="1">
      <c r="B12" s="32" t="s">
        <v>22</v>
      </c>
      <c r="C12" s="24">
        <f>294029204.62</f>
        <v>294029204.62</v>
      </c>
      <c r="D12" s="62">
        <f>93299468.64</f>
        <v>93299468.64</v>
      </c>
      <c r="E12" s="24">
        <f>93125742.11</f>
        <v>93125742.11</v>
      </c>
      <c r="F12" s="24">
        <f>390971.49</f>
        <v>390971.49</v>
      </c>
      <c r="G12" s="24">
        <f>164746.8</f>
        <v>164746.8</v>
      </c>
      <c r="H12" s="24">
        <f>55194.4</f>
        <v>55194.4</v>
      </c>
      <c r="I12" s="24">
        <f>26319.25</f>
        <v>26319.25</v>
      </c>
      <c r="J12" s="24">
        <f>56.81</f>
        <v>56.81</v>
      </c>
      <c r="K12" s="34">
        <f t="shared" si="0"/>
        <v>0.28341635776699114</v>
      </c>
      <c r="L12" s="34">
        <f t="shared" si="1"/>
        <v>31.73136109407199</v>
      </c>
      <c r="M12" s="34">
        <f t="shared" si="2"/>
        <v>0.6655121316925068</v>
      </c>
    </row>
    <row r="13" spans="2:13" ht="22.5" customHeight="1">
      <c r="B13" s="32" t="s">
        <v>23</v>
      </c>
      <c r="C13" s="24">
        <f>795099072.21</f>
        <v>795099072.21</v>
      </c>
      <c r="D13" s="62">
        <f>355850708.7</f>
        <v>355850708.7</v>
      </c>
      <c r="E13" s="24">
        <f>355562186.57</f>
        <v>355562186.57</v>
      </c>
      <c r="F13" s="24">
        <f>196384802.69</f>
        <v>196384802.69</v>
      </c>
      <c r="G13" s="24">
        <f>898936.16</f>
        <v>898936.16</v>
      </c>
      <c r="H13" s="24">
        <f>922960.06</f>
        <v>922960.06</v>
      </c>
      <c r="I13" s="24">
        <f>6724390.75</f>
        <v>6724390.75</v>
      </c>
      <c r="J13" s="24">
        <f>3767.25</f>
        <v>3767.25</v>
      </c>
      <c r="K13" s="34">
        <f t="shared" si="0"/>
        <v>1.0809698408648574</v>
      </c>
      <c r="L13" s="34">
        <f t="shared" si="1"/>
        <v>44.75551804014851</v>
      </c>
      <c r="M13" s="34">
        <f t="shared" si="2"/>
        <v>2.5383098871121956</v>
      </c>
    </row>
    <row r="14" spans="2:13" ht="33" customHeight="1">
      <c r="B14" s="32" t="s">
        <v>46</v>
      </c>
      <c r="C14" s="24">
        <f>38564657.12</f>
        <v>38564657.12</v>
      </c>
      <c r="D14" s="62">
        <f>4944033.01</f>
        <v>4944033.01</v>
      </c>
      <c r="E14" s="24">
        <f>4803176.71</f>
        <v>4803176.71</v>
      </c>
      <c r="F14" s="24">
        <f>0</f>
        <v>0</v>
      </c>
      <c r="G14" s="24">
        <f>0</f>
        <v>0</v>
      </c>
      <c r="H14" s="24">
        <f>61756.5</f>
        <v>61756.5</v>
      </c>
      <c r="I14" s="24">
        <f>39025.3</f>
        <v>39025.3</v>
      </c>
      <c r="J14" s="24">
        <f>0</f>
        <v>0</v>
      </c>
      <c r="K14" s="34">
        <f t="shared" si="0"/>
        <v>0.015018518849026255</v>
      </c>
      <c r="L14" s="34">
        <f t="shared" si="1"/>
        <v>12.820114009093517</v>
      </c>
      <c r="M14" s="34">
        <f t="shared" si="2"/>
        <v>0.03526615955701782</v>
      </c>
    </row>
    <row r="15" spans="2:13" ht="22.5" customHeight="1">
      <c r="B15" s="32" t="s">
        <v>28</v>
      </c>
      <c r="C15" s="24">
        <f>104208015.38</f>
        <v>104208015.38</v>
      </c>
      <c r="D15" s="62">
        <f>32844428.79</f>
        <v>32844428.79</v>
      </c>
      <c r="E15" s="24">
        <f>32519226.71</f>
        <v>32519226.71</v>
      </c>
      <c r="F15" s="24">
        <f>0</f>
        <v>0</v>
      </c>
      <c r="G15" s="24">
        <f>11300.5</f>
        <v>11300.5</v>
      </c>
      <c r="H15" s="24">
        <f>1084741.56</f>
        <v>1084741.56</v>
      </c>
      <c r="I15" s="24">
        <f>2235325.37</f>
        <v>2235325.37</v>
      </c>
      <c r="J15" s="24">
        <f>0</f>
        <v>0</v>
      </c>
      <c r="K15" s="34">
        <f t="shared" si="0"/>
        <v>0.09977171913504591</v>
      </c>
      <c r="L15" s="34">
        <f t="shared" si="1"/>
        <v>31.518140586624806</v>
      </c>
      <c r="M15" s="34">
        <f t="shared" si="2"/>
        <v>0.23428178248899875</v>
      </c>
    </row>
    <row r="16" spans="2:13" ht="22.5" customHeight="1">
      <c r="B16" s="32" t="s">
        <v>29</v>
      </c>
      <c r="C16" s="24">
        <f>973837267.94</f>
        <v>973837267.94</v>
      </c>
      <c r="D16" s="62">
        <f>295718150.82</f>
        <v>295718150.82</v>
      </c>
      <c r="E16" s="24">
        <f>297459661.56</f>
        <v>297459661.56</v>
      </c>
      <c r="F16" s="24">
        <f>0</f>
        <v>0</v>
      </c>
      <c r="G16" s="24">
        <f>0</f>
        <v>0</v>
      </c>
      <c r="H16" s="24">
        <f>12601.51</f>
        <v>12601.51</v>
      </c>
      <c r="I16" s="24">
        <f>203305.48</f>
        <v>203305.48</v>
      </c>
      <c r="J16" s="24">
        <f>0</f>
        <v>0</v>
      </c>
      <c r="K16" s="34">
        <f t="shared" si="0"/>
        <v>0.8983048076552707</v>
      </c>
      <c r="L16" s="34">
        <f t="shared" si="1"/>
        <v>30.366279927399507</v>
      </c>
      <c r="M16" s="34">
        <f t="shared" si="2"/>
        <v>2.1093798260712626</v>
      </c>
    </row>
    <row r="17" spans="2:13" ht="13.5" customHeight="1">
      <c r="B17" s="32" t="s">
        <v>30</v>
      </c>
      <c r="C17" s="24">
        <f>172060155.99</f>
        <v>172060155.99</v>
      </c>
      <c r="D17" s="62">
        <f>47198768.03</f>
        <v>47198768.03</v>
      </c>
      <c r="E17" s="24">
        <f>46890050.65</f>
        <v>46890050.65</v>
      </c>
      <c r="F17" s="24">
        <f>0</f>
        <v>0</v>
      </c>
      <c r="G17" s="24">
        <f>0</f>
        <v>0</v>
      </c>
      <c r="H17" s="24">
        <f>396</f>
        <v>396</v>
      </c>
      <c r="I17" s="24">
        <f>4351</f>
        <v>4351</v>
      </c>
      <c r="J17" s="24">
        <f>0</f>
        <v>0</v>
      </c>
      <c r="K17" s="34">
        <f t="shared" si="0"/>
        <v>0.1433759818908193</v>
      </c>
      <c r="L17" s="34">
        <f t="shared" si="1"/>
        <v>27.431550179893566</v>
      </c>
      <c r="M17" s="34">
        <f t="shared" si="2"/>
        <v>0.3366723646209336</v>
      </c>
    </row>
    <row r="18" spans="2:13" ht="22.5" customHeight="1">
      <c r="B18" s="32" t="s">
        <v>31</v>
      </c>
      <c r="C18" s="24">
        <f>382111055.27</f>
        <v>382111055.27</v>
      </c>
      <c r="D18" s="62">
        <f>190147906.36</f>
        <v>190147906.36</v>
      </c>
      <c r="E18" s="24">
        <f>190018322.95</f>
        <v>190018322.95</v>
      </c>
      <c r="F18" s="24">
        <f>0</f>
        <v>0</v>
      </c>
      <c r="G18" s="24">
        <f>314880.4</f>
        <v>314880.4</v>
      </c>
      <c r="H18" s="24">
        <f>0</f>
        <v>0</v>
      </c>
      <c r="I18" s="24">
        <f>505612.91</f>
        <v>505612.91</v>
      </c>
      <c r="J18" s="24">
        <f>0</f>
        <v>0</v>
      </c>
      <c r="K18" s="34">
        <f t="shared" si="0"/>
        <v>0.577613440281326</v>
      </c>
      <c r="L18" s="34">
        <f t="shared" si="1"/>
        <v>49.762471861914946</v>
      </c>
      <c r="M18" s="34">
        <f t="shared" si="2"/>
        <v>1.356339326934357</v>
      </c>
    </row>
    <row r="19" spans="2:13" ht="13.5" customHeight="1">
      <c r="B19" s="32" t="s">
        <v>32</v>
      </c>
      <c r="C19" s="24">
        <f>119918054.8</f>
        <v>119918054.8</v>
      </c>
      <c r="D19" s="62">
        <f>16718488.71</f>
        <v>16718488.71</v>
      </c>
      <c r="E19" s="24">
        <f>16691154.91</f>
        <v>16691154.91</v>
      </c>
      <c r="F19" s="24">
        <f>188287.4</f>
        <v>188287.4</v>
      </c>
      <c r="G19" s="24">
        <f>0</f>
        <v>0</v>
      </c>
      <c r="H19" s="24">
        <f>22</f>
        <v>22</v>
      </c>
      <c r="I19" s="24">
        <f>0</f>
        <v>0</v>
      </c>
      <c r="J19" s="24">
        <f>0</f>
        <v>0</v>
      </c>
      <c r="K19" s="34">
        <f t="shared" si="0"/>
        <v>0.05078585383845721</v>
      </c>
      <c r="L19" s="34">
        <f t="shared" si="1"/>
        <v>13.941594314453473</v>
      </c>
      <c r="M19" s="34">
        <f t="shared" si="2"/>
        <v>0.11925423823152448</v>
      </c>
    </row>
    <row r="20" spans="2:13" ht="13.5" customHeight="1">
      <c r="B20" s="32" t="s">
        <v>24</v>
      </c>
      <c r="C20" s="24">
        <f>3688665232.88</f>
        <v>3688665232.88</v>
      </c>
      <c r="D20" s="62">
        <f>633517027.03</f>
        <v>633517027.03</v>
      </c>
      <c r="E20" s="24">
        <f>629467047.65</f>
        <v>629467047.65</v>
      </c>
      <c r="F20" s="24">
        <f>0</f>
        <v>0</v>
      </c>
      <c r="G20" s="24">
        <f>4344.15</f>
        <v>4344.15</v>
      </c>
      <c r="H20" s="24">
        <f>0</f>
        <v>0</v>
      </c>
      <c r="I20" s="24">
        <f>156011.8</f>
        <v>156011.8</v>
      </c>
      <c r="J20" s="24">
        <f>0</f>
        <v>0</v>
      </c>
      <c r="K20" s="34">
        <f t="shared" si="0"/>
        <v>1.9244384882513417</v>
      </c>
      <c r="L20" s="34">
        <f t="shared" si="1"/>
        <v>17.17469564282928</v>
      </c>
      <c r="M20" s="34">
        <f t="shared" si="2"/>
        <v>4.518924633419378</v>
      </c>
    </row>
    <row r="21" spans="2:13" ht="13.5" customHeight="1">
      <c r="B21" s="32" t="s">
        <v>25</v>
      </c>
      <c r="C21" s="24">
        <f>C7-C8-C9-C10-C11-C12-C13-C14-C15-C16-C17-C18-C19-C20</f>
        <v>9823092972.23999</v>
      </c>
      <c r="D21" s="24">
        <f aca="true" t="shared" si="3" ref="D21:J21">D7-D8-D9-D10-D11-D12-D13-D14-D15-D16-D17-D18-D19-D20</f>
        <v>2579774767.109997</v>
      </c>
      <c r="E21" s="24">
        <f t="shared" si="3"/>
        <v>2572018107.8799996</v>
      </c>
      <c r="F21" s="24">
        <f t="shared" si="3"/>
        <v>3967024.6000000597</v>
      </c>
      <c r="G21" s="24">
        <f t="shared" si="3"/>
        <v>1042492.8899999761</v>
      </c>
      <c r="H21" s="24">
        <f t="shared" si="3"/>
        <v>2108998.859999997</v>
      </c>
      <c r="I21" s="24">
        <f t="shared" si="3"/>
        <v>5042264.530000008</v>
      </c>
      <c r="J21" s="24">
        <f t="shared" si="3"/>
        <v>531600.7999999999</v>
      </c>
      <c r="K21" s="34">
        <f t="shared" si="0"/>
        <v>7.836597346279411</v>
      </c>
      <c r="L21" s="34">
        <f t="shared" si="1"/>
        <v>26.26234704690699</v>
      </c>
      <c r="M21" s="34">
        <f t="shared" si="2"/>
        <v>18.401727572217332</v>
      </c>
    </row>
    <row r="22" spans="2:13" ht="26.25" customHeight="1">
      <c r="B22" s="82" t="s">
        <v>69</v>
      </c>
      <c r="C22" s="49">
        <f>C23+C36+C38</f>
        <v>39496862991.55</v>
      </c>
      <c r="D22" s="49">
        <f>D23+D36+D38</f>
        <v>8618079568.19</v>
      </c>
      <c r="E22" s="49">
        <f>E23+E36+E38</f>
        <v>8587411130.73</v>
      </c>
      <c r="F22" s="41" t="s">
        <v>60</v>
      </c>
      <c r="G22" s="41" t="s">
        <v>60</v>
      </c>
      <c r="H22" s="41" t="s">
        <v>60</v>
      </c>
      <c r="I22" s="41" t="s">
        <v>60</v>
      </c>
      <c r="J22" s="41" t="s">
        <v>60</v>
      </c>
      <c r="K22" s="50">
        <f t="shared" si="0"/>
        <v>26.17919220512437</v>
      </c>
      <c r="L22" s="50">
        <f t="shared" si="1"/>
        <v>21.81965582946109</v>
      </c>
      <c r="M22" s="28"/>
    </row>
    <row r="23" spans="2:13" ht="25.5" customHeight="1">
      <c r="B23" s="82" t="s">
        <v>62</v>
      </c>
      <c r="C23" s="49">
        <f>C24+C26+C28+C30+C32+C34</f>
        <v>29003527558.3</v>
      </c>
      <c r="D23" s="49">
        <f>D24+D26+D28+D30+D32+D34</f>
        <v>7421115873.150001</v>
      </c>
      <c r="E23" s="49">
        <f>E24+E26+E28+E30+E32+E34</f>
        <v>7401078574.179999</v>
      </c>
      <c r="F23" s="41" t="s">
        <v>60</v>
      </c>
      <c r="G23" s="41" t="s">
        <v>60</v>
      </c>
      <c r="H23" s="41" t="s">
        <v>60</v>
      </c>
      <c r="I23" s="41" t="s">
        <v>60</v>
      </c>
      <c r="J23" s="41" t="s">
        <v>60</v>
      </c>
      <c r="K23" s="50">
        <f t="shared" si="0"/>
        <v>22.543168380202868</v>
      </c>
      <c r="L23" s="50">
        <f t="shared" si="1"/>
        <v>25.586942340833588</v>
      </c>
      <c r="M23" s="28"/>
    </row>
    <row r="24" spans="2:13" ht="22.5" customHeight="1">
      <c r="B24" s="32" t="s">
        <v>9</v>
      </c>
      <c r="C24" s="24">
        <f>25086266220.69</f>
        <v>25086266220.69</v>
      </c>
      <c r="D24" s="24">
        <f>6847991855.46</f>
        <v>6847991855.46</v>
      </c>
      <c r="E24" s="24">
        <f>6831096444.64</f>
        <v>6831096444.64</v>
      </c>
      <c r="F24" s="24" t="s">
        <v>60</v>
      </c>
      <c r="G24" s="24" t="s">
        <v>60</v>
      </c>
      <c r="H24" s="24" t="s">
        <v>60</v>
      </c>
      <c r="I24" s="24" t="s">
        <v>60</v>
      </c>
      <c r="J24" s="24" t="s">
        <v>60</v>
      </c>
      <c r="K24" s="34">
        <f t="shared" si="0"/>
        <v>20.802186100129678</v>
      </c>
      <c r="L24" s="34">
        <f t="shared" si="1"/>
        <v>27.297772395527282</v>
      </c>
      <c r="M24" s="28"/>
    </row>
    <row r="25" spans="2:13" ht="13.5" customHeight="1">
      <c r="B25" s="63" t="s">
        <v>6</v>
      </c>
      <c r="C25" s="24">
        <f>1113800</f>
        <v>1113800</v>
      </c>
      <c r="D25" s="24">
        <f>36900</f>
        <v>36900</v>
      </c>
      <c r="E25" s="24">
        <f>36900</f>
        <v>36900</v>
      </c>
      <c r="F25" s="24" t="s">
        <v>60</v>
      </c>
      <c r="G25" s="24" t="s">
        <v>60</v>
      </c>
      <c r="H25" s="24" t="s">
        <v>60</v>
      </c>
      <c r="I25" s="24" t="s">
        <v>60</v>
      </c>
      <c r="J25" s="24" t="s">
        <v>60</v>
      </c>
      <c r="K25" s="34">
        <f t="shared" si="0"/>
        <v>0.00011209135222361083</v>
      </c>
      <c r="L25" s="34">
        <f t="shared" si="1"/>
        <v>3.3129825821511942</v>
      </c>
      <c r="M25" s="28"/>
    </row>
    <row r="26" spans="2:13" ht="13.5" customHeight="1">
      <c r="B26" s="32" t="s">
        <v>7</v>
      </c>
      <c r="C26" s="24">
        <f>3028477571.03</f>
        <v>3028477571.03</v>
      </c>
      <c r="D26" s="24">
        <f>466070494.11</f>
        <v>466070494.11</v>
      </c>
      <c r="E26" s="24">
        <f>463902037.94</f>
        <v>463902037.94</v>
      </c>
      <c r="F26" s="24" t="s">
        <v>60</v>
      </c>
      <c r="G26" s="24" t="s">
        <v>60</v>
      </c>
      <c r="H26" s="24" t="s">
        <v>60</v>
      </c>
      <c r="I26" s="24" t="s">
        <v>60</v>
      </c>
      <c r="J26" s="24" t="s">
        <v>60</v>
      </c>
      <c r="K26" s="34">
        <f t="shared" si="0"/>
        <v>1.4157851467836409</v>
      </c>
      <c r="L26" s="34">
        <f t="shared" si="1"/>
        <v>15.389597022885896</v>
      </c>
      <c r="M26" s="28"/>
    </row>
    <row r="27" spans="2:13" ht="13.5" customHeight="1">
      <c r="B27" s="63" t="s">
        <v>6</v>
      </c>
      <c r="C27" s="24">
        <f>701674355.32</f>
        <v>701674355.32</v>
      </c>
      <c r="D27" s="24">
        <f>6526478.98</f>
        <v>6526478.98</v>
      </c>
      <c r="E27" s="24">
        <f>6524265.26</f>
        <v>6524265.26</v>
      </c>
      <c r="F27" s="24" t="s">
        <v>60</v>
      </c>
      <c r="G27" s="24" t="s">
        <v>60</v>
      </c>
      <c r="H27" s="24" t="s">
        <v>60</v>
      </c>
      <c r="I27" s="24" t="s">
        <v>60</v>
      </c>
      <c r="J27" s="24" t="s">
        <v>60</v>
      </c>
      <c r="K27" s="34">
        <f t="shared" si="0"/>
        <v>0.01982552450209139</v>
      </c>
      <c r="L27" s="34">
        <f t="shared" si="1"/>
        <v>0.9301293300114389</v>
      </c>
      <c r="M27" s="28"/>
    </row>
    <row r="28" spans="2:13" ht="33" customHeight="1">
      <c r="B28" s="32" t="s">
        <v>10</v>
      </c>
      <c r="C28" s="24">
        <f>13475420.5</f>
        <v>13475420.5</v>
      </c>
      <c r="D28" s="24">
        <f>1032467.6</f>
        <v>1032467.6</v>
      </c>
      <c r="E28" s="24">
        <f>1010583.87</f>
        <v>1010583.87</v>
      </c>
      <c r="F28" s="24" t="s">
        <v>60</v>
      </c>
      <c r="G28" s="24" t="s">
        <v>60</v>
      </c>
      <c r="H28" s="24" t="s">
        <v>60</v>
      </c>
      <c r="I28" s="24" t="s">
        <v>60</v>
      </c>
      <c r="J28" s="24" t="s">
        <v>60</v>
      </c>
      <c r="K28" s="34">
        <f t="shared" si="0"/>
        <v>0.0031363330463703557</v>
      </c>
      <c r="L28" s="34">
        <f t="shared" si="1"/>
        <v>7.661858121607411</v>
      </c>
      <c r="M28" s="28"/>
    </row>
    <row r="29" spans="2:13" ht="13.5" customHeight="1">
      <c r="B29" s="63" t="s">
        <v>6</v>
      </c>
      <c r="C29" s="24">
        <f>8170355</f>
        <v>8170355</v>
      </c>
      <c r="D29" s="24">
        <f>296813.69</f>
        <v>296813.69</v>
      </c>
      <c r="E29" s="24">
        <f>296813.69</f>
        <v>296813.69</v>
      </c>
      <c r="F29" s="24" t="s">
        <v>60</v>
      </c>
      <c r="G29" s="24" t="s">
        <v>60</v>
      </c>
      <c r="H29" s="24" t="s">
        <v>60</v>
      </c>
      <c r="I29" s="24" t="s">
        <v>60</v>
      </c>
      <c r="J29" s="24" t="s">
        <v>60</v>
      </c>
      <c r="K29" s="34">
        <f t="shared" si="0"/>
        <v>0.0009016327336200444</v>
      </c>
      <c r="L29" s="34">
        <f t="shared" si="1"/>
        <v>3.632812650123526</v>
      </c>
      <c r="M29" s="28"/>
    </row>
    <row r="30" spans="2:13" ht="33.75">
      <c r="B30" s="32" t="s">
        <v>11</v>
      </c>
      <c r="C30" s="24">
        <f>518478122.72</f>
        <v>518478122.72</v>
      </c>
      <c r="D30" s="24">
        <f>77071334.35</f>
        <v>77071334.35</v>
      </c>
      <c r="E30" s="24">
        <f>77062045.23</f>
        <v>77062045.23</v>
      </c>
      <c r="F30" s="24" t="s">
        <v>60</v>
      </c>
      <c r="G30" s="24" t="s">
        <v>60</v>
      </c>
      <c r="H30" s="24" t="s">
        <v>60</v>
      </c>
      <c r="I30" s="24" t="s">
        <v>60</v>
      </c>
      <c r="J30" s="24" t="s">
        <v>60</v>
      </c>
      <c r="K30" s="34">
        <f t="shared" si="0"/>
        <v>0.23412005650323917</v>
      </c>
      <c r="L30" s="34">
        <f t="shared" si="1"/>
        <v>14.86491540774648</v>
      </c>
      <c r="M30" s="28"/>
    </row>
    <row r="31" spans="2:13" ht="12.75">
      <c r="B31" s="63" t="s">
        <v>6</v>
      </c>
      <c r="C31" s="24">
        <f>254884143.58</f>
        <v>254884143.58</v>
      </c>
      <c r="D31" s="24">
        <f>9197918.48</f>
        <v>9197918.48</v>
      </c>
      <c r="E31" s="24">
        <f>9192395.85</f>
        <v>9192395.85</v>
      </c>
      <c r="F31" s="24" t="s">
        <v>60</v>
      </c>
      <c r="G31" s="24" t="s">
        <v>60</v>
      </c>
      <c r="H31" s="24" t="s">
        <v>60</v>
      </c>
      <c r="I31" s="24" t="s">
        <v>60</v>
      </c>
      <c r="J31" s="24" t="s">
        <v>60</v>
      </c>
      <c r="K31" s="34">
        <f t="shared" si="0"/>
        <v>0.027940572359505124</v>
      </c>
      <c r="L31" s="34">
        <f t="shared" si="1"/>
        <v>3.60866641243733</v>
      </c>
      <c r="M31" s="28"/>
    </row>
    <row r="32" spans="2:13" ht="45">
      <c r="B32" s="32" t="s">
        <v>79</v>
      </c>
      <c r="C32" s="24">
        <f>124511682.62</f>
        <v>124511682.62</v>
      </c>
      <c r="D32" s="24">
        <f>9815366.89</f>
        <v>9815366.89</v>
      </c>
      <c r="E32" s="24">
        <f>9815075.87</f>
        <v>9815075.87</v>
      </c>
      <c r="F32" s="24" t="s">
        <v>60</v>
      </c>
      <c r="G32" s="24" t="s">
        <v>60</v>
      </c>
      <c r="H32" s="24" t="s">
        <v>60</v>
      </c>
      <c r="I32" s="24" t="s">
        <v>60</v>
      </c>
      <c r="J32" s="24" t="s">
        <v>60</v>
      </c>
      <c r="K32" s="34">
        <f t="shared" si="0"/>
        <v>0.02981619911303408</v>
      </c>
      <c r="L32" s="34">
        <f t="shared" si="1"/>
        <v>7.883089107353675</v>
      </c>
      <c r="M32" s="28"/>
    </row>
    <row r="33" spans="2:13" ht="12.75">
      <c r="B33" s="63" t="s">
        <v>6</v>
      </c>
      <c r="C33" s="24">
        <f>109377608.54</f>
        <v>109377608.54</v>
      </c>
      <c r="D33" s="24">
        <f>5343594.52</f>
        <v>5343594.52</v>
      </c>
      <c r="E33" s="24">
        <f>5343594.52</f>
        <v>5343594.52</v>
      </c>
      <c r="F33" s="24" t="s">
        <v>60</v>
      </c>
      <c r="G33" s="24" t="s">
        <v>60</v>
      </c>
      <c r="H33" s="24" t="s">
        <v>60</v>
      </c>
      <c r="I33" s="24" t="s">
        <v>60</v>
      </c>
      <c r="J33" s="24" t="s">
        <v>60</v>
      </c>
      <c r="K33" s="34">
        <f t="shared" si="0"/>
        <v>0.016232269254240556</v>
      </c>
      <c r="L33" s="34">
        <f t="shared" si="1"/>
        <v>4.885455616855818</v>
      </c>
      <c r="M33" s="28"/>
    </row>
    <row r="34" spans="2:13" ht="22.5">
      <c r="B34" s="32" t="s">
        <v>8</v>
      </c>
      <c r="C34" s="24">
        <f>232318540.74</f>
        <v>232318540.74</v>
      </c>
      <c r="D34" s="24">
        <f>19134354.74</f>
        <v>19134354.74</v>
      </c>
      <c r="E34" s="24">
        <f>18192386.63</f>
        <v>18192386.63</v>
      </c>
      <c r="F34" s="24" t="s">
        <v>60</v>
      </c>
      <c r="G34" s="24" t="s">
        <v>60</v>
      </c>
      <c r="H34" s="24" t="s">
        <v>60</v>
      </c>
      <c r="I34" s="24" t="s">
        <v>60</v>
      </c>
      <c r="J34" s="24" t="s">
        <v>60</v>
      </c>
      <c r="K34" s="34">
        <f t="shared" si="0"/>
        <v>0.05812454462690669</v>
      </c>
      <c r="L34" s="34">
        <f t="shared" si="1"/>
        <v>8.236258147563982</v>
      </c>
      <c r="M34" s="28"/>
    </row>
    <row r="35" spans="2:13" ht="12.75">
      <c r="B35" s="31" t="s">
        <v>6</v>
      </c>
      <c r="C35" s="22">
        <f>213449555.73</f>
        <v>213449555.73</v>
      </c>
      <c r="D35" s="22">
        <f>14239352.66</f>
        <v>14239352.66</v>
      </c>
      <c r="E35" s="22">
        <f>13317615.92</f>
        <v>13317615.92</v>
      </c>
      <c r="F35" s="24" t="s">
        <v>60</v>
      </c>
      <c r="G35" s="24" t="s">
        <v>60</v>
      </c>
      <c r="H35" s="24" t="s">
        <v>60</v>
      </c>
      <c r="I35" s="24" t="s">
        <v>60</v>
      </c>
      <c r="J35" s="24" t="s">
        <v>60</v>
      </c>
      <c r="K35" s="34">
        <f t="shared" si="0"/>
        <v>0.043254967329221405</v>
      </c>
      <c r="L35" s="34">
        <f t="shared" si="1"/>
        <v>6.67106221481757</v>
      </c>
      <c r="M35" s="28"/>
    </row>
    <row r="36" spans="2:13" ht="12.75">
      <c r="B36" s="82" t="s">
        <v>107</v>
      </c>
      <c r="C36" s="49">
        <f>1741042652.18</f>
        <v>1741042652.18</v>
      </c>
      <c r="D36" s="49">
        <f>163202964.85</f>
        <v>163202964.85</v>
      </c>
      <c r="E36" s="49">
        <f>162409557.78</f>
        <v>162409557.78</v>
      </c>
      <c r="F36" s="41" t="s">
        <v>60</v>
      </c>
      <c r="G36" s="41" t="s">
        <v>60</v>
      </c>
      <c r="H36" s="41" t="s">
        <v>60</v>
      </c>
      <c r="I36" s="41" t="s">
        <v>60</v>
      </c>
      <c r="J36" s="41" t="s">
        <v>60</v>
      </c>
      <c r="K36" s="50">
        <f t="shared" si="0"/>
        <v>0.49576262918533676</v>
      </c>
      <c r="L36" s="50">
        <f t="shared" si="1"/>
        <v>9.373863681377925</v>
      </c>
      <c r="M36" s="28"/>
    </row>
    <row r="37" spans="2:13" ht="13.5" customHeight="1">
      <c r="B37" s="31" t="s">
        <v>108</v>
      </c>
      <c r="C37" s="22">
        <f>1587188876.48</f>
        <v>1587188876.48</v>
      </c>
      <c r="D37" s="22">
        <f>125873045.64</f>
        <v>125873045.64</v>
      </c>
      <c r="E37" s="22">
        <f>125841245.86</f>
        <v>125841245.86</v>
      </c>
      <c r="F37" s="24" t="s">
        <v>60</v>
      </c>
      <c r="G37" s="24" t="s">
        <v>60</v>
      </c>
      <c r="H37" s="24" t="s">
        <v>60</v>
      </c>
      <c r="I37" s="24" t="s">
        <v>60</v>
      </c>
      <c r="J37" s="24" t="s">
        <v>60</v>
      </c>
      <c r="K37" s="34">
        <f t="shared" si="0"/>
        <v>0.38236530878839786</v>
      </c>
      <c r="L37" s="34">
        <f t="shared" si="1"/>
        <v>7.930565007433513</v>
      </c>
      <c r="M37" s="28"/>
    </row>
    <row r="38" spans="2:13" ht="13.5" customHeight="1">
      <c r="B38" s="82" t="s">
        <v>109</v>
      </c>
      <c r="C38" s="41">
        <f>8752292781.07</f>
        <v>8752292781.07</v>
      </c>
      <c r="D38" s="41">
        <f>1033760730.19</f>
        <v>1033760730.19</v>
      </c>
      <c r="E38" s="41">
        <f>1023922998.77</f>
        <v>1023922998.77</v>
      </c>
      <c r="F38" s="41" t="s">
        <v>60</v>
      </c>
      <c r="G38" s="41" t="s">
        <v>60</v>
      </c>
      <c r="H38" s="41" t="s">
        <v>60</v>
      </c>
      <c r="I38" s="41" t="s">
        <v>60</v>
      </c>
      <c r="J38" s="41" t="s">
        <v>60</v>
      </c>
      <c r="K38" s="64">
        <f t="shared" si="0"/>
        <v>3.140261195736163</v>
      </c>
      <c r="L38" s="64">
        <f t="shared" si="1"/>
        <v>11.811313401510992</v>
      </c>
      <c r="M38" s="28"/>
    </row>
    <row r="39" spans="2:13" ht="13.5" customHeight="1">
      <c r="B39" s="31" t="s">
        <v>110</v>
      </c>
      <c r="C39" s="22">
        <f>8072344171.03</f>
        <v>8072344171.03</v>
      </c>
      <c r="D39" s="22">
        <f>822644426.16</f>
        <v>822644426.16</v>
      </c>
      <c r="E39" s="22">
        <f>819962391.28</f>
        <v>819962391.28</v>
      </c>
      <c r="F39" s="24" t="s">
        <v>60</v>
      </c>
      <c r="G39" s="24" t="s">
        <v>60</v>
      </c>
      <c r="H39" s="24" t="s">
        <v>60</v>
      </c>
      <c r="I39" s="24" t="s">
        <v>60</v>
      </c>
      <c r="J39" s="24" t="s">
        <v>60</v>
      </c>
      <c r="K39" s="34">
        <f t="shared" si="0"/>
        <v>2.4989519275742755</v>
      </c>
      <c r="L39" s="34">
        <f t="shared" si="1"/>
        <v>10.190898811181805</v>
      </c>
      <c r="M39" s="28"/>
    </row>
    <row r="40" spans="2:13" s="5" customFormat="1" ht="25.5" customHeight="1">
      <c r="B40" s="82" t="s">
        <v>63</v>
      </c>
      <c r="C40" s="25">
        <f>C41+C42+C43+C44+C45</f>
        <v>29644469702</v>
      </c>
      <c r="D40" s="25">
        <f>D41+D42+D43+D44+D45</f>
        <v>10282299540</v>
      </c>
      <c r="E40" s="25">
        <f>E41+E42+E43+E44+E45</f>
        <v>8743153723.08</v>
      </c>
      <c r="F40" s="23" t="s">
        <v>60</v>
      </c>
      <c r="G40" s="23" t="s">
        <v>60</v>
      </c>
      <c r="H40" s="23" t="s">
        <v>60</v>
      </c>
      <c r="I40" s="23" t="s">
        <v>60</v>
      </c>
      <c r="J40" s="23" t="s">
        <v>60</v>
      </c>
      <c r="K40" s="33">
        <f t="shared" si="0"/>
        <v>31.234603235956953</v>
      </c>
      <c r="L40" s="33">
        <f t="shared" si="1"/>
        <v>34.685388685857625</v>
      </c>
      <c r="M40" s="29"/>
    </row>
    <row r="41" spans="2:13" ht="13.5" customHeight="1">
      <c r="B41" s="20" t="s">
        <v>50</v>
      </c>
      <c r="C41" s="22">
        <f>7958908255</f>
        <v>7958908255</v>
      </c>
      <c r="D41" s="22">
        <f>1990331691</f>
        <v>1990331691</v>
      </c>
      <c r="E41" s="22">
        <f>1989083269</f>
        <v>1989083269</v>
      </c>
      <c r="F41" s="24" t="s">
        <v>60</v>
      </c>
      <c r="G41" s="24" t="s">
        <v>60</v>
      </c>
      <c r="H41" s="24" t="s">
        <v>60</v>
      </c>
      <c r="I41" s="24" t="s">
        <v>60</v>
      </c>
      <c r="J41" s="24" t="s">
        <v>60</v>
      </c>
      <c r="K41" s="34">
        <f t="shared" si="0"/>
        <v>6.046042564165202</v>
      </c>
      <c r="L41" s="34">
        <f t="shared" si="1"/>
        <v>25.00759686166278</v>
      </c>
      <c r="M41" s="28"/>
    </row>
    <row r="42" spans="2:13" ht="13.5" customHeight="1">
      <c r="B42" s="32" t="s">
        <v>49</v>
      </c>
      <c r="C42" s="24">
        <f>21348853293</f>
        <v>21348853293</v>
      </c>
      <c r="D42" s="24">
        <f>8207675120</f>
        <v>8207675120</v>
      </c>
      <c r="E42" s="24">
        <f>6669790259.08</f>
        <v>6669790259.08</v>
      </c>
      <c r="F42" s="24" t="s">
        <v>60</v>
      </c>
      <c r="G42" s="24" t="s">
        <v>60</v>
      </c>
      <c r="H42" s="24" t="s">
        <v>60</v>
      </c>
      <c r="I42" s="24" t="s">
        <v>60</v>
      </c>
      <c r="J42" s="24" t="s">
        <v>60</v>
      </c>
      <c r="K42" s="34">
        <f t="shared" si="0"/>
        <v>24.93250414127066</v>
      </c>
      <c r="L42" s="34">
        <f t="shared" si="1"/>
        <v>38.44550809055016</v>
      </c>
      <c r="M42" s="28"/>
    </row>
    <row r="43" spans="2:13" ht="13.5" customHeight="1">
      <c r="B43" s="32" t="s">
        <v>48</v>
      </c>
      <c r="C43" s="24">
        <f>275581</f>
        <v>275581</v>
      </c>
      <c r="D43" s="24">
        <f>0</f>
        <v>0</v>
      </c>
      <c r="E43" s="24">
        <f>0</f>
        <v>0</v>
      </c>
      <c r="F43" s="24" t="s">
        <v>60</v>
      </c>
      <c r="G43" s="24" t="s">
        <v>60</v>
      </c>
      <c r="H43" s="24" t="s">
        <v>60</v>
      </c>
      <c r="I43" s="24" t="s">
        <v>60</v>
      </c>
      <c r="J43" s="24" t="s">
        <v>60</v>
      </c>
      <c r="K43" s="34">
        <f t="shared" si="0"/>
        <v>0</v>
      </c>
      <c r="L43" s="34">
        <f t="shared" si="1"/>
        <v>0</v>
      </c>
      <c r="M43" s="28"/>
    </row>
    <row r="44" spans="2:13" ht="13.5" customHeight="1">
      <c r="B44" s="32" t="s">
        <v>47</v>
      </c>
      <c r="C44" s="24">
        <f>336430273</f>
        <v>336430273</v>
      </c>
      <c r="D44" s="24">
        <f>83678388</f>
        <v>83678388</v>
      </c>
      <c r="E44" s="24">
        <f>83665854</f>
        <v>83665854</v>
      </c>
      <c r="F44" s="24" t="s">
        <v>60</v>
      </c>
      <c r="G44" s="24" t="s">
        <v>60</v>
      </c>
      <c r="H44" s="24" t="s">
        <v>60</v>
      </c>
      <c r="I44" s="24" t="s">
        <v>60</v>
      </c>
      <c r="J44" s="24" t="s">
        <v>60</v>
      </c>
      <c r="K44" s="34">
        <f t="shared" si="0"/>
        <v>0.25419034316563605</v>
      </c>
      <c r="L44" s="34">
        <f t="shared" si="1"/>
        <v>24.872431144149743</v>
      </c>
      <c r="M44" s="28"/>
    </row>
    <row r="45" spans="2:13" s="5" customFormat="1" ht="22.5" customHeight="1">
      <c r="B45" s="32" t="s">
        <v>45</v>
      </c>
      <c r="C45" s="24">
        <f>2300</f>
        <v>2300</v>
      </c>
      <c r="D45" s="24">
        <f>614341</f>
        <v>614341</v>
      </c>
      <c r="E45" s="24">
        <f>614341</f>
        <v>614341</v>
      </c>
      <c r="F45" s="24" t="s">
        <v>60</v>
      </c>
      <c r="G45" s="24" t="s">
        <v>60</v>
      </c>
      <c r="H45" s="24" t="s">
        <v>60</v>
      </c>
      <c r="I45" s="24" t="s">
        <v>60</v>
      </c>
      <c r="J45" s="24" t="s">
        <v>60</v>
      </c>
      <c r="K45" s="34">
        <f t="shared" si="0"/>
        <v>0.0018661873554581382</v>
      </c>
      <c r="L45" s="34">
        <f t="shared" si="1"/>
        <v>26710.478260869564</v>
      </c>
      <c r="M45" s="29"/>
    </row>
    <row r="46" spans="1:13" s="5" customFormat="1" ht="9" customHeight="1">
      <c r="A46" s="2"/>
      <c r="B46" s="21"/>
      <c r="C46" s="7"/>
      <c r="D46" s="8"/>
      <c r="E46" s="8"/>
      <c r="F46" s="16"/>
      <c r="G46" s="16"/>
      <c r="H46" s="16"/>
      <c r="I46" s="16"/>
      <c r="J46" s="16"/>
      <c r="K46" s="9"/>
      <c r="L46" s="9"/>
      <c r="M46" s="3"/>
    </row>
    <row r="47" spans="1:13" s="5" customFormat="1" ht="13.5" customHeight="1">
      <c r="A47" s="2"/>
      <c r="B47" s="82" t="s">
        <v>5</v>
      </c>
      <c r="C47" s="41">
        <f aca="true" t="shared" si="4" ref="C47:J47">+C6</f>
        <v>124940254470.92</v>
      </c>
      <c r="D47" s="41">
        <f t="shared" si="4"/>
        <v>32919577887.14</v>
      </c>
      <c r="E47" s="41">
        <f t="shared" si="4"/>
        <v>30643984773.16</v>
      </c>
      <c r="F47" s="41">
        <f t="shared" si="4"/>
        <v>759211139.72</v>
      </c>
      <c r="G47" s="41">
        <f t="shared" si="4"/>
        <v>178739452.45</v>
      </c>
      <c r="H47" s="41">
        <f t="shared" si="4"/>
        <v>22150114.33</v>
      </c>
      <c r="I47" s="41">
        <f t="shared" si="4"/>
        <v>65818142.45</v>
      </c>
      <c r="J47" s="41">
        <f t="shared" si="4"/>
        <v>771250.76</v>
      </c>
      <c r="K47" s="65">
        <f t="shared" si="0"/>
        <v>100</v>
      </c>
      <c r="L47" s="65">
        <f>IF(C47=0,"",100*D47/C47)</f>
        <v>26.348255833592905</v>
      </c>
      <c r="M47" s="65"/>
    </row>
    <row r="48" spans="1:13" s="5" customFormat="1" ht="13.5" customHeight="1">
      <c r="A48" s="2"/>
      <c r="B48" s="83" t="s">
        <v>71</v>
      </c>
      <c r="C48" s="24">
        <f>14589112290.42</f>
        <v>14589112290.42</v>
      </c>
      <c r="D48" s="24">
        <f>1431378213.38</f>
        <v>1431378213.38</v>
      </c>
      <c r="E48" s="24">
        <f>1425279981.36</f>
        <v>1425279981.36</v>
      </c>
      <c r="F48" s="24">
        <f>0</f>
        <v>0</v>
      </c>
      <c r="G48" s="24">
        <f>3392.93</f>
        <v>3392.93</v>
      </c>
      <c r="H48" s="24">
        <f>0</f>
        <v>0</v>
      </c>
      <c r="I48" s="24">
        <f>156011.8</f>
        <v>156011.8</v>
      </c>
      <c r="J48" s="24">
        <f>0</f>
        <v>0</v>
      </c>
      <c r="K48" s="38">
        <f t="shared" si="0"/>
        <v>4.348106219002178</v>
      </c>
      <c r="L48" s="38">
        <f>IF(C48=0,"",100*D48/C48)</f>
        <v>9.811276963848721</v>
      </c>
      <c r="M48" s="38"/>
    </row>
    <row r="49" spans="1:13" s="5" customFormat="1" ht="13.5" customHeight="1">
      <c r="A49" s="2"/>
      <c r="B49" s="83" t="s">
        <v>72</v>
      </c>
      <c r="C49" s="24">
        <f>C47-C48</f>
        <v>110351142180.5</v>
      </c>
      <c r="D49" s="24">
        <f aca="true" t="shared" si="5" ref="D49:J49">D47-D48</f>
        <v>31488199673.76</v>
      </c>
      <c r="E49" s="24">
        <f t="shared" si="5"/>
        <v>29218704791.8</v>
      </c>
      <c r="F49" s="24">
        <f t="shared" si="5"/>
        <v>759211139.72</v>
      </c>
      <c r="G49" s="24">
        <f t="shared" si="5"/>
        <v>178736059.51999998</v>
      </c>
      <c r="H49" s="24">
        <f t="shared" si="5"/>
        <v>22150114.33</v>
      </c>
      <c r="I49" s="24">
        <f t="shared" si="5"/>
        <v>65662130.650000006</v>
      </c>
      <c r="J49" s="24">
        <f t="shared" si="5"/>
        <v>771250.76</v>
      </c>
      <c r="K49" s="38">
        <f t="shared" si="0"/>
        <v>95.65189378099782</v>
      </c>
      <c r="L49" s="38">
        <f>IF(C49=0,"",100*D49/C49)</f>
        <v>28.534548035991453</v>
      </c>
      <c r="M49" s="38"/>
    </row>
    <row r="50" spans="2:13" ht="15">
      <c r="B50" s="103" t="s">
        <v>112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2:13" s="5" customFormat="1" ht="7.5" customHeight="1">
      <c r="B51" s="6"/>
      <c r="C51" s="7"/>
      <c r="D51" s="8"/>
      <c r="E51" s="8"/>
      <c r="F51" s="4"/>
      <c r="G51" s="4"/>
      <c r="H51" s="4"/>
      <c r="I51" s="4"/>
      <c r="J51" s="4"/>
      <c r="K51" s="9"/>
      <c r="L51" s="9"/>
      <c r="M51" s="3"/>
    </row>
    <row r="52" spans="2:27" ht="29.25" customHeight="1">
      <c r="B52" s="107" t="s">
        <v>0</v>
      </c>
      <c r="C52" s="104" t="s">
        <v>56</v>
      </c>
      <c r="D52" s="104" t="s">
        <v>57</v>
      </c>
      <c r="E52" s="104" t="s">
        <v>58</v>
      </c>
      <c r="F52" s="104" t="s">
        <v>12</v>
      </c>
      <c r="G52" s="104"/>
      <c r="H52" s="104"/>
      <c r="I52" s="104" t="s">
        <v>95</v>
      </c>
      <c r="J52" s="104"/>
      <c r="K52" s="104" t="s">
        <v>2</v>
      </c>
      <c r="L52" s="110" t="s">
        <v>36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2:27" ht="18" customHeight="1">
      <c r="B53" s="107"/>
      <c r="C53" s="104"/>
      <c r="D53" s="105"/>
      <c r="E53" s="104"/>
      <c r="F53" s="94" t="s">
        <v>59</v>
      </c>
      <c r="G53" s="109" t="s">
        <v>34</v>
      </c>
      <c r="H53" s="105"/>
      <c r="I53" s="104"/>
      <c r="J53" s="104"/>
      <c r="K53" s="104"/>
      <c r="L53" s="110"/>
      <c r="M53" s="11"/>
      <c r="N53" s="12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2:27" ht="36" customHeight="1">
      <c r="B54" s="107"/>
      <c r="C54" s="104"/>
      <c r="D54" s="105"/>
      <c r="E54" s="104"/>
      <c r="F54" s="105"/>
      <c r="G54" s="18" t="s">
        <v>54</v>
      </c>
      <c r="H54" s="18" t="s">
        <v>55</v>
      </c>
      <c r="I54" s="104"/>
      <c r="J54" s="104"/>
      <c r="K54" s="104"/>
      <c r="L54" s="110"/>
      <c r="M54" s="11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2:27" ht="13.5" customHeight="1">
      <c r="B55" s="107"/>
      <c r="C55" s="108" t="s">
        <v>78</v>
      </c>
      <c r="D55" s="108"/>
      <c r="E55" s="108"/>
      <c r="F55" s="108"/>
      <c r="G55" s="108"/>
      <c r="H55" s="108"/>
      <c r="I55" s="108"/>
      <c r="J55" s="108"/>
      <c r="K55" s="108" t="s">
        <v>4</v>
      </c>
      <c r="L55" s="108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2:27" ht="11.25" customHeight="1">
      <c r="B56" s="17">
        <v>1</v>
      </c>
      <c r="C56" s="19">
        <v>2</v>
      </c>
      <c r="D56" s="19">
        <v>3</v>
      </c>
      <c r="E56" s="19">
        <v>4</v>
      </c>
      <c r="F56" s="17">
        <v>5</v>
      </c>
      <c r="G56" s="17">
        <v>6</v>
      </c>
      <c r="H56" s="19">
        <v>7</v>
      </c>
      <c r="I56" s="105">
        <v>8</v>
      </c>
      <c r="J56" s="105"/>
      <c r="K56" s="17">
        <v>9</v>
      </c>
      <c r="L56" s="19">
        <v>10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2:12" ht="25.5" customHeight="1">
      <c r="B57" s="82" t="s">
        <v>64</v>
      </c>
      <c r="C57" s="66">
        <f>133216841533.95</f>
        <v>133216841533.95</v>
      </c>
      <c r="D57" s="66">
        <f>77387622734.78</f>
        <v>77387622734.78</v>
      </c>
      <c r="E57" s="66">
        <f>28153181778.67</f>
        <v>28153181778.67</v>
      </c>
      <c r="F57" s="66">
        <f>2992406350.26</f>
        <v>2992406350.26</v>
      </c>
      <c r="G57" s="66">
        <f>12396215.69</f>
        <v>12396215.69</v>
      </c>
      <c r="H57" s="66">
        <f>16547492.91</f>
        <v>16547492.91</v>
      </c>
      <c r="I57" s="106">
        <f>0</f>
        <v>0</v>
      </c>
      <c r="J57" s="106"/>
      <c r="K57" s="58">
        <f aca="true" t="shared" si="6" ref="K57:K66">IF($E$57=0,"",100*$E57/$E$57)</f>
        <v>100</v>
      </c>
      <c r="L57" s="58">
        <f aca="true" t="shared" si="7" ref="L57:L66">IF(C57=0,"",100*E57/C57)</f>
        <v>21.13335029902749</v>
      </c>
    </row>
    <row r="58" spans="2:12" ht="24" customHeight="1">
      <c r="B58" s="82" t="s">
        <v>14</v>
      </c>
      <c r="C58" s="26">
        <f>29454482450.27</f>
        <v>29454482450.27</v>
      </c>
      <c r="D58" s="26">
        <f>10548986838.49</f>
        <v>10548986838.49</v>
      </c>
      <c r="E58" s="26">
        <f>2182201322.1</f>
        <v>2182201322.1</v>
      </c>
      <c r="F58" s="26">
        <f>701012794.82</f>
        <v>701012794.82</v>
      </c>
      <c r="G58" s="26">
        <f>4991707.87</f>
        <v>4991707.87</v>
      </c>
      <c r="H58" s="26">
        <f>4725736.89</f>
        <v>4725736.89</v>
      </c>
      <c r="I58" s="88">
        <f>0</f>
        <v>0</v>
      </c>
      <c r="J58" s="89"/>
      <c r="K58" s="35">
        <f t="shared" si="6"/>
        <v>7.751171214876057</v>
      </c>
      <c r="L58" s="35">
        <f t="shared" si="7"/>
        <v>7.408724039827753</v>
      </c>
    </row>
    <row r="59" spans="2:12" ht="22.5" customHeight="1">
      <c r="B59" s="20" t="s">
        <v>13</v>
      </c>
      <c r="C59" s="22">
        <f>29046512132.35</f>
        <v>29046512132.35</v>
      </c>
      <c r="D59" s="22">
        <f>10387248768.94</f>
        <v>10387248768.94</v>
      </c>
      <c r="E59" s="22">
        <f>2071997671.32</f>
        <v>2071997671.32</v>
      </c>
      <c r="F59" s="22">
        <f>698938804.28</f>
        <v>698938804.28</v>
      </c>
      <c r="G59" s="22">
        <f>4911512.6</f>
        <v>4911512.6</v>
      </c>
      <c r="H59" s="22">
        <f>4725736.89</f>
        <v>4725736.89</v>
      </c>
      <c r="I59" s="101">
        <f>0</f>
        <v>0</v>
      </c>
      <c r="J59" s="102"/>
      <c r="K59" s="36">
        <f t="shared" si="6"/>
        <v>7.359728245316237</v>
      </c>
      <c r="L59" s="36">
        <f t="shared" si="7"/>
        <v>7.133378568411152</v>
      </c>
    </row>
    <row r="60" spans="2:12" ht="25.5" customHeight="1">
      <c r="B60" s="82" t="s">
        <v>65</v>
      </c>
      <c r="C60" s="26">
        <f aca="true" t="shared" si="8" ref="C60:I60">C57-C58</f>
        <v>103762359083.68</v>
      </c>
      <c r="D60" s="26">
        <f t="shared" si="8"/>
        <v>66838635896.29</v>
      </c>
      <c r="E60" s="26">
        <f t="shared" si="8"/>
        <v>25970980456.57</v>
      </c>
      <c r="F60" s="26">
        <f t="shared" si="8"/>
        <v>2291393555.44</v>
      </c>
      <c r="G60" s="26">
        <f t="shared" si="8"/>
        <v>7404507.819999999</v>
      </c>
      <c r="H60" s="26">
        <f t="shared" si="8"/>
        <v>11821756.02</v>
      </c>
      <c r="I60" s="88">
        <f t="shared" si="8"/>
        <v>0</v>
      </c>
      <c r="J60" s="88"/>
      <c r="K60" s="35">
        <f t="shared" si="6"/>
        <v>92.24882878512395</v>
      </c>
      <c r="L60" s="35">
        <f t="shared" si="7"/>
        <v>25.02928873814973</v>
      </c>
    </row>
    <row r="61" spans="2:12" ht="22.5">
      <c r="B61" s="20" t="s">
        <v>111</v>
      </c>
      <c r="C61" s="22">
        <f>41587910876.82</f>
        <v>41587910876.82</v>
      </c>
      <c r="D61" s="22">
        <f>34097366369.03</f>
        <v>34097366369.03</v>
      </c>
      <c r="E61" s="22">
        <f>11438252218.47</f>
        <v>11438252218.47</v>
      </c>
      <c r="F61" s="22">
        <f>1040386620.9</f>
        <v>1040386620.9</v>
      </c>
      <c r="G61" s="22">
        <f>472028.71</f>
        <v>472028.71</v>
      </c>
      <c r="H61" s="22">
        <f>1592507.91</f>
        <v>1592507.91</v>
      </c>
      <c r="I61" s="101">
        <f>0</f>
        <v>0</v>
      </c>
      <c r="J61" s="102"/>
      <c r="K61" s="36">
        <f t="shared" si="6"/>
        <v>40.62863056969315</v>
      </c>
      <c r="L61" s="36">
        <f t="shared" si="7"/>
        <v>27.5037913117328</v>
      </c>
    </row>
    <row r="62" spans="2:12" ht="13.5" customHeight="1">
      <c r="B62" s="32" t="s">
        <v>53</v>
      </c>
      <c r="C62" s="68">
        <f>7855287990.62</f>
        <v>7855287990.62</v>
      </c>
      <c r="D62" s="68">
        <f>4358796763.28</f>
        <v>4358796763.28</v>
      </c>
      <c r="E62" s="68">
        <f>2066837273.28</f>
        <v>2066837273.28</v>
      </c>
      <c r="F62" s="68">
        <f>27980565.33</f>
        <v>27980565.33</v>
      </c>
      <c r="G62" s="68">
        <f>1029758.64</f>
        <v>1029758.64</v>
      </c>
      <c r="H62" s="68">
        <f>206846.03</f>
        <v>206846.03</v>
      </c>
      <c r="I62" s="100">
        <f>0</f>
        <v>0</v>
      </c>
      <c r="J62" s="100"/>
      <c r="K62" s="69">
        <f t="shared" si="6"/>
        <v>7.3413985301154145</v>
      </c>
      <c r="L62" s="69">
        <f t="shared" si="7"/>
        <v>26.31141309838685</v>
      </c>
    </row>
    <row r="63" spans="2:12" ht="13.5" customHeight="1">
      <c r="B63" s="32" t="s">
        <v>52</v>
      </c>
      <c r="C63" s="24">
        <f>972912513.99</f>
        <v>972912513.99</v>
      </c>
      <c r="D63" s="24">
        <f>304916761.7</f>
        <v>304916761.7</v>
      </c>
      <c r="E63" s="24">
        <f>144267075.78</f>
        <v>144267075.78</v>
      </c>
      <c r="F63" s="24">
        <f>21797776.61</f>
        <v>21797776.61</v>
      </c>
      <c r="G63" s="24">
        <f>0</f>
        <v>0</v>
      </c>
      <c r="H63" s="24">
        <f>14672.51</f>
        <v>14672.51</v>
      </c>
      <c r="I63" s="99">
        <f>0</f>
        <v>0</v>
      </c>
      <c r="J63" s="99"/>
      <c r="K63" s="69">
        <f t="shared" si="6"/>
        <v>0.5124361321365908</v>
      </c>
      <c r="L63" s="69">
        <f t="shared" si="7"/>
        <v>14.828370866394554</v>
      </c>
    </row>
    <row r="64" spans="2:12" ht="22.5" customHeight="1">
      <c r="B64" s="32" t="s">
        <v>68</v>
      </c>
      <c r="C64" s="68">
        <f>142689998.86</f>
        <v>142689998.86</v>
      </c>
      <c r="D64" s="68">
        <f>9769920.36</f>
        <v>9769920.36</v>
      </c>
      <c r="E64" s="68">
        <f>554280.31</f>
        <v>554280.31</v>
      </c>
      <c r="F64" s="68">
        <f>841204.09</f>
        <v>841204.09</v>
      </c>
      <c r="G64" s="68">
        <f>0</f>
        <v>0</v>
      </c>
      <c r="H64" s="68">
        <f>841204.09</f>
        <v>841204.09</v>
      </c>
      <c r="I64" s="100">
        <f>0</f>
        <v>0</v>
      </c>
      <c r="J64" s="100"/>
      <c r="K64" s="69">
        <f t="shared" si="6"/>
        <v>0.0019688016592850814</v>
      </c>
      <c r="L64" s="69">
        <f t="shared" si="7"/>
        <v>0.38845070742752685</v>
      </c>
    </row>
    <row r="65" spans="2:12" ht="22.5" customHeight="1">
      <c r="B65" s="32" t="s">
        <v>70</v>
      </c>
      <c r="C65" s="68">
        <f>27193875049.86</f>
        <v>27193875049.86</v>
      </c>
      <c r="D65" s="68">
        <f>16680252812.43</f>
        <v>16680252812.43</v>
      </c>
      <c r="E65" s="68">
        <f>7133465961.58</f>
        <v>7133465961.58</v>
      </c>
      <c r="F65" s="68">
        <f>437364582.12</f>
        <v>437364582.12</v>
      </c>
      <c r="G65" s="68">
        <f>5176.62</f>
        <v>5176.62</v>
      </c>
      <c r="H65" s="68">
        <f>96658.58</f>
        <v>96658.58</v>
      </c>
      <c r="I65" s="90">
        <f>0</f>
        <v>0</v>
      </c>
      <c r="J65" s="91"/>
      <c r="K65" s="69">
        <f t="shared" si="6"/>
        <v>25.338045332356025</v>
      </c>
      <c r="L65" s="69">
        <f t="shared" si="7"/>
        <v>26.231884747947035</v>
      </c>
    </row>
    <row r="66" spans="2:12" ht="13.5" customHeight="1">
      <c r="B66" s="32" t="s">
        <v>51</v>
      </c>
      <c r="C66" s="24">
        <f aca="true" t="shared" si="9" ref="C66:I66">C60-C61-C62-C63-C64-C65</f>
        <v>26009682653.52999</v>
      </c>
      <c r="D66" s="24">
        <f t="shared" si="9"/>
        <v>11387533269.490002</v>
      </c>
      <c r="E66" s="24">
        <f t="shared" si="9"/>
        <v>5187603647.15</v>
      </c>
      <c r="F66" s="24">
        <f t="shared" si="9"/>
        <v>763022806.3900002</v>
      </c>
      <c r="G66" s="24">
        <f t="shared" si="9"/>
        <v>5897543.85</v>
      </c>
      <c r="H66" s="24">
        <f t="shared" si="9"/>
        <v>9069866.9</v>
      </c>
      <c r="I66" s="100">
        <f t="shared" si="9"/>
        <v>0</v>
      </c>
      <c r="J66" s="100" t="e">
        <f>J60-J61-#REF!-J62-J63-J64-J65</f>
        <v>#REF!</v>
      </c>
      <c r="K66" s="69">
        <f t="shared" si="6"/>
        <v>18.426349419163486</v>
      </c>
      <c r="L66" s="69">
        <f t="shared" si="7"/>
        <v>19.944894046778945</v>
      </c>
    </row>
    <row r="67" spans="2:13" ht="18" customHeight="1">
      <c r="B67" s="82" t="s">
        <v>15</v>
      </c>
      <c r="C67" s="26">
        <f>C6-C57</f>
        <v>-8276587063.029999</v>
      </c>
      <c r="D67" s="26"/>
      <c r="E67" s="26">
        <f>D6-E57</f>
        <v>4766396108.470001</v>
      </c>
      <c r="F67" s="26"/>
      <c r="G67" s="26"/>
      <c r="H67" s="26"/>
      <c r="I67" s="88"/>
      <c r="J67" s="88"/>
      <c r="K67" s="27"/>
      <c r="L67" s="27"/>
      <c r="M67" s="13"/>
    </row>
    <row r="68" spans="2:13" ht="33" customHeight="1">
      <c r="B68" s="84" t="s">
        <v>73</v>
      </c>
      <c r="C68" s="26">
        <f>+C49-C60</f>
        <v>6588783096.820007</v>
      </c>
      <c r="D68" s="26"/>
      <c r="E68" s="26">
        <f>+D49-E60</f>
        <v>5517219217.189999</v>
      </c>
      <c r="F68" s="26"/>
      <c r="G68" s="26"/>
      <c r="H68" s="26"/>
      <c r="I68" s="26"/>
      <c r="J68" s="26"/>
      <c r="K68" s="27"/>
      <c r="L68" s="27"/>
      <c r="M68" s="13"/>
    </row>
    <row r="69" spans="2:13" ht="8.25" customHeight="1" thickBot="1">
      <c r="B69" s="70"/>
      <c r="C69" s="71"/>
      <c r="D69" s="71"/>
      <c r="E69" s="71"/>
      <c r="F69" s="71"/>
      <c r="G69" s="71"/>
      <c r="H69" s="71"/>
      <c r="I69" s="71"/>
      <c r="J69" s="71"/>
      <c r="K69" s="27"/>
      <c r="L69" s="27"/>
      <c r="M69" s="13"/>
    </row>
    <row r="70" spans="2:13" ht="14.25" customHeight="1">
      <c r="B70" s="85" t="s">
        <v>74</v>
      </c>
      <c r="C70" s="71"/>
      <c r="D70" s="71"/>
      <c r="E70" s="71"/>
      <c r="F70" s="71"/>
      <c r="G70" s="71"/>
      <c r="H70" s="71"/>
      <c r="I70" s="71"/>
      <c r="J70" s="71"/>
      <c r="K70" s="27"/>
      <c r="L70" s="27"/>
      <c r="M70" s="13"/>
    </row>
    <row r="71" spans="2:13" ht="24" customHeight="1">
      <c r="B71" s="82" t="s">
        <v>75</v>
      </c>
      <c r="C71" s="41">
        <f>14743051848.56</f>
        <v>14743051848.56</v>
      </c>
      <c r="D71" s="41">
        <f>5734548880.79</f>
        <v>5734548880.79</v>
      </c>
      <c r="E71" s="41">
        <f>1210112516.42</f>
        <v>1210112516.42</v>
      </c>
      <c r="F71" s="41">
        <f>234664961.78</f>
        <v>234664961.78</v>
      </c>
      <c r="G71" s="41">
        <f>1761250.5</f>
        <v>1761250.5</v>
      </c>
      <c r="H71" s="41">
        <f>2765740.03</f>
        <v>2765740.03</v>
      </c>
      <c r="I71" s="41">
        <f>0</f>
        <v>0</v>
      </c>
      <c r="J71" s="41">
        <f>0</f>
        <v>0</v>
      </c>
      <c r="K71" s="72">
        <f>IF($E$57=0,"",100*$E71/$E$71)</f>
        <v>100</v>
      </c>
      <c r="L71" s="72">
        <f>IF(C71=0,"",100*E71/C71)</f>
        <v>8.208019132335856</v>
      </c>
      <c r="M71" s="13"/>
    </row>
    <row r="72" spans="2:13" ht="15" customHeight="1">
      <c r="B72" s="86" t="s">
        <v>76</v>
      </c>
      <c r="C72" s="22">
        <f>13932403476.43</f>
        <v>13932403476.43</v>
      </c>
      <c r="D72" s="22">
        <f>5351188009.86</f>
        <v>5351188009.86</v>
      </c>
      <c r="E72" s="22">
        <f>1030442908.63</f>
        <v>1030442908.63</v>
      </c>
      <c r="F72" s="22">
        <f>224104344.26</f>
        <v>224104344.26</v>
      </c>
      <c r="G72" s="22">
        <f>1761250.5</f>
        <v>1761250.5</v>
      </c>
      <c r="H72" s="22">
        <f>2751248.66</f>
        <v>2751248.66</v>
      </c>
      <c r="I72" s="22">
        <f>0</f>
        <v>0</v>
      </c>
      <c r="J72" s="22">
        <f>0</f>
        <v>0</v>
      </c>
      <c r="K72" s="36">
        <f>IF($E$57=0,"",100*$E72/$E$71)</f>
        <v>85.15265272013423</v>
      </c>
      <c r="L72" s="36">
        <f>IF(C72=0,"",100*E72/C72)</f>
        <v>7.396016849305585</v>
      </c>
      <c r="M72" s="13"/>
    </row>
    <row r="73" spans="2:13" ht="14.25" customHeight="1">
      <c r="B73" s="87" t="s">
        <v>77</v>
      </c>
      <c r="C73" s="22">
        <f>+C71-C72</f>
        <v>810648372.1299992</v>
      </c>
      <c r="D73" s="22">
        <f aca="true" t="shared" si="10" ref="D73:J73">+D71-D72</f>
        <v>383360870.9300003</v>
      </c>
      <c r="E73" s="22">
        <f t="shared" si="10"/>
        <v>179669607.79000008</v>
      </c>
      <c r="F73" s="22">
        <f t="shared" si="10"/>
        <v>10560617.52000001</v>
      </c>
      <c r="G73" s="22">
        <f t="shared" si="10"/>
        <v>0</v>
      </c>
      <c r="H73" s="22">
        <f t="shared" si="10"/>
        <v>14491.369999999646</v>
      </c>
      <c r="I73" s="22">
        <f t="shared" si="10"/>
        <v>0</v>
      </c>
      <c r="J73" s="22">
        <f t="shared" si="10"/>
        <v>0</v>
      </c>
      <c r="K73" s="36">
        <f>IF($E$57=0,"",100*$E73/$E$71)</f>
        <v>14.847347279865769</v>
      </c>
      <c r="L73" s="36">
        <f>IF(C73=0,"",100*E73/C73)</f>
        <v>22.163691924516375</v>
      </c>
      <c r="M73" s="10"/>
    </row>
    <row r="74" spans="2:13" ht="15">
      <c r="B74" s="103" t="s">
        <v>112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</row>
    <row r="75" ht="6.75" customHeight="1"/>
    <row r="76" spans="2:8" ht="18" customHeight="1">
      <c r="B76" s="81" t="s">
        <v>16</v>
      </c>
      <c r="C76" s="92" t="s">
        <v>17</v>
      </c>
      <c r="D76" s="93"/>
      <c r="E76" s="92" t="s">
        <v>1</v>
      </c>
      <c r="F76" s="93"/>
      <c r="G76" s="19" t="s">
        <v>26</v>
      </c>
      <c r="H76" s="19" t="s">
        <v>27</v>
      </c>
    </row>
    <row r="77" spans="2:10" ht="13.5" customHeight="1">
      <c r="B77" s="40"/>
      <c r="C77" s="94" t="s">
        <v>78</v>
      </c>
      <c r="D77" s="95"/>
      <c r="E77" s="95"/>
      <c r="F77" s="96"/>
      <c r="G77" s="97" t="s">
        <v>4</v>
      </c>
      <c r="H77" s="98"/>
      <c r="J77" s="14"/>
    </row>
    <row r="78" spans="2:10" ht="11.25" customHeight="1">
      <c r="B78" s="39">
        <v>1</v>
      </c>
      <c r="C78" s="42">
        <v>2</v>
      </c>
      <c r="D78" s="43"/>
      <c r="E78" s="42">
        <v>3</v>
      </c>
      <c r="F78" s="43"/>
      <c r="G78" s="30">
        <v>4</v>
      </c>
      <c r="H78" s="30">
        <v>5</v>
      </c>
      <c r="J78" s="10"/>
    </row>
    <row r="79" spans="2:8" ht="25.5" customHeight="1">
      <c r="B79" s="80" t="s">
        <v>66</v>
      </c>
      <c r="C79" s="44">
        <f>13338752415.02</f>
        <v>13338752415.02</v>
      </c>
      <c r="D79" s="45"/>
      <c r="E79" s="44">
        <f>16801181737.93</f>
        <v>16801181737.93</v>
      </c>
      <c r="F79" s="45"/>
      <c r="G79" s="37">
        <f aca="true" t="shared" si="11" ref="G79:G86">IF($E$79=0,"",100*$E79/$E$79)</f>
        <v>100</v>
      </c>
      <c r="H79" s="35">
        <f>IF(C79=0,"",100*E79/C79)</f>
        <v>125.95766991679939</v>
      </c>
    </row>
    <row r="80" spans="2:8" ht="26.25" customHeight="1">
      <c r="B80" s="60" t="s">
        <v>96</v>
      </c>
      <c r="C80" s="46">
        <f>9161160654.16</f>
        <v>9161160654.16</v>
      </c>
      <c r="D80" s="47"/>
      <c r="E80" s="46">
        <f>379758011.03</f>
        <v>379758011.03</v>
      </c>
      <c r="F80" s="47"/>
      <c r="G80" s="56">
        <f t="shared" si="11"/>
        <v>2.2603053580014922</v>
      </c>
      <c r="H80" s="57">
        <f aca="true" t="shared" si="12" ref="H80:H91">IF(C80=0,"",100*E80/C80)</f>
        <v>4.145304567468265</v>
      </c>
    </row>
    <row r="81" spans="2:8" ht="22.5">
      <c r="B81" s="73" t="s">
        <v>97</v>
      </c>
      <c r="C81" s="74">
        <f>357495912.1</f>
        <v>357495912.1</v>
      </c>
      <c r="D81" s="75"/>
      <c r="E81" s="74">
        <f>3700000</f>
        <v>3700000</v>
      </c>
      <c r="F81" s="75"/>
      <c r="G81" s="76">
        <f t="shared" si="11"/>
        <v>0.02202226044401958</v>
      </c>
      <c r="H81" s="67">
        <f t="shared" si="12"/>
        <v>1.0349768695998467</v>
      </c>
    </row>
    <row r="82" spans="2:8" ht="12.75">
      <c r="B82" s="77" t="s">
        <v>98</v>
      </c>
      <c r="C82" s="74">
        <f>67103983.62</f>
        <v>67103983.62</v>
      </c>
      <c r="D82" s="75"/>
      <c r="E82" s="74">
        <f>16801768.93</f>
        <v>16801768.93</v>
      </c>
      <c r="F82" s="75"/>
      <c r="G82" s="76">
        <f t="shared" si="11"/>
        <v>0.10000349494505302</v>
      </c>
      <c r="H82" s="67">
        <f t="shared" si="12"/>
        <v>25.03840759312584</v>
      </c>
    </row>
    <row r="83" spans="2:8" ht="12.75">
      <c r="B83" s="77" t="s">
        <v>99</v>
      </c>
      <c r="C83" s="74">
        <f>1200906823.96</f>
        <v>1200906823.96</v>
      </c>
      <c r="D83" s="75"/>
      <c r="E83" s="74">
        <f>1843894621.43</f>
        <v>1843894621.43</v>
      </c>
      <c r="F83" s="75"/>
      <c r="G83" s="76">
        <f t="shared" si="11"/>
        <v>10.974791239042798</v>
      </c>
      <c r="H83" s="67">
        <f t="shared" si="12"/>
        <v>153.54185559123917</v>
      </c>
    </row>
    <row r="84" spans="2:8" ht="13.5" customHeight="1">
      <c r="B84" s="77" t="s">
        <v>100</v>
      </c>
      <c r="C84" s="74">
        <f>0.53</f>
        <v>0.53</v>
      </c>
      <c r="D84" s="75"/>
      <c r="E84" s="74">
        <f>0.53</f>
        <v>0.53</v>
      </c>
      <c r="F84" s="75"/>
      <c r="G84" s="76">
        <f t="shared" si="11"/>
        <v>3.1545400095487506E-09</v>
      </c>
      <c r="H84" s="67">
        <f t="shared" si="12"/>
        <v>100</v>
      </c>
    </row>
    <row r="85" spans="2:8" ht="40.5" customHeight="1">
      <c r="B85" s="77" t="s">
        <v>80</v>
      </c>
      <c r="C85" s="74">
        <f>2871809865.39</f>
        <v>2871809865.39</v>
      </c>
      <c r="D85" s="75"/>
      <c r="E85" s="74">
        <f>14511828204.66</f>
        <v>14511828204.66</v>
      </c>
      <c r="F85" s="75"/>
      <c r="G85" s="76">
        <f t="shared" si="11"/>
        <v>86.37385411943016</v>
      </c>
      <c r="H85" s="67">
        <f t="shared" si="12"/>
        <v>505.31995100202266</v>
      </c>
    </row>
    <row r="86" spans="2:8" ht="12.75">
      <c r="B86" s="77" t="s">
        <v>81</v>
      </c>
      <c r="C86" s="74">
        <f>37771087.36</f>
        <v>37771087.36</v>
      </c>
      <c r="D86" s="75"/>
      <c r="E86" s="74">
        <f>48899131.35</f>
        <v>48899131.35</v>
      </c>
      <c r="F86" s="75"/>
      <c r="G86" s="76">
        <f t="shared" si="11"/>
        <v>0.2910457854259521</v>
      </c>
      <c r="H86" s="67">
        <f t="shared" si="12"/>
        <v>129.46180469716825</v>
      </c>
    </row>
    <row r="87" spans="2:8" ht="25.5" customHeight="1">
      <c r="B87" s="80" t="s">
        <v>67</v>
      </c>
      <c r="C87" s="54">
        <f>5061688255.6</f>
        <v>5061688255.6</v>
      </c>
      <c r="D87" s="55"/>
      <c r="E87" s="54">
        <f>1830333518.02</f>
        <v>1830333518.02</v>
      </c>
      <c r="F87" s="55"/>
      <c r="G87" s="37">
        <f>IF($E$87=0,"",100*$E87/$E$87)</f>
        <v>100</v>
      </c>
      <c r="H87" s="35">
        <f t="shared" si="12"/>
        <v>36.16053430384635</v>
      </c>
    </row>
    <row r="88" spans="2:8" ht="36" customHeight="1">
      <c r="B88" s="60" t="s">
        <v>101</v>
      </c>
      <c r="C88" s="46">
        <f>4531922723.42</f>
        <v>4531922723.42</v>
      </c>
      <c r="D88" s="52"/>
      <c r="E88" s="53">
        <f>1044097216.02</f>
        <v>1044097216.02</v>
      </c>
      <c r="F88" s="52"/>
      <c r="G88" s="56">
        <f>IF($E$87=0,"",100*$E88/$E$87)</f>
        <v>57.04409637591476</v>
      </c>
      <c r="H88" s="57">
        <f t="shared" si="12"/>
        <v>23.038725056460706</v>
      </c>
    </row>
    <row r="89" spans="2:8" ht="24.75" customHeight="1">
      <c r="B89" s="77" t="s">
        <v>102</v>
      </c>
      <c r="C89" s="74">
        <f>63014000</f>
        <v>63014000</v>
      </c>
      <c r="D89" s="75"/>
      <c r="E89" s="74">
        <f>1925000</f>
        <v>1925000</v>
      </c>
      <c r="F89" s="75"/>
      <c r="G89" s="76">
        <f>IF($E$87=0,"",100*$E89/$E$87)</f>
        <v>0.10517208918746171</v>
      </c>
      <c r="H89" s="67">
        <f t="shared" si="12"/>
        <v>3.054876694067985</v>
      </c>
    </row>
    <row r="90" spans="2:8" ht="12.75">
      <c r="B90" s="73" t="s">
        <v>103</v>
      </c>
      <c r="C90" s="74">
        <f>37295210.83</f>
        <v>37295210.83</v>
      </c>
      <c r="D90" s="75"/>
      <c r="E90" s="74">
        <f>9364690.2</f>
        <v>9364690.2</v>
      </c>
      <c r="F90" s="75"/>
      <c r="G90" s="76">
        <f>IF($E$87=0,"",100*$E90/$E$87)</f>
        <v>0.5116384586635577</v>
      </c>
      <c r="H90" s="67">
        <f t="shared" si="12"/>
        <v>25.109632018669565</v>
      </c>
    </row>
    <row r="91" spans="2:8" ht="12.75">
      <c r="B91" s="77" t="s">
        <v>33</v>
      </c>
      <c r="C91" s="74">
        <f>492470321.35</f>
        <v>492470321.35</v>
      </c>
      <c r="D91" s="75"/>
      <c r="E91" s="74">
        <f>776871611.8</f>
        <v>776871611.8</v>
      </c>
      <c r="F91" s="75"/>
      <c r="G91" s="76">
        <f>IF($E$87=0,"",100*$E91/$E$87)</f>
        <v>42.44426516542168</v>
      </c>
      <c r="H91" s="67">
        <f t="shared" si="12"/>
        <v>157.74993499514363</v>
      </c>
    </row>
    <row r="92" ht="7.5" customHeight="1"/>
    <row r="93" spans="2:8" ht="12.75">
      <c r="B93" s="81" t="s">
        <v>16</v>
      </c>
      <c r="C93" s="92" t="s">
        <v>17</v>
      </c>
      <c r="D93" s="93"/>
      <c r="E93" s="92" t="s">
        <v>1</v>
      </c>
      <c r="F93" s="93"/>
      <c r="G93" s="19" t="s">
        <v>26</v>
      </c>
      <c r="H93" s="19" t="s">
        <v>27</v>
      </c>
    </row>
    <row r="94" spans="2:8" ht="12.75">
      <c r="B94" s="40"/>
      <c r="C94" s="94" t="s">
        <v>78</v>
      </c>
      <c r="D94" s="95"/>
      <c r="E94" s="95"/>
      <c r="F94" s="96"/>
      <c r="G94" s="97" t="s">
        <v>4</v>
      </c>
      <c r="H94" s="98"/>
    </row>
    <row r="95" spans="2:8" ht="12.75">
      <c r="B95" s="39">
        <v>1</v>
      </c>
      <c r="C95" s="42">
        <v>2</v>
      </c>
      <c r="D95" s="43"/>
      <c r="E95" s="42">
        <v>3</v>
      </c>
      <c r="F95" s="43"/>
      <c r="G95" s="30">
        <v>4</v>
      </c>
      <c r="H95" s="30">
        <v>5</v>
      </c>
    </row>
    <row r="96" spans="2:8" ht="31.5" customHeight="1">
      <c r="B96" s="61" t="s">
        <v>82</v>
      </c>
      <c r="C96" s="51">
        <f>8869058577.69</f>
        <v>8869058577.69</v>
      </c>
      <c r="D96" s="48"/>
      <c r="E96" s="51">
        <f>0</f>
        <v>0</v>
      </c>
      <c r="F96" s="45"/>
      <c r="G96" s="37"/>
      <c r="H96" s="35"/>
    </row>
    <row r="97" spans="2:8" ht="47.25" customHeight="1">
      <c r="B97" s="59" t="s">
        <v>83</v>
      </c>
      <c r="C97" s="53">
        <f>241991281.56</f>
        <v>241991281.56</v>
      </c>
      <c r="D97" s="52"/>
      <c r="E97" s="53">
        <f>0</f>
        <v>0</v>
      </c>
      <c r="F97" s="52"/>
      <c r="G97" s="56"/>
      <c r="H97" s="57"/>
    </row>
    <row r="98" spans="2:8" ht="12.75">
      <c r="B98" s="59" t="s">
        <v>84</v>
      </c>
      <c r="C98" s="53">
        <f>6146470974.13</f>
        <v>6146470974.13</v>
      </c>
      <c r="D98" s="52"/>
      <c r="E98" s="53">
        <f>0</f>
        <v>0</v>
      </c>
      <c r="F98" s="52"/>
      <c r="G98" s="56"/>
      <c r="H98" s="57"/>
    </row>
    <row r="99" spans="2:8" ht="25.5" customHeight="1">
      <c r="B99" s="59" t="s">
        <v>85</v>
      </c>
      <c r="C99" s="53">
        <f>0</f>
        <v>0</v>
      </c>
      <c r="D99" s="52"/>
      <c r="E99" s="53">
        <f>0</f>
        <v>0</v>
      </c>
      <c r="F99" s="52"/>
      <c r="G99" s="56"/>
      <c r="H99" s="57"/>
    </row>
    <row r="100" spans="2:8" ht="33.75">
      <c r="B100" s="59" t="s">
        <v>86</v>
      </c>
      <c r="C100" s="53">
        <f>700414746.22</f>
        <v>700414746.22</v>
      </c>
      <c r="D100" s="52"/>
      <c r="E100" s="53">
        <f>0</f>
        <v>0</v>
      </c>
      <c r="F100" s="52"/>
      <c r="G100" s="56"/>
      <c r="H100" s="57"/>
    </row>
    <row r="101" spans="2:8" ht="85.5" customHeight="1">
      <c r="B101" s="59" t="s">
        <v>87</v>
      </c>
      <c r="C101" s="53">
        <f>1780181575.78</f>
        <v>1780181575.78</v>
      </c>
      <c r="D101" s="52"/>
      <c r="E101" s="53">
        <f>0</f>
        <v>0</v>
      </c>
      <c r="F101" s="52"/>
      <c r="G101" s="56"/>
      <c r="H101" s="57"/>
    </row>
    <row r="102" ht="7.5" customHeight="1"/>
    <row r="103" spans="2:6" ht="12.75">
      <c r="B103" s="81" t="s">
        <v>16</v>
      </c>
      <c r="C103" s="92" t="s">
        <v>106</v>
      </c>
      <c r="D103" s="111"/>
      <c r="E103" s="111"/>
      <c r="F103" s="93"/>
    </row>
    <row r="104" spans="2:6" ht="12.75">
      <c r="B104" s="40"/>
      <c r="C104" s="94" t="s">
        <v>78</v>
      </c>
      <c r="D104" s="95"/>
      <c r="E104" s="95"/>
      <c r="F104" s="96"/>
    </row>
    <row r="105" spans="2:6" ht="12.75">
      <c r="B105" s="39">
        <v>1</v>
      </c>
      <c r="C105" s="113">
        <v>2</v>
      </c>
      <c r="D105" s="114"/>
      <c r="E105" s="114"/>
      <c r="F105" s="115"/>
    </row>
    <row r="106" spans="2:6" ht="48.75" customHeight="1">
      <c r="B106" s="79" t="s">
        <v>88</v>
      </c>
      <c r="C106" s="112">
        <f>427681468.97</f>
        <v>427681468.97</v>
      </c>
      <c r="D106" s="111"/>
      <c r="E106" s="111"/>
      <c r="F106" s="93"/>
    </row>
    <row r="107" spans="2:6" ht="36.75" customHeight="1">
      <c r="B107" s="59" t="s">
        <v>89</v>
      </c>
      <c r="C107" s="112">
        <f>324438214.06</f>
        <v>324438214.06</v>
      </c>
      <c r="D107" s="111"/>
      <c r="E107" s="111"/>
      <c r="F107" s="93"/>
    </row>
    <row r="108" spans="2:6" ht="37.5" customHeight="1">
      <c r="B108" s="59" t="s">
        <v>90</v>
      </c>
      <c r="C108" s="112">
        <f>93602551.11</f>
        <v>93602551.11</v>
      </c>
      <c r="D108" s="111"/>
      <c r="E108" s="111"/>
      <c r="F108" s="93"/>
    </row>
    <row r="109" spans="2:6" ht="73.5" customHeight="1">
      <c r="B109" s="59" t="s">
        <v>91</v>
      </c>
      <c r="C109" s="112">
        <f>0</f>
        <v>0</v>
      </c>
      <c r="D109" s="111"/>
      <c r="E109" s="111"/>
      <c r="F109" s="93"/>
    </row>
    <row r="110" spans="2:6" ht="56.25">
      <c r="B110" s="59" t="s">
        <v>92</v>
      </c>
      <c r="C110" s="112">
        <f>0</f>
        <v>0</v>
      </c>
      <c r="D110" s="111"/>
      <c r="E110" s="111"/>
      <c r="F110" s="93"/>
    </row>
    <row r="111" spans="2:6" ht="61.5" customHeight="1">
      <c r="B111" s="78" t="s">
        <v>93</v>
      </c>
      <c r="C111" s="112">
        <f>9870859.37</f>
        <v>9870859.37</v>
      </c>
      <c r="D111" s="111"/>
      <c r="E111" s="111"/>
      <c r="F111" s="93"/>
    </row>
    <row r="112" spans="2:6" ht="49.5" customHeight="1">
      <c r="B112" s="78" t="s">
        <v>94</v>
      </c>
      <c r="C112" s="112">
        <f>0</f>
        <v>0</v>
      </c>
      <c r="D112" s="111"/>
      <c r="E112" s="111"/>
      <c r="F112" s="93"/>
    </row>
    <row r="113" spans="2:6" ht="87" customHeight="1">
      <c r="B113" s="78" t="s">
        <v>104</v>
      </c>
      <c r="C113" s="112">
        <f>705860.24</f>
        <v>705860.24</v>
      </c>
      <c r="D113" s="111"/>
      <c r="E113" s="111"/>
      <c r="F113" s="93"/>
    </row>
    <row r="114" spans="2:6" ht="81" customHeight="1">
      <c r="B114" s="78" t="s">
        <v>105</v>
      </c>
      <c r="C114" s="112">
        <f>0</f>
        <v>0</v>
      </c>
      <c r="D114" s="111"/>
      <c r="E114" s="111"/>
      <c r="F114" s="93"/>
    </row>
    <row r="115" ht="7.5" customHeight="1"/>
  </sheetData>
  <sheetProtection/>
  <mergeCells count="50">
    <mergeCell ref="C113:F113"/>
    <mergeCell ref="C114:F114"/>
    <mergeCell ref="C106:F106"/>
    <mergeCell ref="C107:F107"/>
    <mergeCell ref="C108:F108"/>
    <mergeCell ref="C109:F109"/>
    <mergeCell ref="C110:F110"/>
    <mergeCell ref="C111:F111"/>
    <mergeCell ref="C93:D93"/>
    <mergeCell ref="E93:F93"/>
    <mergeCell ref="C94:F94"/>
    <mergeCell ref="G94:H94"/>
    <mergeCell ref="C103:F103"/>
    <mergeCell ref="C112:F112"/>
    <mergeCell ref="C105:F105"/>
    <mergeCell ref="C104:F104"/>
    <mergeCell ref="I66:J66"/>
    <mergeCell ref="I67:J67"/>
    <mergeCell ref="B74:M74"/>
    <mergeCell ref="B52:B55"/>
    <mergeCell ref="K52:K54"/>
    <mergeCell ref="K55:L55"/>
    <mergeCell ref="G53:H53"/>
    <mergeCell ref="L52:L54"/>
    <mergeCell ref="I59:J59"/>
    <mergeCell ref="I60:J60"/>
    <mergeCell ref="I56:J56"/>
    <mergeCell ref="I57:J57"/>
    <mergeCell ref="B3:B4"/>
    <mergeCell ref="K4:M4"/>
    <mergeCell ref="C4:J4"/>
    <mergeCell ref="C55:J55"/>
    <mergeCell ref="C52:C54"/>
    <mergeCell ref="B50:M50"/>
    <mergeCell ref="B1:M1"/>
    <mergeCell ref="I52:J54"/>
    <mergeCell ref="D52:D54"/>
    <mergeCell ref="E52:E54"/>
    <mergeCell ref="F53:F54"/>
    <mergeCell ref="F52:H52"/>
    <mergeCell ref="I58:J58"/>
    <mergeCell ref="I65:J65"/>
    <mergeCell ref="C76:D76"/>
    <mergeCell ref="E76:F76"/>
    <mergeCell ref="C77:F77"/>
    <mergeCell ref="G77:H77"/>
    <mergeCell ref="I63:J63"/>
    <mergeCell ref="I64:J64"/>
    <mergeCell ref="I61:J61"/>
    <mergeCell ref="I62:J62"/>
  </mergeCells>
  <printOptions/>
  <pageMargins left="0.1968503937007874" right="0.1968503937007874" top="0.35433070866141736" bottom="0.3937007874015748" header="0.31496062992125984" footer="0.1968503937007874"/>
  <pageSetup firstPageNumber="1" useFirstPageNumber="1" horizontalDpi="600" verticalDpi="600" orientation="landscape" paperSize="9" scale="95" r:id="rId3"/>
  <headerFooter alignWithMargins="0">
    <oddFooter>&amp;RStrona &amp;P z &amp;N</oddFooter>
  </headerFooter>
  <rowBreaks count="6" manualBreakCount="6">
    <brk id="21" max="255" man="1"/>
    <brk id="49" max="255" man="1"/>
    <brk id="73" max="255" man="1"/>
    <brk id="92" max="12" man="1"/>
    <brk id="101" max="12" man="1"/>
    <brk id="114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2018-03-19T09:08:58Z</cp:lastPrinted>
  <dcterms:created xsi:type="dcterms:W3CDTF">2001-05-17T08:58:03Z</dcterms:created>
  <dcterms:modified xsi:type="dcterms:W3CDTF">2019-05-21T11:35:12Z</dcterms:modified>
  <cp:category/>
  <cp:version/>
  <cp:contentType/>
  <cp:contentStatus/>
</cp:coreProperties>
</file>