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<sst xmlns="http://schemas.openxmlformats.org/spreadsheetml/2006/main" count="98" uniqueCount="82">
  <si>
    <t>Wyszczególnienie</t>
  </si>
  <si>
    <t>sektora finansów publicznych (kol.5+7+8)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</si>
  <si>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</si>
  <si>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</si>
  <si>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</si>
  <si>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</si>
  <si>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</si>
  <si>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</si>
  <si>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</si>
  <si>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</si>
  <si>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</si>
  <si>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</si>
  <si>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</si>
  <si>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</si>
  <si>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</si>
  <si>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</si>
  <si>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</si>
  <si>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</si>
  <si>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</si>
  <si>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</si>
  <si>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</si>
  <si>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</si>
  <si>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</si>
  <si>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</si>
  <si>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</si>
  <si>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</si>
  <si>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</si>
  <si>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</si>
  <si>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</si>
  <si>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</si>
  <si>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</si>
  <si>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</si>
  <si>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</si>
  <si>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</si>
  <si>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</si>
  <si>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</si>
  <si>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</si>
  <si>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</si>
  <si>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</si>
  <si>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</si>
  <si>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</si>
  <si>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</si>
  <si>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</si>
  <si>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</si>
  <si>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</si>
  <si>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</si>
  <si>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</si>
  <si>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</si>
  <si>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</si>
  <si>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</si>
  <si>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</si>
  <si>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</si>
  <si>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</si>
  <si>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</si>
  <si>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</si>
  <si>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</si>
  <si>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</si>
  <si>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</si>
  <si>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</si>
  <si>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</si>
  <si>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</si>
  <si>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</si>
  <si>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</si>
  <si>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</si>
  <si>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</si>
  <si>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</si>
  <si>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</si>
  <si>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</si>
  <si>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</si>
  <si>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</si>
  <si>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</si>
  <si>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</si>
  <si>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</si>
  <si>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</si>
  <si>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</si>
  <si>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</si>
  <si>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</si>
  <si>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</si>
  <si>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</si>
  <si>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tytul</t>
  </si>
  <si>
    <t>w złotych</t>
  </si>
  <si>
    <t>E4  wymagalne zobowiązania (E4.1+E4.2)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</si>
</sst>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169" fontId="5" fillId="0" borderId="19" xfId="0" applyNumberFormat="1" applyFont="1" applyBorder="1" applyAlignment="1">
      <alignment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5" fillId="0" borderId="19" xfId="88" applyFont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20" xfId="0" applyFont="1" applyFill="1" applyBorder="1" applyAlignment="1">
      <alignment vertical="center" wrapText="1"/>
    </xf>
    <xf numFmtId="0" fontId="5" fillId="2" borderId="19" xfId="88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7"/>
  <sheetViews>
    <sheetView tabSelected="1" zoomScaleSheetLayoutView="50" workbookViewId="0" topLeftCell="A1">
      <selection activeCell="A6" sqref="A6:A10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2.375" style="2" customWidth="1"/>
    <col min="5" max="6" width="11.375" style="2" customWidth="1"/>
    <col min="7" max="7" width="12.75390625" style="2" customWidth="1"/>
    <col min="8" max="8" width="9.75390625" style="2" customWidth="1"/>
    <col min="9" max="9" width="10.75390625" style="2" customWidth="1"/>
    <col min="10" max="10" width="14.00390625" style="2" customWidth="1"/>
    <col min="11" max="11" width="12.125" style="2" customWidth="1"/>
    <col min="12" max="12" width="11.375" style="2" customWidth="1"/>
    <col min="13" max="13" width="12.00390625" style="2" customWidth="1"/>
    <col min="14" max="14" width="11.75390625" style="2" customWidth="1"/>
    <col min="15" max="15" width="11.125" style="2" customWidth="1"/>
    <col min="16" max="16" width="12.625" style="2" customWidth="1"/>
    <col min="17" max="16384" width="9.125" style="2" customWidth="1"/>
  </cols>
  <sheetData>
    <row r="1" spans="1:13" ht="75" customHeight="1">
      <c r="A1" s="41" t="str">
        <f>CONCATENATE("Informacja z wykonania budżetów miast na prawach powiatu za  ",$C$94," ",$B$95," roku     ",$B$97,"")</f>
        <v>Informacja z wykonania budżetów miast na prawach powiatu za  IV Kwartały 2021 roku     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5" spans="2:17" ht="13.5" customHeight="1">
      <c r="B5" s="1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1"/>
      <c r="O5" s="11"/>
      <c r="P5" s="11"/>
      <c r="Q5" s="11"/>
    </row>
    <row r="6" spans="1:17" ht="13.5" customHeight="1">
      <c r="A6" s="70" t="s">
        <v>0</v>
      </c>
      <c r="B6" s="42" t="s">
        <v>66</v>
      </c>
      <c r="C6" s="37" t="s">
        <v>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7" t="s">
        <v>69</v>
      </c>
      <c r="P6" s="38"/>
      <c r="Q6" s="39"/>
    </row>
    <row r="7" spans="1:17" ht="13.5" customHeight="1">
      <c r="A7" s="71"/>
      <c r="B7" s="43"/>
      <c r="C7" s="44" t="s">
        <v>67</v>
      </c>
      <c r="D7" s="44" t="s">
        <v>1</v>
      </c>
      <c r="E7" s="44" t="s">
        <v>71</v>
      </c>
      <c r="F7" s="44" t="s">
        <v>72</v>
      </c>
      <c r="G7" s="44" t="s">
        <v>28</v>
      </c>
      <c r="H7" s="44" t="s">
        <v>29</v>
      </c>
      <c r="I7" s="77" t="s">
        <v>68</v>
      </c>
      <c r="J7" s="44" t="s">
        <v>17</v>
      </c>
      <c r="K7" s="44" t="s">
        <v>18</v>
      </c>
      <c r="L7" s="44" t="s">
        <v>19</v>
      </c>
      <c r="M7" s="44" t="s">
        <v>20</v>
      </c>
      <c r="N7" s="43" t="s">
        <v>21</v>
      </c>
      <c r="O7" s="40" t="s">
        <v>22</v>
      </c>
      <c r="P7" s="40" t="s">
        <v>23</v>
      </c>
      <c r="Q7" s="40" t="s">
        <v>24</v>
      </c>
    </row>
    <row r="8" spans="1:17" ht="13.5" customHeight="1">
      <c r="A8" s="71"/>
      <c r="B8" s="43"/>
      <c r="C8" s="40"/>
      <c r="D8" s="40"/>
      <c r="E8" s="40"/>
      <c r="F8" s="40"/>
      <c r="G8" s="40"/>
      <c r="H8" s="40"/>
      <c r="I8" s="77"/>
      <c r="J8" s="40"/>
      <c r="K8" s="40"/>
      <c r="L8" s="40"/>
      <c r="M8" s="40"/>
      <c r="N8" s="43"/>
      <c r="O8" s="40"/>
      <c r="P8" s="40"/>
      <c r="Q8" s="40"/>
    </row>
    <row r="9" spans="1:17" ht="11.25" customHeight="1">
      <c r="A9" s="71"/>
      <c r="B9" s="43"/>
      <c r="C9" s="40"/>
      <c r="D9" s="40"/>
      <c r="E9" s="40"/>
      <c r="F9" s="40"/>
      <c r="G9" s="40"/>
      <c r="H9" s="40"/>
      <c r="I9" s="77"/>
      <c r="J9" s="40"/>
      <c r="K9" s="40"/>
      <c r="L9" s="40"/>
      <c r="M9" s="40"/>
      <c r="N9" s="43"/>
      <c r="O9" s="40"/>
      <c r="P9" s="40"/>
      <c r="Q9" s="40"/>
    </row>
    <row r="10" spans="1:17" ht="11.25" customHeight="1">
      <c r="A10" s="72"/>
      <c r="B10" s="44"/>
      <c r="C10" s="40"/>
      <c r="D10" s="40"/>
      <c r="E10" s="40"/>
      <c r="F10" s="40"/>
      <c r="G10" s="40"/>
      <c r="H10" s="40"/>
      <c r="I10" s="78"/>
      <c r="J10" s="40"/>
      <c r="K10" s="40"/>
      <c r="L10" s="40"/>
      <c r="M10" s="40"/>
      <c r="N10" s="44"/>
      <c r="O10" s="40"/>
      <c r="P10" s="40"/>
      <c r="Q10" s="40"/>
    </row>
    <row r="11" spans="1:17" ht="11.2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</row>
    <row r="12" spans="1:17" ht="13.5" customHeight="1">
      <c r="A12" s="14"/>
      <c r="B12" s="30" t="s">
        <v>80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1:17" ht="38.25" customHeight="1">
      <c r="A13" s="22" t="s">
        <v>48</v>
      </c>
      <c r="B13" s="23">
        <f>45046629514.82</f>
        <v>45046629514.82</v>
      </c>
      <c r="C13" s="23">
        <f>23223856317.51</f>
        <v>23223856317.51</v>
      </c>
      <c r="D13" s="23">
        <f>538503943.51</f>
        <v>538503943.51</v>
      </c>
      <c r="E13" s="23">
        <f>1347330.88</f>
        <v>1347330.88</v>
      </c>
      <c r="F13" s="23">
        <f>297928839.41</f>
        <v>297928839.41</v>
      </c>
      <c r="G13" s="23">
        <f>239227773.22</f>
        <v>239227773.22</v>
      </c>
      <c r="H13" s="23">
        <f>0</f>
        <v>0</v>
      </c>
      <c r="I13" s="23">
        <f>0</f>
        <v>0</v>
      </c>
      <c r="J13" s="23">
        <f>20474157516.95</f>
        <v>20474157516.95</v>
      </c>
      <c r="K13" s="23">
        <f>632937264.9</f>
        <v>632937264.9</v>
      </c>
      <c r="L13" s="23">
        <f>1564473071.83</f>
        <v>1564473071.83</v>
      </c>
      <c r="M13" s="23">
        <f>11546920.53</f>
        <v>11546920.53</v>
      </c>
      <c r="N13" s="23">
        <f>2237599.79</f>
        <v>2237599.79</v>
      </c>
      <c r="O13" s="23">
        <f>21822773197.31</f>
        <v>21822773197.31</v>
      </c>
      <c r="P13" s="23">
        <f>21746073197.31</f>
        <v>21746073197.31</v>
      </c>
      <c r="Q13" s="23">
        <f>76700000</f>
        <v>76700000</v>
      </c>
    </row>
    <row r="14" spans="1:17" ht="38.25" customHeight="1">
      <c r="A14" s="22" t="s">
        <v>49</v>
      </c>
      <c r="B14" s="23">
        <f>3035988000</f>
        <v>3035988000</v>
      </c>
      <c r="C14" s="23">
        <f>3035988000</f>
        <v>3035988000</v>
      </c>
      <c r="D14" s="23">
        <f>0</f>
        <v>0</v>
      </c>
      <c r="E14" s="23">
        <f>0</f>
        <v>0</v>
      </c>
      <c r="F14" s="23">
        <f>0</f>
        <v>0</v>
      </c>
      <c r="G14" s="23">
        <f>0</f>
        <v>0</v>
      </c>
      <c r="H14" s="23">
        <f>0</f>
        <v>0</v>
      </c>
      <c r="I14" s="23">
        <f>0</f>
        <v>0</v>
      </c>
      <c r="J14" s="23">
        <f>3035988000</f>
        <v>3035988000</v>
      </c>
      <c r="K14" s="23">
        <f>0</f>
        <v>0</v>
      </c>
      <c r="L14" s="23">
        <f>0</f>
        <v>0</v>
      </c>
      <c r="M14" s="23">
        <f>0</f>
        <v>0</v>
      </c>
      <c r="N14" s="23">
        <f>0</f>
        <v>0</v>
      </c>
      <c r="O14" s="23">
        <f>0</f>
        <v>0</v>
      </c>
      <c r="P14" s="23">
        <f>0</f>
        <v>0</v>
      </c>
      <c r="Q14" s="23">
        <f>0</f>
        <v>0</v>
      </c>
    </row>
    <row r="15" spans="1:17" ht="38.25" customHeight="1">
      <c r="A15" s="20" t="s">
        <v>50</v>
      </c>
      <c r="B15" s="24">
        <f>0</f>
        <v>0</v>
      </c>
      <c r="C15" s="24">
        <f>0</f>
        <v>0</v>
      </c>
      <c r="D15" s="24">
        <f>0</f>
        <v>0</v>
      </c>
      <c r="E15" s="24">
        <f>0</f>
        <v>0</v>
      </c>
      <c r="F15" s="24">
        <f>0</f>
        <v>0</v>
      </c>
      <c r="G15" s="24">
        <f>0</f>
        <v>0</v>
      </c>
      <c r="H15" s="24">
        <f>0</f>
        <v>0</v>
      </c>
      <c r="I15" s="24">
        <f>0</f>
        <v>0</v>
      </c>
      <c r="J15" s="24">
        <f>0</f>
        <v>0</v>
      </c>
      <c r="K15" s="24">
        <f>0</f>
        <v>0</v>
      </c>
      <c r="L15" s="24">
        <f>0</f>
        <v>0</v>
      </c>
      <c r="M15" s="24">
        <f>0</f>
        <v>0</v>
      </c>
      <c r="N15" s="24">
        <f>0</f>
        <v>0</v>
      </c>
      <c r="O15" s="24">
        <f>0</f>
        <v>0</v>
      </c>
      <c r="P15" s="24">
        <f>0</f>
        <v>0</v>
      </c>
      <c r="Q15" s="24">
        <f>0</f>
        <v>0</v>
      </c>
    </row>
    <row r="16" spans="1:17" ht="38.25" customHeight="1">
      <c r="A16" s="20" t="s">
        <v>51</v>
      </c>
      <c r="B16" s="24">
        <f>3035988000</f>
        <v>3035988000</v>
      </c>
      <c r="C16" s="24">
        <f>3035988000</f>
        <v>3035988000</v>
      </c>
      <c r="D16" s="24">
        <f>0</f>
        <v>0</v>
      </c>
      <c r="E16" s="24">
        <f>0</f>
        <v>0</v>
      </c>
      <c r="F16" s="24">
        <f>0</f>
        <v>0</v>
      </c>
      <c r="G16" s="24">
        <f>0</f>
        <v>0</v>
      </c>
      <c r="H16" s="24">
        <f>0</f>
        <v>0</v>
      </c>
      <c r="I16" s="24">
        <f>0</f>
        <v>0</v>
      </c>
      <c r="J16" s="24">
        <f>3035988000</f>
        <v>3035988000</v>
      </c>
      <c r="K16" s="24">
        <f>0</f>
        <v>0</v>
      </c>
      <c r="L16" s="24">
        <f>0</f>
        <v>0</v>
      </c>
      <c r="M16" s="24">
        <f>0</f>
        <v>0</v>
      </c>
      <c r="N16" s="24">
        <f>0</f>
        <v>0</v>
      </c>
      <c r="O16" s="24">
        <f>0</f>
        <v>0</v>
      </c>
      <c r="P16" s="24">
        <f>0</f>
        <v>0</v>
      </c>
      <c r="Q16" s="24">
        <f>0</f>
        <v>0</v>
      </c>
    </row>
    <row r="17" spans="1:17" ht="38.25" customHeight="1">
      <c r="A17" s="22" t="s">
        <v>52</v>
      </c>
      <c r="B17" s="23">
        <f>41984668388.44</f>
        <v>41984668388.44</v>
      </c>
      <c r="C17" s="23">
        <f>20161895191.13</f>
        <v>20161895191.13</v>
      </c>
      <c r="D17" s="23">
        <f>529371134.16</f>
        <v>529371134.16</v>
      </c>
      <c r="E17" s="23">
        <f>0</f>
        <v>0</v>
      </c>
      <c r="F17" s="23">
        <f>297928839.41</f>
        <v>297928839.41</v>
      </c>
      <c r="G17" s="23">
        <f>231442294.75</f>
        <v>231442294.75</v>
      </c>
      <c r="H17" s="23">
        <f>0</f>
        <v>0</v>
      </c>
      <c r="I17" s="23">
        <f>0</f>
        <v>0</v>
      </c>
      <c r="J17" s="23">
        <f>17438169516.95</f>
        <v>17438169516.95</v>
      </c>
      <c r="K17" s="23">
        <f>632937264.9</f>
        <v>632937264.9</v>
      </c>
      <c r="L17" s="23">
        <f>1559139964.83</f>
        <v>1559139964.83</v>
      </c>
      <c r="M17" s="23">
        <f>2277310.29</f>
        <v>2277310.29</v>
      </c>
      <c r="N17" s="23">
        <f>0</f>
        <v>0</v>
      </c>
      <c r="O17" s="23">
        <f>21822773197.31</f>
        <v>21822773197.31</v>
      </c>
      <c r="P17" s="23">
        <f>21746073197.31</f>
        <v>21746073197.31</v>
      </c>
      <c r="Q17" s="23">
        <f>76700000</f>
        <v>76700000</v>
      </c>
    </row>
    <row r="18" spans="1:17" ht="38.25" customHeight="1">
      <c r="A18" s="20" t="s">
        <v>53</v>
      </c>
      <c r="B18" s="24">
        <f>7365503.92</f>
        <v>7365503.92</v>
      </c>
      <c r="C18" s="24">
        <f>7365503.92</f>
        <v>7365503.92</v>
      </c>
      <c r="D18" s="24">
        <f>0</f>
        <v>0</v>
      </c>
      <c r="E18" s="24">
        <f>0</f>
        <v>0</v>
      </c>
      <c r="F18" s="24">
        <f>0</f>
        <v>0</v>
      </c>
      <c r="G18" s="24">
        <f>0</f>
        <v>0</v>
      </c>
      <c r="H18" s="24">
        <f>0</f>
        <v>0</v>
      </c>
      <c r="I18" s="24">
        <f>0</f>
        <v>0</v>
      </c>
      <c r="J18" s="24">
        <f>4760000</f>
        <v>4760000</v>
      </c>
      <c r="K18" s="24">
        <f>0</f>
        <v>0</v>
      </c>
      <c r="L18" s="24">
        <f>1597163.92</f>
        <v>1597163.92</v>
      </c>
      <c r="M18" s="24">
        <f>1008340</f>
        <v>1008340</v>
      </c>
      <c r="N18" s="24">
        <f>0</f>
        <v>0</v>
      </c>
      <c r="O18" s="24">
        <f>0</f>
        <v>0</v>
      </c>
      <c r="P18" s="24">
        <f>0</f>
        <v>0</v>
      </c>
      <c r="Q18" s="24">
        <f>0</f>
        <v>0</v>
      </c>
    </row>
    <row r="19" spans="1:17" ht="38.25" customHeight="1">
      <c r="A19" s="20" t="s">
        <v>54</v>
      </c>
      <c r="B19" s="24">
        <f>41977302884.52</f>
        <v>41977302884.52</v>
      </c>
      <c r="C19" s="24">
        <f>20154529687.21</f>
        <v>20154529687.21</v>
      </c>
      <c r="D19" s="24">
        <f>529371134.16</f>
        <v>529371134.16</v>
      </c>
      <c r="E19" s="24">
        <f>0</f>
        <v>0</v>
      </c>
      <c r="F19" s="24">
        <f>297928839.41</f>
        <v>297928839.41</v>
      </c>
      <c r="G19" s="24">
        <f>231442294.75</f>
        <v>231442294.75</v>
      </c>
      <c r="H19" s="24">
        <f>0</f>
        <v>0</v>
      </c>
      <c r="I19" s="24">
        <f>0</f>
        <v>0</v>
      </c>
      <c r="J19" s="24">
        <f>17433409516.95</f>
        <v>17433409516.95</v>
      </c>
      <c r="K19" s="24">
        <f>632937264.9</f>
        <v>632937264.9</v>
      </c>
      <c r="L19" s="24">
        <f>1557542800.91</f>
        <v>1557542800.91</v>
      </c>
      <c r="M19" s="24">
        <f>1268970.29</f>
        <v>1268970.29</v>
      </c>
      <c r="N19" s="24">
        <f>0</f>
        <v>0</v>
      </c>
      <c r="O19" s="24">
        <f>21822773197.31</f>
        <v>21822773197.31</v>
      </c>
      <c r="P19" s="24">
        <f>21746073197.31</f>
        <v>21746073197.31</v>
      </c>
      <c r="Q19" s="24">
        <f>76700000</f>
        <v>76700000</v>
      </c>
    </row>
    <row r="20" spans="1:17" ht="38.25" customHeight="1">
      <c r="A20" s="22" t="s">
        <v>55</v>
      </c>
      <c r="B20" s="23">
        <f>4000000</f>
        <v>4000000</v>
      </c>
      <c r="C20" s="23">
        <f>4000000</f>
        <v>4000000</v>
      </c>
      <c r="D20" s="23">
        <f>4000000</f>
        <v>4000000</v>
      </c>
      <c r="E20" s="23">
        <f>0</f>
        <v>0</v>
      </c>
      <c r="F20" s="23">
        <f>0</f>
        <v>0</v>
      </c>
      <c r="G20" s="23">
        <f>4000000</f>
        <v>4000000</v>
      </c>
      <c r="H20" s="23">
        <f>0</f>
        <v>0</v>
      </c>
      <c r="I20" s="23">
        <f>0</f>
        <v>0</v>
      </c>
      <c r="J20" s="23">
        <f>0</f>
        <v>0</v>
      </c>
      <c r="K20" s="23">
        <f>0</f>
        <v>0</v>
      </c>
      <c r="L20" s="23">
        <f>0</f>
        <v>0</v>
      </c>
      <c r="M20" s="23">
        <f>0</f>
        <v>0</v>
      </c>
      <c r="N20" s="23">
        <f>0</f>
        <v>0</v>
      </c>
      <c r="O20" s="23">
        <f>0</f>
        <v>0</v>
      </c>
      <c r="P20" s="23">
        <f>0</f>
        <v>0</v>
      </c>
      <c r="Q20" s="23">
        <f>0</f>
        <v>0</v>
      </c>
    </row>
    <row r="21" spans="1:17" ht="38.25" customHeight="1">
      <c r="A21" s="22" t="s">
        <v>81</v>
      </c>
      <c r="B21" s="23">
        <f>21973126.38</f>
        <v>21973126.38</v>
      </c>
      <c r="C21" s="23">
        <f>21973126.38</f>
        <v>21973126.38</v>
      </c>
      <c r="D21" s="23">
        <f>5132809.35</f>
        <v>5132809.35</v>
      </c>
      <c r="E21" s="23">
        <f>1347330.88</f>
        <v>1347330.88</v>
      </c>
      <c r="F21" s="23">
        <f>0</f>
        <v>0</v>
      </c>
      <c r="G21" s="23">
        <f>3785478.47</f>
        <v>3785478.47</v>
      </c>
      <c r="H21" s="23">
        <f>0</f>
        <v>0</v>
      </c>
      <c r="I21" s="23">
        <f>0</f>
        <v>0</v>
      </c>
      <c r="J21" s="23">
        <f>0</f>
        <v>0</v>
      </c>
      <c r="K21" s="23">
        <f>0</f>
        <v>0</v>
      </c>
      <c r="L21" s="23">
        <f>5333107</f>
        <v>5333107</v>
      </c>
      <c r="M21" s="23">
        <f>9269610.24</f>
        <v>9269610.24</v>
      </c>
      <c r="N21" s="23">
        <f>2237599.79</f>
        <v>2237599.79</v>
      </c>
      <c r="O21" s="23">
        <f>0</f>
        <v>0</v>
      </c>
      <c r="P21" s="23">
        <f>0</f>
        <v>0</v>
      </c>
      <c r="Q21" s="23">
        <f>0</f>
        <v>0</v>
      </c>
    </row>
    <row r="22" spans="1:17" ht="38.25" customHeight="1">
      <c r="A22" s="20" t="s">
        <v>56</v>
      </c>
      <c r="B22" s="24">
        <f>13730775.52</f>
        <v>13730775.52</v>
      </c>
      <c r="C22" s="24">
        <f>13730775.52</f>
        <v>13730775.52</v>
      </c>
      <c r="D22" s="24">
        <f>1077137.87</f>
        <v>1077137.87</v>
      </c>
      <c r="E22" s="24">
        <f>155.48</f>
        <v>155.48</v>
      </c>
      <c r="F22" s="24">
        <f>0</f>
        <v>0</v>
      </c>
      <c r="G22" s="24">
        <f>1076982.39</f>
        <v>1076982.39</v>
      </c>
      <c r="H22" s="24">
        <f>0</f>
        <v>0</v>
      </c>
      <c r="I22" s="24">
        <f>0</f>
        <v>0</v>
      </c>
      <c r="J22" s="24">
        <f>0</f>
        <v>0</v>
      </c>
      <c r="K22" s="24">
        <f>0</f>
        <v>0</v>
      </c>
      <c r="L22" s="24">
        <f>2514563.27</f>
        <v>2514563.27</v>
      </c>
      <c r="M22" s="24">
        <f>7908985.69</f>
        <v>7908985.69</v>
      </c>
      <c r="N22" s="24">
        <f>2230088.69</f>
        <v>2230088.69</v>
      </c>
      <c r="O22" s="24">
        <f>0</f>
        <v>0</v>
      </c>
      <c r="P22" s="24">
        <f>0</f>
        <v>0</v>
      </c>
      <c r="Q22" s="24">
        <f>0</f>
        <v>0</v>
      </c>
    </row>
    <row r="23" spans="1:17" ht="38.25" customHeight="1">
      <c r="A23" s="20" t="s">
        <v>57</v>
      </c>
      <c r="B23" s="24">
        <f>8242350.86</f>
        <v>8242350.86</v>
      </c>
      <c r="C23" s="24">
        <f>8242350.86</f>
        <v>8242350.86</v>
      </c>
      <c r="D23" s="24">
        <f>4055671.48</f>
        <v>4055671.48</v>
      </c>
      <c r="E23" s="24">
        <f>1347175.4</f>
        <v>1347175.4</v>
      </c>
      <c r="F23" s="24">
        <f>0</f>
        <v>0</v>
      </c>
      <c r="G23" s="24">
        <f>2708496.08</f>
        <v>2708496.08</v>
      </c>
      <c r="H23" s="24">
        <f>0</f>
        <v>0</v>
      </c>
      <c r="I23" s="24">
        <f>0</f>
        <v>0</v>
      </c>
      <c r="J23" s="24">
        <f>0</f>
        <v>0</v>
      </c>
      <c r="K23" s="24">
        <f>0</f>
        <v>0</v>
      </c>
      <c r="L23" s="24">
        <f>2818543.73</f>
        <v>2818543.73</v>
      </c>
      <c r="M23" s="24">
        <f>1360624.55</f>
        <v>1360624.55</v>
      </c>
      <c r="N23" s="24">
        <f>7511.1</f>
        <v>7511.1</v>
      </c>
      <c r="O23" s="24">
        <f>0</f>
        <v>0</v>
      </c>
      <c r="P23" s="24">
        <f>0</f>
        <v>0</v>
      </c>
      <c r="Q23" s="24">
        <f>0</f>
        <v>0</v>
      </c>
    </row>
    <row r="24" spans="1:17" ht="19.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9.5" customHeigh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9.5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9.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9.5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9.5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3" ht="45.75" customHeight="1">
      <c r="A30" s="41" t="str">
        <f>CONCATENATE("Informacja z wykonania budżetów miast na prawach powiatu za  ",$C$94," ",$B$95," roku     ",$B$97,"")</f>
        <v>Informacja z wykonania budżetów miast na prawach powiatu za  IV Kwartały 2021 roku     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2" spans="1:13" ht="13.5" customHeight="1">
      <c r="A32" s="51" t="s">
        <v>12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4" spans="1:17" ht="13.5" customHeight="1">
      <c r="A34" s="70" t="s">
        <v>0</v>
      </c>
      <c r="B34" s="42" t="s">
        <v>13</v>
      </c>
      <c r="C34" s="80" t="s">
        <v>15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80" t="s">
        <v>25</v>
      </c>
      <c r="P34" s="81"/>
      <c r="Q34" s="82"/>
    </row>
    <row r="35" spans="1:17" ht="13.5" customHeight="1">
      <c r="A35" s="71"/>
      <c r="B35" s="43"/>
      <c r="C35" s="43" t="s">
        <v>14</v>
      </c>
      <c r="D35" s="40" t="s">
        <v>16</v>
      </c>
      <c r="E35" s="40" t="s">
        <v>26</v>
      </c>
      <c r="F35" s="40" t="s">
        <v>27</v>
      </c>
      <c r="G35" s="40" t="s">
        <v>76</v>
      </c>
      <c r="H35" s="40" t="s">
        <v>29</v>
      </c>
      <c r="I35" s="40" t="s">
        <v>2</v>
      </c>
      <c r="J35" s="40" t="s">
        <v>17</v>
      </c>
      <c r="K35" s="40" t="s">
        <v>18</v>
      </c>
      <c r="L35" s="40" t="s">
        <v>19</v>
      </c>
      <c r="M35" s="40" t="s">
        <v>20</v>
      </c>
      <c r="N35" s="45" t="s">
        <v>21</v>
      </c>
      <c r="O35" s="40" t="s">
        <v>22</v>
      </c>
      <c r="P35" s="40" t="s">
        <v>23</v>
      </c>
      <c r="Q35" s="42" t="s">
        <v>24</v>
      </c>
    </row>
    <row r="36" spans="1:17" ht="11.25" customHeight="1">
      <c r="A36" s="71"/>
      <c r="B36" s="43"/>
      <c r="C36" s="4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5"/>
      <c r="O36" s="40"/>
      <c r="P36" s="40"/>
      <c r="Q36" s="43"/>
    </row>
    <row r="37" spans="1:17" ht="24.75" customHeight="1">
      <c r="A37" s="72"/>
      <c r="B37" s="44"/>
      <c r="C37" s="4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5"/>
      <c r="O37" s="40"/>
      <c r="P37" s="40"/>
      <c r="Q37" s="44"/>
    </row>
    <row r="38" spans="1:17" ht="13.5" customHeight="1">
      <c r="A38" s="14">
        <v>1</v>
      </c>
      <c r="B38" s="14">
        <v>2</v>
      </c>
      <c r="C38" s="14">
        <v>3</v>
      </c>
      <c r="D38" s="14">
        <v>4</v>
      </c>
      <c r="E38" s="14">
        <v>5</v>
      </c>
      <c r="F38" s="14">
        <v>6</v>
      </c>
      <c r="G38" s="14">
        <v>7</v>
      </c>
      <c r="H38" s="14">
        <v>8</v>
      </c>
      <c r="I38" s="14">
        <v>9</v>
      </c>
      <c r="J38" s="14">
        <v>10</v>
      </c>
      <c r="K38" s="14">
        <v>11</v>
      </c>
      <c r="L38" s="14">
        <v>12</v>
      </c>
      <c r="M38" s="14">
        <v>13</v>
      </c>
      <c r="N38" s="14">
        <v>14</v>
      </c>
      <c r="O38" s="14">
        <v>15</v>
      </c>
      <c r="P38" s="14">
        <v>16</v>
      </c>
      <c r="Q38" s="14">
        <v>17</v>
      </c>
    </row>
    <row r="39" spans="1:17" ht="12.75" customHeight="1">
      <c r="A39" s="13"/>
      <c r="B39" s="33" t="s">
        <v>80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</row>
    <row r="40" spans="1:17" ht="27.75" customHeight="1" hidden="1">
      <c r="A40" s="15" t="s">
        <v>30</v>
      </c>
      <c r="B40" s="16">
        <f>0</f>
        <v>0</v>
      </c>
      <c r="C40" s="16">
        <f>0</f>
        <v>0</v>
      </c>
      <c r="D40" s="16">
        <f>0</f>
        <v>0</v>
      </c>
      <c r="E40" s="16">
        <f>0</f>
        <v>0</v>
      </c>
      <c r="F40" s="16">
        <f>0</f>
        <v>0</v>
      </c>
      <c r="G40" s="16">
        <f>0</f>
        <v>0</v>
      </c>
      <c r="H40" s="16">
        <f>0</f>
        <v>0</v>
      </c>
      <c r="I40" s="16">
        <f>0</f>
        <v>0</v>
      </c>
      <c r="J40" s="16">
        <f>0</f>
        <v>0</v>
      </c>
      <c r="K40" s="16">
        <f>0</f>
        <v>0</v>
      </c>
      <c r="L40" s="16">
        <f>0</f>
        <v>0</v>
      </c>
      <c r="M40" s="16">
        <f>0</f>
        <v>0</v>
      </c>
      <c r="N40" s="16">
        <f>0</f>
        <v>0</v>
      </c>
      <c r="O40" s="16">
        <f>0</f>
        <v>0</v>
      </c>
      <c r="P40" s="16">
        <f>0</f>
        <v>0</v>
      </c>
      <c r="Q40" s="16">
        <f>0</f>
        <v>0</v>
      </c>
    </row>
    <row r="41" spans="1:17" ht="26.25" customHeight="1">
      <c r="A41" s="27" t="s">
        <v>43</v>
      </c>
      <c r="B41" s="25">
        <f>108849.9</f>
        <v>108849.9</v>
      </c>
      <c r="C41" s="25">
        <f>108849.9</f>
        <v>108849.9</v>
      </c>
      <c r="D41" s="25">
        <f>0</f>
        <v>0</v>
      </c>
      <c r="E41" s="25">
        <f>0</f>
        <v>0</v>
      </c>
      <c r="F41" s="25">
        <f>0</f>
        <v>0</v>
      </c>
      <c r="G41" s="25">
        <f>0</f>
        <v>0</v>
      </c>
      <c r="H41" s="25">
        <f>0</f>
        <v>0</v>
      </c>
      <c r="I41" s="25">
        <f>0</f>
        <v>0</v>
      </c>
      <c r="J41" s="25">
        <f>0</f>
        <v>0</v>
      </c>
      <c r="K41" s="25">
        <f>0</f>
        <v>0</v>
      </c>
      <c r="L41" s="25">
        <f>108849.9</f>
        <v>108849.9</v>
      </c>
      <c r="M41" s="25">
        <f>0</f>
        <v>0</v>
      </c>
      <c r="N41" s="25">
        <f>0</f>
        <v>0</v>
      </c>
      <c r="O41" s="25">
        <f>0</f>
        <v>0</v>
      </c>
      <c r="P41" s="25">
        <f>0</f>
        <v>0</v>
      </c>
      <c r="Q41" s="25">
        <f>0</f>
        <v>0</v>
      </c>
    </row>
    <row r="42" spans="1:17" ht="26.25" customHeight="1">
      <c r="A42" s="21" t="s">
        <v>31</v>
      </c>
      <c r="B42" s="26">
        <f>0</f>
        <v>0</v>
      </c>
      <c r="C42" s="26">
        <f>0</f>
        <v>0</v>
      </c>
      <c r="D42" s="26">
        <f>0</f>
        <v>0</v>
      </c>
      <c r="E42" s="26">
        <f>0</f>
        <v>0</v>
      </c>
      <c r="F42" s="26">
        <f>0</f>
        <v>0</v>
      </c>
      <c r="G42" s="26">
        <f>0</f>
        <v>0</v>
      </c>
      <c r="H42" s="26">
        <f>0</f>
        <v>0</v>
      </c>
      <c r="I42" s="26">
        <f>0</f>
        <v>0</v>
      </c>
      <c r="J42" s="26">
        <f>0</f>
        <v>0</v>
      </c>
      <c r="K42" s="26">
        <f>0</f>
        <v>0</v>
      </c>
      <c r="L42" s="26">
        <f>0</f>
        <v>0</v>
      </c>
      <c r="M42" s="26">
        <f>0</f>
        <v>0</v>
      </c>
      <c r="N42" s="26">
        <f>0</f>
        <v>0</v>
      </c>
      <c r="O42" s="26">
        <f>0</f>
        <v>0</v>
      </c>
      <c r="P42" s="26">
        <f>0</f>
        <v>0</v>
      </c>
      <c r="Q42" s="26">
        <f>0</f>
        <v>0</v>
      </c>
    </row>
    <row r="43" spans="1:17" ht="26.25" customHeight="1">
      <c r="A43" s="21" t="s">
        <v>32</v>
      </c>
      <c r="B43" s="26">
        <f>108849.9</f>
        <v>108849.9</v>
      </c>
      <c r="C43" s="26">
        <f>108849.9</f>
        <v>108849.9</v>
      </c>
      <c r="D43" s="26">
        <f>0</f>
        <v>0</v>
      </c>
      <c r="E43" s="26">
        <f>0</f>
        <v>0</v>
      </c>
      <c r="F43" s="26">
        <f>0</f>
        <v>0</v>
      </c>
      <c r="G43" s="26">
        <f>0</f>
        <v>0</v>
      </c>
      <c r="H43" s="26">
        <f>0</f>
        <v>0</v>
      </c>
      <c r="I43" s="26">
        <f>0</f>
        <v>0</v>
      </c>
      <c r="J43" s="26">
        <f>0</f>
        <v>0</v>
      </c>
      <c r="K43" s="26">
        <f>0</f>
        <v>0</v>
      </c>
      <c r="L43" s="26">
        <f>108849.9</f>
        <v>108849.9</v>
      </c>
      <c r="M43" s="26">
        <f>0</f>
        <v>0</v>
      </c>
      <c r="N43" s="26">
        <f>0</f>
        <v>0</v>
      </c>
      <c r="O43" s="26">
        <f>0</f>
        <v>0</v>
      </c>
      <c r="P43" s="26">
        <f>0</f>
        <v>0</v>
      </c>
      <c r="Q43" s="26">
        <f>0</f>
        <v>0</v>
      </c>
    </row>
    <row r="44" spans="1:17" ht="26.25" customHeight="1">
      <c r="A44" s="27" t="s">
        <v>44</v>
      </c>
      <c r="B44" s="25">
        <f>620049047.41</f>
        <v>620049047.41</v>
      </c>
      <c r="C44" s="25">
        <f>620046180.18</f>
        <v>620046180.18</v>
      </c>
      <c r="D44" s="25">
        <f>127839862.14</f>
        <v>127839862.14</v>
      </c>
      <c r="E44" s="25">
        <f>308877.9</f>
        <v>308877.9</v>
      </c>
      <c r="F44" s="25">
        <f>113427.5</f>
        <v>113427.5</v>
      </c>
      <c r="G44" s="25">
        <f>127417556.74</f>
        <v>127417556.74</v>
      </c>
      <c r="H44" s="25">
        <f>0</f>
        <v>0</v>
      </c>
      <c r="I44" s="25">
        <f>0</f>
        <v>0</v>
      </c>
      <c r="J44" s="25">
        <f>30908.02</f>
        <v>30908.02</v>
      </c>
      <c r="K44" s="25">
        <f>192700.92</f>
        <v>192700.92</v>
      </c>
      <c r="L44" s="25">
        <f>270934164.94</f>
        <v>270934164.94</v>
      </c>
      <c r="M44" s="25">
        <f>216942844.18</f>
        <v>216942844.18</v>
      </c>
      <c r="N44" s="25">
        <f>4105699.98</f>
        <v>4105699.98</v>
      </c>
      <c r="O44" s="25">
        <f>2867.23</f>
        <v>2867.23</v>
      </c>
      <c r="P44" s="25">
        <f>0</f>
        <v>0</v>
      </c>
      <c r="Q44" s="25">
        <f>2867.23</f>
        <v>2867.23</v>
      </c>
    </row>
    <row r="45" spans="1:17" ht="26.25" customHeight="1">
      <c r="A45" s="21" t="s">
        <v>33</v>
      </c>
      <c r="B45" s="26">
        <f>47245651.42</f>
        <v>47245651.42</v>
      </c>
      <c r="C45" s="26">
        <f>47245651.42</f>
        <v>47245651.42</v>
      </c>
      <c r="D45" s="26">
        <f>16676314.85</f>
        <v>16676314.85</v>
      </c>
      <c r="E45" s="26">
        <f>308877.9</f>
        <v>308877.9</v>
      </c>
      <c r="F45" s="26">
        <f>0</f>
        <v>0</v>
      </c>
      <c r="G45" s="26">
        <f>16367436.95</f>
        <v>16367436.95</v>
      </c>
      <c r="H45" s="26">
        <f>0</f>
        <v>0</v>
      </c>
      <c r="I45" s="26">
        <f>0</f>
        <v>0</v>
      </c>
      <c r="J45" s="26">
        <f>0</f>
        <v>0</v>
      </c>
      <c r="K45" s="26">
        <f>4560</f>
        <v>4560</v>
      </c>
      <c r="L45" s="26">
        <f>14625796.03</f>
        <v>14625796.03</v>
      </c>
      <c r="M45" s="26">
        <f>15858980.54</f>
        <v>15858980.54</v>
      </c>
      <c r="N45" s="26">
        <f>80000</f>
        <v>80000</v>
      </c>
      <c r="O45" s="26">
        <f>0</f>
        <v>0</v>
      </c>
      <c r="P45" s="26">
        <f>0</f>
        <v>0</v>
      </c>
      <c r="Q45" s="26">
        <f>0</f>
        <v>0</v>
      </c>
    </row>
    <row r="46" spans="1:17" ht="26.25" customHeight="1">
      <c r="A46" s="21" t="s">
        <v>34</v>
      </c>
      <c r="B46" s="26">
        <f>572803395.99</f>
        <v>572803395.99</v>
      </c>
      <c r="C46" s="26">
        <f>572800528.76</f>
        <v>572800528.76</v>
      </c>
      <c r="D46" s="26">
        <f>111163547.29</f>
        <v>111163547.29</v>
      </c>
      <c r="E46" s="26">
        <f>0</f>
        <v>0</v>
      </c>
      <c r="F46" s="26">
        <f>113427.5</f>
        <v>113427.5</v>
      </c>
      <c r="G46" s="26">
        <f>111050119.79</f>
        <v>111050119.79</v>
      </c>
      <c r="H46" s="26">
        <f>0</f>
        <v>0</v>
      </c>
      <c r="I46" s="26">
        <f>0</f>
        <v>0</v>
      </c>
      <c r="J46" s="26">
        <f>30908.02</f>
        <v>30908.02</v>
      </c>
      <c r="K46" s="26">
        <f>188140.92</f>
        <v>188140.92</v>
      </c>
      <c r="L46" s="26">
        <f>256308368.91</f>
        <v>256308368.91</v>
      </c>
      <c r="M46" s="26">
        <f>201083863.64</f>
        <v>201083863.64</v>
      </c>
      <c r="N46" s="26">
        <f>4025699.98</f>
        <v>4025699.98</v>
      </c>
      <c r="O46" s="26">
        <f>2867.23</f>
        <v>2867.23</v>
      </c>
      <c r="P46" s="26">
        <f>0</f>
        <v>0</v>
      </c>
      <c r="Q46" s="26">
        <f>2867.23</f>
        <v>2867.23</v>
      </c>
    </row>
    <row r="47" spans="1:17" ht="26.25" customHeight="1">
      <c r="A47" s="27" t="s">
        <v>45</v>
      </c>
      <c r="B47" s="25">
        <f>14752537191.05</f>
        <v>14752537191.05</v>
      </c>
      <c r="C47" s="25">
        <f>14752537191.05</f>
        <v>14752537191.05</v>
      </c>
      <c r="D47" s="25">
        <f>2707446.42</f>
        <v>2707446.42</v>
      </c>
      <c r="E47" s="25">
        <f>54343.42</f>
        <v>54343.42</v>
      </c>
      <c r="F47" s="25">
        <f>28836.81</f>
        <v>28836.81</v>
      </c>
      <c r="G47" s="25">
        <f>2624266.19</f>
        <v>2624266.19</v>
      </c>
      <c r="H47" s="25">
        <f>0</f>
        <v>0</v>
      </c>
      <c r="I47" s="25">
        <f>11539352.66</f>
        <v>11539352.66</v>
      </c>
      <c r="J47" s="25">
        <f>14736189503.38</f>
        <v>14736189503.38</v>
      </c>
      <c r="K47" s="25">
        <f>9637.6</f>
        <v>9637.6</v>
      </c>
      <c r="L47" s="25">
        <f>1909528.12</f>
        <v>1909528.12</v>
      </c>
      <c r="M47" s="25">
        <f>24707.61</f>
        <v>24707.61</v>
      </c>
      <c r="N47" s="25">
        <f>157015.26</f>
        <v>157015.26</v>
      </c>
      <c r="O47" s="25">
        <f>0</f>
        <v>0</v>
      </c>
      <c r="P47" s="25">
        <f>0</f>
        <v>0</v>
      </c>
      <c r="Q47" s="25">
        <f>0</f>
        <v>0</v>
      </c>
    </row>
    <row r="48" spans="1:17" ht="26.25" customHeight="1">
      <c r="A48" s="21" t="s">
        <v>35</v>
      </c>
      <c r="B48" s="26">
        <f>2536274.51</f>
        <v>2536274.51</v>
      </c>
      <c r="C48" s="26">
        <f>2536274.51</f>
        <v>2536274.51</v>
      </c>
      <c r="D48" s="26">
        <f>2536274.51</f>
        <v>2536274.51</v>
      </c>
      <c r="E48" s="26">
        <f>0</f>
        <v>0</v>
      </c>
      <c r="F48" s="26">
        <f>0</f>
        <v>0</v>
      </c>
      <c r="G48" s="26">
        <f>2536274.51</f>
        <v>2536274.51</v>
      </c>
      <c r="H48" s="26">
        <f>0</f>
        <v>0</v>
      </c>
      <c r="I48" s="26">
        <f>0</f>
        <v>0</v>
      </c>
      <c r="J48" s="26">
        <f>0</f>
        <v>0</v>
      </c>
      <c r="K48" s="26">
        <f>0</f>
        <v>0</v>
      </c>
      <c r="L48" s="26">
        <f>0</f>
        <v>0</v>
      </c>
      <c r="M48" s="26">
        <f>0</f>
        <v>0</v>
      </c>
      <c r="N48" s="26">
        <f>0</f>
        <v>0</v>
      </c>
      <c r="O48" s="26">
        <f>0</f>
        <v>0</v>
      </c>
      <c r="P48" s="26">
        <f>0</f>
        <v>0</v>
      </c>
      <c r="Q48" s="26">
        <f>0</f>
        <v>0</v>
      </c>
    </row>
    <row r="49" spans="1:17" ht="26.25" customHeight="1">
      <c r="A49" s="21" t="s">
        <v>36</v>
      </c>
      <c r="B49" s="26">
        <f>14465277117.99</f>
        <v>14465277117.99</v>
      </c>
      <c r="C49" s="26">
        <f>14465277117.99</f>
        <v>14465277117.99</v>
      </c>
      <c r="D49" s="26">
        <f>18306.77</f>
        <v>18306.77</v>
      </c>
      <c r="E49" s="26">
        <f>0</f>
        <v>0</v>
      </c>
      <c r="F49" s="26">
        <f>545.81</f>
        <v>545.81</v>
      </c>
      <c r="G49" s="26">
        <f>17760.96</f>
        <v>17760.96</v>
      </c>
      <c r="H49" s="26">
        <f>0</f>
        <v>0</v>
      </c>
      <c r="I49" s="26">
        <f>11486936.66</f>
        <v>11486936.66</v>
      </c>
      <c r="J49" s="26">
        <f>14453106308.93</f>
        <v>14453106308.93</v>
      </c>
      <c r="K49" s="26">
        <f>9637.6</f>
        <v>9637.6</v>
      </c>
      <c r="L49" s="26">
        <f>654259.33</f>
        <v>654259.33</v>
      </c>
      <c r="M49" s="26">
        <f>1668.7</f>
        <v>1668.7</v>
      </c>
      <c r="N49" s="26">
        <f>0</f>
        <v>0</v>
      </c>
      <c r="O49" s="26">
        <f>0</f>
        <v>0</v>
      </c>
      <c r="P49" s="26">
        <f>0</f>
        <v>0</v>
      </c>
      <c r="Q49" s="26">
        <f>0</f>
        <v>0</v>
      </c>
    </row>
    <row r="50" spans="1:17" ht="26.25" customHeight="1">
      <c r="A50" s="21" t="s">
        <v>37</v>
      </c>
      <c r="B50" s="26">
        <f>284723798.55</f>
        <v>284723798.55</v>
      </c>
      <c r="C50" s="26">
        <f>284723798.55</f>
        <v>284723798.55</v>
      </c>
      <c r="D50" s="26">
        <f>152865.14</f>
        <v>152865.14</v>
      </c>
      <c r="E50" s="26">
        <f>54343.42</f>
        <v>54343.42</v>
      </c>
      <c r="F50" s="26">
        <f>28291</f>
        <v>28291</v>
      </c>
      <c r="G50" s="26">
        <f>70230.72</f>
        <v>70230.72</v>
      </c>
      <c r="H50" s="26">
        <f>0</f>
        <v>0</v>
      </c>
      <c r="I50" s="26">
        <f>52416</f>
        <v>52416</v>
      </c>
      <c r="J50" s="26">
        <f>283083194.45</f>
        <v>283083194.45</v>
      </c>
      <c r="K50" s="26">
        <f>0</f>
        <v>0</v>
      </c>
      <c r="L50" s="26">
        <f>1255268.79</f>
        <v>1255268.79</v>
      </c>
      <c r="M50" s="26">
        <f>23038.91</f>
        <v>23038.91</v>
      </c>
      <c r="N50" s="26">
        <f>157015.26</f>
        <v>157015.26</v>
      </c>
      <c r="O50" s="26">
        <f>0</f>
        <v>0</v>
      </c>
      <c r="P50" s="26">
        <f>0</f>
        <v>0</v>
      </c>
      <c r="Q50" s="26">
        <f>0</f>
        <v>0</v>
      </c>
    </row>
    <row r="51" spans="1:17" ht="26.25" customHeight="1">
      <c r="A51" s="27" t="s">
        <v>46</v>
      </c>
      <c r="B51" s="25">
        <f>11781347475.73</f>
        <v>11781347475.73</v>
      </c>
      <c r="C51" s="25">
        <f>11757037032.1</f>
        <v>11757037032.1</v>
      </c>
      <c r="D51" s="25">
        <f>426288868.11</f>
        <v>426288868.11</v>
      </c>
      <c r="E51" s="25">
        <f>113391192.81</f>
        <v>113391192.81</v>
      </c>
      <c r="F51" s="25">
        <f>10373671.38</f>
        <v>10373671.38</v>
      </c>
      <c r="G51" s="25">
        <f>300003659.44</f>
        <v>300003659.44</v>
      </c>
      <c r="H51" s="25">
        <f>2520344.48</f>
        <v>2520344.48</v>
      </c>
      <c r="I51" s="25">
        <f>191720.77</f>
        <v>191720.77</v>
      </c>
      <c r="J51" s="25">
        <f>504969.04</f>
        <v>504969.04</v>
      </c>
      <c r="K51" s="25">
        <f>2491762.48</f>
        <v>2491762.48</v>
      </c>
      <c r="L51" s="25">
        <f>2500851027.69</f>
        <v>2500851027.69</v>
      </c>
      <c r="M51" s="25">
        <f>8756383434.57</f>
        <v>8756383434.57</v>
      </c>
      <c r="N51" s="25">
        <f>70325249.44</f>
        <v>70325249.44</v>
      </c>
      <c r="O51" s="25">
        <f>24310443.63</f>
        <v>24310443.63</v>
      </c>
      <c r="P51" s="25">
        <f>13625079.58</f>
        <v>13625079.58</v>
      </c>
      <c r="Q51" s="25">
        <f>10685364.05</f>
        <v>10685364.05</v>
      </c>
    </row>
    <row r="52" spans="1:17" ht="26.25" customHeight="1">
      <c r="A52" s="21" t="s">
        <v>38</v>
      </c>
      <c r="B52" s="26">
        <f>5049777218.26</f>
        <v>5049777218.26</v>
      </c>
      <c r="C52" s="26">
        <f>5047996897.2</f>
        <v>5047996897.2</v>
      </c>
      <c r="D52" s="26">
        <f>74141496.19</f>
        <v>74141496.19</v>
      </c>
      <c r="E52" s="26">
        <f>1374565.34</f>
        <v>1374565.34</v>
      </c>
      <c r="F52" s="26">
        <f>2108405.33</f>
        <v>2108405.33</v>
      </c>
      <c r="G52" s="26">
        <f>70658460.49</f>
        <v>70658460.49</v>
      </c>
      <c r="H52" s="26">
        <f>65.03</f>
        <v>65.03</v>
      </c>
      <c r="I52" s="26">
        <f>0</f>
        <v>0</v>
      </c>
      <c r="J52" s="26">
        <f>65556.88</f>
        <v>65556.88</v>
      </c>
      <c r="K52" s="26">
        <f>621544.2</f>
        <v>621544.2</v>
      </c>
      <c r="L52" s="26">
        <f>670053872.31</f>
        <v>670053872.31</v>
      </c>
      <c r="M52" s="26">
        <f>4271135772.81</f>
        <v>4271135772.81</v>
      </c>
      <c r="N52" s="26">
        <f>31978654.81</f>
        <v>31978654.81</v>
      </c>
      <c r="O52" s="26">
        <f>1780321.06</f>
        <v>1780321.06</v>
      </c>
      <c r="P52" s="26">
        <f>479577.29</f>
        <v>479577.29</v>
      </c>
      <c r="Q52" s="26">
        <f>1300743.77</f>
        <v>1300743.77</v>
      </c>
    </row>
    <row r="53" spans="1:17" ht="26.25" customHeight="1">
      <c r="A53" s="21" t="s">
        <v>39</v>
      </c>
      <c r="B53" s="26">
        <f>6731570257.47</f>
        <v>6731570257.47</v>
      </c>
      <c r="C53" s="26">
        <f>6709040134.9</f>
        <v>6709040134.9</v>
      </c>
      <c r="D53" s="26">
        <f>352147371.92</f>
        <v>352147371.92</v>
      </c>
      <c r="E53" s="26">
        <f>112016627.47</f>
        <v>112016627.47</v>
      </c>
      <c r="F53" s="26">
        <f>8265266.05</f>
        <v>8265266.05</v>
      </c>
      <c r="G53" s="26">
        <f>229345198.95</f>
        <v>229345198.95</v>
      </c>
      <c r="H53" s="26">
        <f>2520279.45</f>
        <v>2520279.45</v>
      </c>
      <c r="I53" s="26">
        <f>191720.77</f>
        <v>191720.77</v>
      </c>
      <c r="J53" s="26">
        <f>439412.16</f>
        <v>439412.16</v>
      </c>
      <c r="K53" s="26">
        <f>1870218.28</f>
        <v>1870218.28</v>
      </c>
      <c r="L53" s="26">
        <f>1830797155.38</f>
        <v>1830797155.38</v>
      </c>
      <c r="M53" s="26">
        <f>4485247661.76</f>
        <v>4485247661.76</v>
      </c>
      <c r="N53" s="26">
        <f>38346594.63</f>
        <v>38346594.63</v>
      </c>
      <c r="O53" s="26">
        <f>22530122.57</f>
        <v>22530122.57</v>
      </c>
      <c r="P53" s="26">
        <f>13145502.29</f>
        <v>13145502.29</v>
      </c>
      <c r="Q53" s="26">
        <f>9384620.28</f>
        <v>9384620.28</v>
      </c>
    </row>
    <row r="54" spans="1:17" ht="26.25" customHeight="1">
      <c r="A54" s="27" t="s">
        <v>47</v>
      </c>
      <c r="B54" s="25">
        <f>3281332557.97</f>
        <v>3281332557.97</v>
      </c>
      <c r="C54" s="25">
        <f>3254079978.13</f>
        <v>3254079978.13</v>
      </c>
      <c r="D54" s="25">
        <f>711859227.91</f>
        <v>711859227.91</v>
      </c>
      <c r="E54" s="25">
        <f>418813674.77</f>
        <v>418813674.77</v>
      </c>
      <c r="F54" s="25">
        <f>4737856.34</f>
        <v>4737856.34</v>
      </c>
      <c r="G54" s="25">
        <f>279003782.2</f>
        <v>279003782.2</v>
      </c>
      <c r="H54" s="25">
        <f>9303914.6</f>
        <v>9303914.6</v>
      </c>
      <c r="I54" s="25">
        <f>2083.31</f>
        <v>2083.31</v>
      </c>
      <c r="J54" s="25">
        <f>472743.81</f>
        <v>472743.81</v>
      </c>
      <c r="K54" s="25">
        <f>1300641.09</f>
        <v>1300641.09</v>
      </c>
      <c r="L54" s="25">
        <f>1351929212.61</f>
        <v>1351929212.61</v>
      </c>
      <c r="M54" s="25">
        <f>1003327353.46</f>
        <v>1003327353.46</v>
      </c>
      <c r="N54" s="25">
        <f>185188715.94</f>
        <v>185188715.94</v>
      </c>
      <c r="O54" s="25">
        <f>27252579.84</f>
        <v>27252579.84</v>
      </c>
      <c r="P54" s="25">
        <f>25009695.32</f>
        <v>25009695.32</v>
      </c>
      <c r="Q54" s="25">
        <f>2242884.52</f>
        <v>2242884.52</v>
      </c>
    </row>
    <row r="55" spans="1:17" ht="26.25" customHeight="1">
      <c r="A55" s="21" t="s">
        <v>40</v>
      </c>
      <c r="B55" s="26">
        <f>503546494.05</f>
        <v>503546494.05</v>
      </c>
      <c r="C55" s="26">
        <f>503522209.53</f>
        <v>503522209.53</v>
      </c>
      <c r="D55" s="26">
        <f>18630738.85</f>
        <v>18630738.85</v>
      </c>
      <c r="E55" s="26">
        <f>2509719.38</f>
        <v>2509719.38</v>
      </c>
      <c r="F55" s="26">
        <f>509156.85</f>
        <v>509156.85</v>
      </c>
      <c r="G55" s="26">
        <f>14820607.48</f>
        <v>14820607.48</v>
      </c>
      <c r="H55" s="26">
        <f>791255.14</f>
        <v>791255.14</v>
      </c>
      <c r="I55" s="26">
        <f>0</f>
        <v>0</v>
      </c>
      <c r="J55" s="26">
        <f>200805.18</f>
        <v>200805.18</v>
      </c>
      <c r="K55" s="26">
        <f>628096.92</f>
        <v>628096.92</v>
      </c>
      <c r="L55" s="26">
        <f>219235298.03</f>
        <v>219235298.03</v>
      </c>
      <c r="M55" s="26">
        <f>258256480.42</f>
        <v>258256480.42</v>
      </c>
      <c r="N55" s="26">
        <f>6570790.13</f>
        <v>6570790.13</v>
      </c>
      <c r="O55" s="26">
        <f>24284.52</f>
        <v>24284.52</v>
      </c>
      <c r="P55" s="26">
        <f>23634.81</f>
        <v>23634.81</v>
      </c>
      <c r="Q55" s="26">
        <f>649.71</f>
        <v>649.71</v>
      </c>
    </row>
    <row r="56" spans="1:17" ht="36.75" customHeight="1">
      <c r="A56" s="21" t="s">
        <v>41</v>
      </c>
      <c r="B56" s="26">
        <f>195956513.23</f>
        <v>195956513.23</v>
      </c>
      <c r="C56" s="26">
        <f>195955779.23</f>
        <v>195955779.23</v>
      </c>
      <c r="D56" s="26">
        <f>51711419.94</f>
        <v>51711419.94</v>
      </c>
      <c r="E56" s="26">
        <f>43587548.02</f>
        <v>43587548.02</v>
      </c>
      <c r="F56" s="26">
        <f>231149.98</f>
        <v>231149.98</v>
      </c>
      <c r="G56" s="26">
        <f>7284933</f>
        <v>7284933</v>
      </c>
      <c r="H56" s="26">
        <f>607788.94</f>
        <v>607788.94</v>
      </c>
      <c r="I56" s="26">
        <f>0</f>
        <v>0</v>
      </c>
      <c r="J56" s="26">
        <f>3340.56</f>
        <v>3340.56</v>
      </c>
      <c r="K56" s="26">
        <f>234</f>
        <v>234</v>
      </c>
      <c r="L56" s="26">
        <f>92937655.95</f>
        <v>92937655.95</v>
      </c>
      <c r="M56" s="26">
        <f>48807423.44</f>
        <v>48807423.44</v>
      </c>
      <c r="N56" s="26">
        <f>2495705.34</f>
        <v>2495705.34</v>
      </c>
      <c r="O56" s="26">
        <f>734</f>
        <v>734</v>
      </c>
      <c r="P56" s="26">
        <f>682</f>
        <v>682</v>
      </c>
      <c r="Q56" s="26">
        <f>52</f>
        <v>52</v>
      </c>
    </row>
    <row r="57" spans="1:17" ht="26.25" customHeight="1">
      <c r="A57" s="21" t="s">
        <v>42</v>
      </c>
      <c r="B57" s="26">
        <f>2581829550.69</f>
        <v>2581829550.69</v>
      </c>
      <c r="C57" s="26">
        <f>2554601989.37</f>
        <v>2554601989.37</v>
      </c>
      <c r="D57" s="26">
        <f>641517069.12</f>
        <v>641517069.12</v>
      </c>
      <c r="E57" s="26">
        <f>372716407.37</f>
        <v>372716407.37</v>
      </c>
      <c r="F57" s="26">
        <f>3997549.51</f>
        <v>3997549.51</v>
      </c>
      <c r="G57" s="26">
        <f>256898241.72</f>
        <v>256898241.72</v>
      </c>
      <c r="H57" s="26">
        <f>7904870.52</f>
        <v>7904870.52</v>
      </c>
      <c r="I57" s="26">
        <f>2083.31</f>
        <v>2083.31</v>
      </c>
      <c r="J57" s="26">
        <f>268598.07</f>
        <v>268598.07</v>
      </c>
      <c r="K57" s="26">
        <f>672310.17</f>
        <v>672310.17</v>
      </c>
      <c r="L57" s="26">
        <f>1039756258.63</f>
        <v>1039756258.63</v>
      </c>
      <c r="M57" s="26">
        <f>696263449.6</f>
        <v>696263449.6</v>
      </c>
      <c r="N57" s="26">
        <f>176122220.47</f>
        <v>176122220.47</v>
      </c>
      <c r="O57" s="26">
        <f>27227561.32</f>
        <v>27227561.32</v>
      </c>
      <c r="P57" s="26">
        <f>24985378.51</f>
        <v>24985378.51</v>
      </c>
      <c r="Q57" s="26">
        <f>2242182.81</f>
        <v>2242182.81</v>
      </c>
    </row>
    <row r="67" spans="1:13" ht="75" customHeight="1">
      <c r="A67" s="41" t="str">
        <f>CONCATENATE("Informacja z wykonania budżetów miast na prawach powiatu za  ",$C$94," ",$B$95," roku     ",$B$97,"")</f>
        <v>Informacja z wykonania budżetów miast na prawach powiatu za  IV Kwartały 2021 roku     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2:13" ht="13.5" customHeight="1">
      <c r="B68" s="51" t="s">
        <v>3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70" spans="2:12" ht="13.5" customHeight="1">
      <c r="B70" s="52" t="s">
        <v>0</v>
      </c>
      <c r="C70" s="53"/>
      <c r="D70" s="53"/>
      <c r="E70" s="54"/>
      <c r="F70" s="73" t="s">
        <v>74</v>
      </c>
      <c r="G70" s="33" t="s">
        <v>73</v>
      </c>
      <c r="H70" s="34"/>
      <c r="I70" s="34"/>
      <c r="J70" s="34"/>
      <c r="K70" s="34"/>
      <c r="L70" s="35"/>
    </row>
    <row r="71" spans="2:12" ht="13.5" customHeight="1">
      <c r="B71" s="55"/>
      <c r="C71" s="56"/>
      <c r="D71" s="56"/>
      <c r="E71" s="57"/>
      <c r="F71" s="74"/>
      <c r="G71" s="76" t="s">
        <v>75</v>
      </c>
      <c r="H71" s="29" t="s">
        <v>71</v>
      </c>
      <c r="I71" s="29" t="s">
        <v>72</v>
      </c>
      <c r="J71" s="29" t="s">
        <v>76</v>
      </c>
      <c r="K71" s="29" t="s">
        <v>77</v>
      </c>
      <c r="L71" s="36" t="s">
        <v>78</v>
      </c>
    </row>
    <row r="72" spans="2:12" ht="13.5" customHeight="1">
      <c r="B72" s="55"/>
      <c r="C72" s="56"/>
      <c r="D72" s="56"/>
      <c r="E72" s="57"/>
      <c r="F72" s="74"/>
      <c r="G72" s="76"/>
      <c r="H72" s="29"/>
      <c r="I72" s="29"/>
      <c r="J72" s="29"/>
      <c r="K72" s="29"/>
      <c r="L72" s="36"/>
    </row>
    <row r="73" spans="2:12" ht="11.25" customHeight="1">
      <c r="B73" s="55"/>
      <c r="C73" s="56"/>
      <c r="D73" s="56"/>
      <c r="E73" s="57"/>
      <c r="F73" s="74"/>
      <c r="G73" s="76"/>
      <c r="H73" s="29"/>
      <c r="I73" s="29"/>
      <c r="J73" s="29"/>
      <c r="K73" s="29"/>
      <c r="L73" s="36"/>
    </row>
    <row r="74" spans="2:12" ht="11.25" customHeight="1">
      <c r="B74" s="58"/>
      <c r="C74" s="59"/>
      <c r="D74" s="59"/>
      <c r="E74" s="60"/>
      <c r="F74" s="75"/>
      <c r="G74" s="76"/>
      <c r="H74" s="29"/>
      <c r="I74" s="29"/>
      <c r="J74" s="29"/>
      <c r="K74" s="29"/>
      <c r="L74" s="36"/>
    </row>
    <row r="75" spans="2:12" ht="11.25" customHeight="1">
      <c r="B75" s="29">
        <v>1</v>
      </c>
      <c r="C75" s="29"/>
      <c r="D75" s="29"/>
      <c r="E75" s="29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13">
        <v>8</v>
      </c>
    </row>
    <row r="76" spans="2:12" ht="11.25" customHeight="1">
      <c r="B76" s="28"/>
      <c r="C76" s="28"/>
      <c r="D76" s="28"/>
      <c r="E76" s="28"/>
      <c r="F76" s="29" t="s">
        <v>80</v>
      </c>
      <c r="G76" s="29"/>
      <c r="H76" s="29"/>
      <c r="I76" s="29"/>
      <c r="J76" s="29"/>
      <c r="K76" s="29"/>
      <c r="L76" s="29"/>
    </row>
    <row r="77" spans="2:12" ht="47.25" customHeight="1">
      <c r="B77" s="46" t="s">
        <v>58</v>
      </c>
      <c r="C77" s="47"/>
      <c r="D77" s="47"/>
      <c r="E77" s="48"/>
      <c r="F77" s="24">
        <f>1785144178.68</f>
        <v>1785144178.68</v>
      </c>
      <c r="G77" s="24">
        <f>276886962.26</f>
        <v>276886962.26</v>
      </c>
      <c r="H77" s="24">
        <f>19147000</f>
        <v>19147000</v>
      </c>
      <c r="I77" s="24">
        <f>107931251</f>
        <v>107931251</v>
      </c>
      <c r="J77" s="24">
        <f>149808711.26</f>
        <v>149808711.26</v>
      </c>
      <c r="K77" s="24">
        <f>0</f>
        <v>0</v>
      </c>
      <c r="L77" s="24">
        <f>1508257216.42</f>
        <v>1508257216.42</v>
      </c>
    </row>
    <row r="78" spans="2:12" ht="47.25" customHeight="1">
      <c r="B78" s="46" t="s">
        <v>59</v>
      </c>
      <c r="C78" s="47"/>
      <c r="D78" s="47"/>
      <c r="E78" s="48"/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</row>
    <row r="79" spans="2:12" ht="47.25" customHeight="1">
      <c r="B79" s="46" t="s">
        <v>60</v>
      </c>
      <c r="C79" s="47"/>
      <c r="D79" s="47"/>
      <c r="E79" s="48"/>
      <c r="F79" s="24">
        <f>19341370.13</f>
        <v>19341370.13</v>
      </c>
      <c r="G79" s="24">
        <f>13253370.13</f>
        <v>13253370.13</v>
      </c>
      <c r="H79" s="24">
        <f>0</f>
        <v>0</v>
      </c>
      <c r="I79" s="24">
        <f>0</f>
        <v>0</v>
      </c>
      <c r="J79" s="24">
        <f>13253370.13</f>
        <v>13253370.13</v>
      </c>
      <c r="K79" s="24">
        <f>0</f>
        <v>0</v>
      </c>
      <c r="L79" s="24">
        <f>6088000</f>
        <v>6088000</v>
      </c>
    </row>
    <row r="80" spans="2:12" ht="47.25" customHeight="1">
      <c r="B80" s="46" t="s">
        <v>61</v>
      </c>
      <c r="C80" s="47"/>
      <c r="D80" s="47"/>
      <c r="E80" s="48"/>
      <c r="F80" s="24">
        <f>4500001.34</f>
        <v>4500001.34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4500001.34</f>
        <v>4500001.34</v>
      </c>
    </row>
    <row r="81" spans="2:12" ht="47.25" customHeight="1">
      <c r="B81" s="46" t="s">
        <v>62</v>
      </c>
      <c r="C81" s="47"/>
      <c r="D81" s="47"/>
      <c r="E81" s="48"/>
      <c r="F81" s="24">
        <f>2364150.96</f>
        <v>2364150.96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2364150.96</f>
        <v>2364150.96</v>
      </c>
    </row>
    <row r="82" spans="2:12" ht="47.25" customHeight="1">
      <c r="B82" s="46" t="s">
        <v>63</v>
      </c>
      <c r="C82" s="47"/>
      <c r="D82" s="47"/>
      <c r="E82" s="48"/>
      <c r="F82" s="24">
        <f>9262046.47</f>
        <v>9262046.47</v>
      </c>
      <c r="G82" s="24">
        <f>1395709.44</f>
        <v>1395709.44</v>
      </c>
      <c r="H82" s="24">
        <f>0</f>
        <v>0</v>
      </c>
      <c r="I82" s="24">
        <f>0</f>
        <v>0</v>
      </c>
      <c r="J82" s="24">
        <f>1395709.44</f>
        <v>1395709.44</v>
      </c>
      <c r="K82" s="24">
        <f>0</f>
        <v>0</v>
      </c>
      <c r="L82" s="24">
        <f>7866337.03</f>
        <v>7866337.03</v>
      </c>
    </row>
    <row r="83" spans="2:12" ht="47.25" customHeight="1">
      <c r="B83" s="46" t="s">
        <v>64</v>
      </c>
      <c r="C83" s="47"/>
      <c r="D83" s="47"/>
      <c r="E83" s="48"/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</row>
    <row r="86" spans="1:13" ht="75" customHeight="1">
      <c r="A86" s="41" t="str">
        <f>CONCATENATE("Informacja z wykonania budżetów miast na prawach powiatu za  ",$C$94," ",$B$95," roku     ",$B$97,"")</f>
        <v>Informacja z wykonania budżetów miast na prawach powiatu za  IV Kwartały 2021 roku     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ht="13.5" customHeight="1">
      <c r="B87" s="4"/>
    </row>
    <row r="88" spans="2:11" ht="13.5" customHeight="1">
      <c r="B88" s="5"/>
      <c r="C88" s="33"/>
      <c r="D88" s="34"/>
      <c r="E88" s="34"/>
      <c r="F88" s="35"/>
      <c r="G88" s="33" t="s">
        <v>4</v>
      </c>
      <c r="H88" s="35"/>
      <c r="I88" s="33" t="s">
        <v>5</v>
      </c>
      <c r="J88" s="35"/>
      <c r="K88" s="5"/>
    </row>
    <row r="89" spans="2:11" ht="13.5" customHeight="1">
      <c r="B89" s="6"/>
      <c r="C89" s="46" t="s">
        <v>6</v>
      </c>
      <c r="D89" s="47"/>
      <c r="E89" s="47"/>
      <c r="F89" s="48"/>
      <c r="G89" s="64">
        <f>49</f>
        <v>49</v>
      </c>
      <c r="H89" s="65"/>
      <c r="I89" s="49">
        <f>3822165258.01</f>
        <v>3822165258.01</v>
      </c>
      <c r="J89" s="50"/>
      <c r="K89" s="7"/>
    </row>
    <row r="90" spans="2:11" ht="13.5" customHeight="1">
      <c r="B90" s="6"/>
      <c r="C90" s="61" t="s">
        <v>7</v>
      </c>
      <c r="D90" s="62"/>
      <c r="E90" s="62"/>
      <c r="F90" s="63"/>
      <c r="G90" s="66">
        <f>17</f>
        <v>17</v>
      </c>
      <c r="H90" s="67"/>
      <c r="I90" s="68">
        <f>-980095781.93</f>
        <v>-980095781.93</v>
      </c>
      <c r="J90" s="69"/>
      <c r="K90" s="7"/>
    </row>
    <row r="91" spans="2:11" ht="13.5" customHeight="1">
      <c r="B91" s="6"/>
      <c r="C91" s="46" t="s">
        <v>8</v>
      </c>
      <c r="D91" s="47"/>
      <c r="E91" s="47"/>
      <c r="F91" s="48"/>
      <c r="G91" s="64">
        <f>0</f>
        <v>0</v>
      </c>
      <c r="H91" s="65"/>
      <c r="I91" s="49">
        <f>0</f>
        <v>0</v>
      </c>
      <c r="J91" s="50"/>
      <c r="K91" s="7"/>
    </row>
    <row r="94" spans="1:3" ht="13.5" customHeight="1">
      <c r="A94" s="8" t="s">
        <v>9</v>
      </c>
      <c r="B94" s="8">
        <f>4</f>
        <v>4</v>
      </c>
      <c r="C94" s="8" t="str">
        <f>IF(B94=1,"I Kwartał",IF(B94=2,"II Kwartały",IF(B94=3,"III Kwartały",IF(B94=4,"IV Kwartały","-"))))</f>
        <v>IV Kwartały</v>
      </c>
    </row>
    <row r="95" spans="1:3" ht="13.5" customHeight="1">
      <c r="A95" s="8" t="s">
        <v>10</v>
      </c>
      <c r="B95" s="8">
        <f>2021</f>
        <v>2021</v>
      </c>
      <c r="C95" s="9"/>
    </row>
    <row r="96" spans="1:3" ht="13.5" customHeight="1">
      <c r="A96" s="8" t="s">
        <v>11</v>
      </c>
      <c r="B96" s="10" t="str">
        <f>"Mar 21 2022 12:00AM"</f>
        <v>Mar 21 2022 12:00AM</v>
      </c>
      <c r="C96" s="9"/>
    </row>
    <row r="97" spans="1:2" ht="13.5" customHeight="1">
      <c r="A97" s="17" t="s">
        <v>79</v>
      </c>
      <c r="B97" s="10">
        <f>""</f>
      </c>
    </row>
  </sheetData>
  <sheetProtection/>
  <mergeCells count="79">
    <mergeCell ref="A34:A37"/>
    <mergeCell ref="C35:C37"/>
    <mergeCell ref="E35:E37"/>
    <mergeCell ref="K71:K74"/>
    <mergeCell ref="F35:F37"/>
    <mergeCell ref="G35:G37"/>
    <mergeCell ref="H35:H37"/>
    <mergeCell ref="K35:K37"/>
    <mergeCell ref="I35:I37"/>
    <mergeCell ref="J35:J37"/>
    <mergeCell ref="Q7:Q10"/>
    <mergeCell ref="C34:N34"/>
    <mergeCell ref="L7:L10"/>
    <mergeCell ref="M7:M10"/>
    <mergeCell ref="N7:N10"/>
    <mergeCell ref="P7:P10"/>
    <mergeCell ref="A30:M30"/>
    <mergeCell ref="O34:Q34"/>
    <mergeCell ref="A32:M32"/>
    <mergeCell ref="B34:B37"/>
    <mergeCell ref="A1:M1"/>
    <mergeCell ref="C5:M5"/>
    <mergeCell ref="A3:M3"/>
    <mergeCell ref="K7:K10"/>
    <mergeCell ref="C7:C10"/>
    <mergeCell ref="B6:B10"/>
    <mergeCell ref="F70:F74"/>
    <mergeCell ref="G71:G74"/>
    <mergeCell ref="G7:G10"/>
    <mergeCell ref="F7:F10"/>
    <mergeCell ref="I7:I10"/>
    <mergeCell ref="J7:J10"/>
    <mergeCell ref="I91:J91"/>
    <mergeCell ref="I90:J90"/>
    <mergeCell ref="A6:A10"/>
    <mergeCell ref="C6:N6"/>
    <mergeCell ref="D7:D10"/>
    <mergeCell ref="E7:E10"/>
    <mergeCell ref="B81:E81"/>
    <mergeCell ref="B78:E78"/>
    <mergeCell ref="M35:M37"/>
    <mergeCell ref="B77:E77"/>
    <mergeCell ref="C89:F89"/>
    <mergeCell ref="C90:F90"/>
    <mergeCell ref="C91:F91"/>
    <mergeCell ref="G89:H89"/>
    <mergeCell ref="G88:H88"/>
    <mergeCell ref="G90:H90"/>
    <mergeCell ref="G91:H91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C88:F88"/>
    <mergeCell ref="Q35:Q37"/>
    <mergeCell ref="N35:N37"/>
    <mergeCell ref="O35:O37"/>
    <mergeCell ref="D35:D37"/>
    <mergeCell ref="H7:H10"/>
    <mergeCell ref="B82:E82"/>
    <mergeCell ref="G70:L70"/>
    <mergeCell ref="H71:H74"/>
    <mergeCell ref="I71:I74"/>
    <mergeCell ref="J71:J74"/>
    <mergeCell ref="B76:E76"/>
    <mergeCell ref="F76:L76"/>
    <mergeCell ref="B12:Q12"/>
    <mergeCell ref="B39:Q39"/>
    <mergeCell ref="L71:L74"/>
    <mergeCell ref="O6:Q6"/>
    <mergeCell ref="O7:O10"/>
    <mergeCell ref="A67:M67"/>
    <mergeCell ref="L35:L37"/>
    <mergeCell ref="P35:P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Kołacz Bernard</cp:lastModifiedBy>
  <cp:lastPrinted>2016-08-26T11:41:03Z</cp:lastPrinted>
  <dcterms:created xsi:type="dcterms:W3CDTF">2001-05-17T08:58:03Z</dcterms:created>
  <dcterms:modified xsi:type="dcterms:W3CDTF">2022-04-05T07:01:47Z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MF\HHCY;Kołacz Bernard</vt:lpwstr>
  </property>
  <property fmtid="{D5CDD505-2E9C-101B-9397-08002B2CF9AE}" pid="4" name="MFClassificationDate">
    <vt:lpwstr>2022-04-05T09:01:42.0301605+02:00</vt:lpwstr>
  </property>
  <property fmtid="{D5CDD505-2E9C-101B-9397-08002B2CF9AE}" pid="5" name="MFClassifiedBySID">
    <vt:lpwstr>MF\S-1-5-21-1525952054-1005573771-2909822258-435687</vt:lpwstr>
  </property>
  <property fmtid="{D5CDD505-2E9C-101B-9397-08002B2CF9AE}" pid="6" name="MFGRNItemId">
    <vt:lpwstr>GRN-e40e7636-7399-4bad-874a-8e17f766875b</vt:lpwstr>
  </property>
  <property fmtid="{D5CDD505-2E9C-101B-9397-08002B2CF9AE}" pid="7" name="MFHash">
    <vt:lpwstr>S2Us5LprvwuBtHOOxQtxpdAj9X+okHORyd1itlGSwnM=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