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<sst xmlns="http://schemas.openxmlformats.org/spreadsheetml/2006/main" count="98" uniqueCount="82">
  <si>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</si>
  <si>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</si>
  <si>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</si>
  <si>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</si>
  <si>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</si>
  <si>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</si>
  <si>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</si>
  <si>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</si>
  <si>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kwartał</t>
  </si>
  <si>
    <t>rok</t>
  </si>
  <si>
    <t>stanNa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</si>
  <si>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</si>
  <si>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</si>
  <si>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</si>
  <si>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</si>
  <si>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</si>
  <si>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</si>
  <si>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</si>
  <si>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</si>
  <si>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</si>
  <si>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</si>
  <si>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</si>
  <si>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</si>
  <si>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</si>
  <si>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</si>
  <si>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</si>
  <si>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</si>
  <si>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</si>
  <si>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</si>
  <si>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</si>
  <si>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</si>
  <si>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</si>
  <si>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</si>
  <si>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</si>
  <si>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</si>
  <si>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</si>
  <si>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</si>
  <si>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</si>
  <si>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</si>
  <si>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</si>
  <si>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</si>
  <si>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</si>
  <si>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</si>
  <si>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</si>
  <si>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</si>
  <si>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</si>
  <si>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</si>
  <si>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</si>
  <si>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</si>
  <si>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</si>
  <si>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</si>
  <si>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</si>
  <si>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</si>
  <si>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</si>
  <si>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</si>
  <si>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</si>
  <si>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</si>
  <si>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</si>
  <si>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</si>
  <si>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</si>
  <si>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</si>
  <si>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</si>
  <si>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</si>
  <si>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</si>
  <si>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</si>
  <si>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</si>
  <si>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</si>
  <si>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</si>
  <si>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</si>
  <si>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</si>
  <si>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</si>
  <si>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</si>
  <si>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</si>
  <si>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</si>
  <si>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</si>
  <si>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</si>
  <si>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</si>
  <si>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</si>
  <si>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</si>
  <si>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</si>
  <si>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tytul</t>
  </si>
  <si>
    <t>w złotych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</si>
</sst>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5" fillId="42" borderId="3" applyNumberFormat="0" applyAlignment="0" applyProtection="0"/>
    <xf numFmtId="0" fontId="36" fillId="43" borderId="4" applyNumberFormat="0" applyAlignment="0" applyProtection="0"/>
    <xf numFmtId="0" fontId="37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8" fillId="0" borderId="8" applyNumberFormat="0" applyFill="0" applyAlignment="0" applyProtection="0"/>
    <xf numFmtId="0" fontId="39" fillId="46" borderId="9" applyNumberFormat="0" applyAlignment="0" applyProtection="0"/>
    <xf numFmtId="0" fontId="20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3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4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9" fillId="49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169" fontId="5" fillId="0" borderId="19" xfId="0" applyNumberFormat="1" applyFont="1" applyBorder="1" applyAlignment="1">
      <alignment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0" fontId="5" fillId="0" borderId="19" xfId="88" applyFont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7" fillId="2" borderId="20" xfId="88" applyFont="1" applyFill="1" applyBorder="1" applyAlignment="1">
      <alignment horizontal="center" vertical="center" wrapText="1"/>
      <protection/>
    </xf>
    <xf numFmtId="0" fontId="27" fillId="0" borderId="21" xfId="0" applyFont="1" applyFill="1" applyBorder="1" applyAlignment="1">
      <alignment horizontal="left" vertical="center" wrapText="1" indent="1"/>
    </xf>
    <xf numFmtId="0" fontId="27" fillId="0" borderId="22" xfId="0" applyFont="1" applyFill="1" applyBorder="1" applyAlignment="1">
      <alignment horizontal="left" vertical="center" wrapText="1" indent="1"/>
    </xf>
    <xf numFmtId="0" fontId="27" fillId="0" borderId="21" xfId="0" applyFont="1" applyFill="1" applyBorder="1" applyAlignment="1">
      <alignment horizontal="left" vertical="center" indent="1"/>
    </xf>
    <xf numFmtId="0" fontId="31" fillId="0" borderId="21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 indent="1"/>
    </xf>
    <xf numFmtId="4" fontId="7" fillId="0" borderId="19" xfId="88" applyNumberFormat="1" applyFont="1" applyFill="1" applyBorder="1" applyAlignment="1">
      <alignment vertical="center" wrapText="1"/>
      <protection/>
    </xf>
    <xf numFmtId="0" fontId="29" fillId="50" borderId="19" xfId="88" applyFont="1" applyFill="1" applyBorder="1" applyAlignment="1">
      <alignment horizontal="left" vertical="center" wrapText="1"/>
      <protection/>
    </xf>
    <xf numFmtId="4" fontId="7" fillId="50" borderId="19" xfId="88" applyNumberFormat="1" applyFont="1" applyFill="1" applyBorder="1" applyAlignment="1">
      <alignment horizontal="right" vertical="center" wrapText="1"/>
      <protection/>
    </xf>
    <xf numFmtId="0" fontId="29" fillId="50" borderId="21" xfId="0" applyFont="1" applyFill="1" applyBorder="1" applyAlignment="1">
      <alignment wrapText="1"/>
    </xf>
    <xf numFmtId="0" fontId="29" fillId="50" borderId="22" xfId="0" applyFont="1" applyFill="1" applyBorder="1" applyAlignment="1">
      <alignment wrapText="1"/>
    </xf>
    <xf numFmtId="0" fontId="29" fillId="50" borderId="22" xfId="0" applyFont="1" applyFill="1" applyBorder="1" applyAlignment="1">
      <alignment vertical="center"/>
    </xf>
    <xf numFmtId="0" fontId="29" fillId="50" borderId="21" xfId="0" applyFont="1" applyFill="1" applyBorder="1" applyAlignment="1">
      <alignment horizontal="left" wrapText="1"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30" fillId="50" borderId="21" xfId="0" applyFont="1" applyFill="1" applyBorder="1" applyAlignment="1">
      <alignment vertical="center" wrapText="1"/>
    </xf>
    <xf numFmtId="4" fontId="7" fillId="50" borderId="19" xfId="88" applyNumberFormat="1" applyFont="1" applyFill="1" applyBorder="1" applyAlignment="1">
      <alignment vertical="center" wrapText="1"/>
      <protection/>
    </xf>
    <xf numFmtId="4" fontId="3" fillId="2" borderId="23" xfId="88" applyNumberFormat="1" applyFont="1" applyFill="1" applyBorder="1" applyAlignment="1">
      <alignment horizontal="center" vertical="center" wrapText="1"/>
      <protection/>
    </xf>
    <xf numFmtId="4" fontId="3" fillId="2" borderId="24" xfId="88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2" borderId="26" xfId="88" applyFont="1" applyFill="1" applyBorder="1" applyAlignment="1">
      <alignment horizontal="center" vertical="center" wrapText="1"/>
      <protection/>
    </xf>
    <xf numFmtId="0" fontId="28" fillId="2" borderId="27" xfId="88" applyFont="1" applyFill="1" applyBorder="1" applyAlignment="1">
      <alignment horizontal="center" vertical="center" wrapText="1"/>
      <protection/>
    </xf>
    <xf numFmtId="0" fontId="28" fillId="2" borderId="20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0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32" fillId="0" borderId="0" xfId="88" applyFont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8" fillId="2" borderId="26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0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0" borderId="25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4" fontId="7" fillId="0" borderId="25" xfId="88" applyNumberFormat="1" applyFont="1" applyBorder="1" applyAlignment="1">
      <alignment horizontal="righ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0" borderId="24" xfId="88" applyFont="1" applyBorder="1" applyAlignment="1">
      <alignment horizontal="left" vertical="center" wrapText="1"/>
      <protection/>
    </xf>
    <xf numFmtId="0" fontId="3" fillId="0" borderId="25" xfId="88" applyFont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4" xfId="88" applyFont="1" applyFill="1" applyBorder="1" applyAlignment="1">
      <alignment horizontal="left" vertical="center" wrapText="1"/>
      <protection/>
    </xf>
    <xf numFmtId="0" fontId="3" fillId="0" borderId="25" xfId="88" applyFont="1" applyFill="1" applyBorder="1" applyAlignment="1">
      <alignment horizontal="left" vertical="center" wrapText="1"/>
      <protection/>
    </xf>
    <xf numFmtId="3" fontId="7" fillId="0" borderId="23" xfId="88" applyNumberFormat="1" applyFont="1" applyFill="1" applyBorder="1" applyAlignment="1">
      <alignment horizontal="right" vertical="center" wrapText="1"/>
      <protection/>
    </xf>
    <xf numFmtId="3" fontId="7" fillId="0" borderId="25" xfId="88" applyNumberFormat="1" applyFont="1" applyFill="1" applyBorder="1" applyAlignment="1">
      <alignment horizontal="right" vertical="center" wrapText="1"/>
      <protection/>
    </xf>
    <xf numFmtId="4" fontId="7" fillId="0" borderId="23" xfId="88" applyNumberFormat="1" applyFont="1" applyFill="1" applyBorder="1" applyAlignment="1">
      <alignment horizontal="right" vertical="center" wrapText="1"/>
      <protection/>
    </xf>
    <xf numFmtId="4" fontId="7" fillId="0" borderId="25" xfId="88" applyNumberFormat="1" applyFont="1" applyFill="1" applyBorder="1" applyAlignment="1">
      <alignment horizontal="right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8" fillId="2" borderId="35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27" xfId="88" applyFont="1" applyFill="1" applyBorder="1" applyAlignment="1">
      <alignment horizontal="center" vertical="center" wrapText="1"/>
      <protection/>
    </xf>
    <xf numFmtId="0" fontId="7" fillId="2" borderId="20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108"/>
  <sheetViews>
    <sheetView tabSelected="1" zoomScaleSheetLayoutView="50" workbookViewId="0" topLeftCell="A1">
      <selection activeCell="A6" sqref="A6:A10"/>
    </sheetView>
  </sheetViews>
  <sheetFormatPr defaultColWidth="9.00390625" defaultRowHeight="13.5" customHeight="1"/>
  <cols>
    <col min="1" max="1" width="22.625" style="2" customWidth="1"/>
    <col min="2" max="3" width="14.75390625" style="2" customWidth="1"/>
    <col min="4" max="4" width="13.25390625" style="2" customWidth="1"/>
    <col min="5" max="5" width="12.25390625" style="2" customWidth="1"/>
    <col min="6" max="6" width="11.875" style="2" customWidth="1"/>
    <col min="7" max="7" width="11.00390625" style="2" customWidth="1"/>
    <col min="8" max="8" width="11.125" style="2" customWidth="1"/>
    <col min="9" max="9" width="12.25390625" style="2" customWidth="1"/>
    <col min="10" max="10" width="13.625" style="2" customWidth="1"/>
    <col min="11" max="11" width="12.125" style="2" customWidth="1"/>
    <col min="12" max="12" width="13.25390625" style="2" customWidth="1"/>
    <col min="13" max="13" width="11.125" style="2" bestFit="1" customWidth="1"/>
    <col min="14" max="14" width="11.25390625" style="2" bestFit="1" customWidth="1"/>
    <col min="15" max="15" width="9.25390625" style="2" bestFit="1" customWidth="1"/>
    <col min="16" max="16" width="7.625" style="2" bestFit="1" customWidth="1"/>
    <col min="17" max="17" width="9.875" style="2" bestFit="1" customWidth="1"/>
    <col min="18" max="16384" width="9.125" style="2" customWidth="1"/>
  </cols>
  <sheetData>
    <row r="1" spans="1:13" ht="75" customHeight="1">
      <c r="A1" s="54" t="str">
        <f>CONCATENATE("Informacja z wykonania budżetów gmin za ",$C$105," ",$B$106," roku   ",$B$108,"")</f>
        <v>Informacja z wykonania budżetów gmin za IV Kwartały 2021 roku   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58" t="s">
        <v>65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5" spans="2:17" ht="13.5" customHeight="1">
      <c r="B5" s="12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11"/>
      <c r="O5" s="11"/>
      <c r="P5" s="11"/>
      <c r="Q5" s="11"/>
    </row>
    <row r="6" spans="1:17" ht="13.5" customHeight="1">
      <c r="A6" s="60" t="s">
        <v>0</v>
      </c>
      <c r="B6" s="59" t="s">
        <v>66</v>
      </c>
      <c r="C6" s="51" t="s">
        <v>70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  <c r="O6" s="98" t="s">
        <v>69</v>
      </c>
      <c r="P6" s="99"/>
      <c r="Q6" s="100"/>
    </row>
    <row r="7" spans="1:17" ht="13.5" customHeight="1">
      <c r="A7" s="61"/>
      <c r="B7" s="46"/>
      <c r="C7" s="47" t="s">
        <v>67</v>
      </c>
      <c r="D7" s="47" t="s">
        <v>78</v>
      </c>
      <c r="E7" s="47" t="s">
        <v>71</v>
      </c>
      <c r="F7" s="47" t="s">
        <v>72</v>
      </c>
      <c r="G7" s="47" t="s">
        <v>27</v>
      </c>
      <c r="H7" s="47" t="s">
        <v>28</v>
      </c>
      <c r="I7" s="63" t="s">
        <v>68</v>
      </c>
      <c r="J7" s="47" t="s">
        <v>16</v>
      </c>
      <c r="K7" s="47" t="s">
        <v>17</v>
      </c>
      <c r="L7" s="47" t="s">
        <v>18</v>
      </c>
      <c r="M7" s="47" t="s">
        <v>19</v>
      </c>
      <c r="N7" s="46" t="s">
        <v>20</v>
      </c>
      <c r="O7" s="50" t="s">
        <v>21</v>
      </c>
      <c r="P7" s="50" t="s">
        <v>22</v>
      </c>
      <c r="Q7" s="50" t="s">
        <v>23</v>
      </c>
    </row>
    <row r="8" spans="1:17" ht="13.5" customHeight="1">
      <c r="A8" s="61"/>
      <c r="B8" s="46"/>
      <c r="C8" s="48"/>
      <c r="D8" s="48"/>
      <c r="E8" s="48"/>
      <c r="F8" s="48"/>
      <c r="G8" s="48"/>
      <c r="H8" s="48"/>
      <c r="I8" s="63"/>
      <c r="J8" s="48"/>
      <c r="K8" s="48"/>
      <c r="L8" s="48"/>
      <c r="M8" s="48"/>
      <c r="N8" s="46"/>
      <c r="O8" s="50"/>
      <c r="P8" s="50"/>
      <c r="Q8" s="50"/>
    </row>
    <row r="9" spans="1:17" ht="11.25" customHeight="1">
      <c r="A9" s="61"/>
      <c r="B9" s="46"/>
      <c r="C9" s="48"/>
      <c r="D9" s="48"/>
      <c r="E9" s="48"/>
      <c r="F9" s="48"/>
      <c r="G9" s="48"/>
      <c r="H9" s="48"/>
      <c r="I9" s="63"/>
      <c r="J9" s="48"/>
      <c r="K9" s="48"/>
      <c r="L9" s="48"/>
      <c r="M9" s="48"/>
      <c r="N9" s="46"/>
      <c r="O9" s="50"/>
      <c r="P9" s="50"/>
      <c r="Q9" s="50"/>
    </row>
    <row r="10" spans="1:17" ht="16.5" customHeight="1">
      <c r="A10" s="62"/>
      <c r="B10" s="47"/>
      <c r="C10" s="48"/>
      <c r="D10" s="48"/>
      <c r="E10" s="48"/>
      <c r="F10" s="48"/>
      <c r="G10" s="48"/>
      <c r="H10" s="48"/>
      <c r="I10" s="64"/>
      <c r="J10" s="48"/>
      <c r="K10" s="48"/>
      <c r="L10" s="48"/>
      <c r="M10" s="48"/>
      <c r="N10" s="47"/>
      <c r="O10" s="50"/>
      <c r="P10" s="50"/>
      <c r="Q10" s="50"/>
    </row>
    <row r="11" spans="1:17" ht="16.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  <c r="Q11" s="14">
        <v>17</v>
      </c>
    </row>
    <row r="12" spans="1:17" ht="13.5" customHeight="1">
      <c r="A12" s="14"/>
      <c r="B12" s="39" t="s">
        <v>81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1"/>
      <c r="Q12" s="42"/>
    </row>
    <row r="13" spans="1:17" ht="48">
      <c r="A13" s="30" t="s">
        <v>47</v>
      </c>
      <c r="B13" s="31">
        <f>34175694154.25</f>
        <v>34175694154.25</v>
      </c>
      <c r="C13" s="31">
        <f>34175693192.95</f>
        <v>34175693192.95</v>
      </c>
      <c r="D13" s="31">
        <f>2622235316.59</f>
        <v>2622235316.59</v>
      </c>
      <c r="E13" s="31">
        <f>247193033.38</f>
        <v>247193033.38</v>
      </c>
      <c r="F13" s="31">
        <f>383752872.72</f>
        <v>383752872.72</v>
      </c>
      <c r="G13" s="31">
        <f>1986261724.98</f>
        <v>1986261724.98</v>
      </c>
      <c r="H13" s="31">
        <f>5027685.51</f>
        <v>5027685.51</v>
      </c>
      <c r="I13" s="31">
        <f>0</f>
        <v>0</v>
      </c>
      <c r="J13" s="31">
        <f>29765243106.52</f>
        <v>29765243106.52</v>
      </c>
      <c r="K13" s="31">
        <f>1497537700.24</f>
        <v>1497537700.24</v>
      </c>
      <c r="L13" s="31">
        <f>257980093.75</f>
        <v>257980093.75</v>
      </c>
      <c r="M13" s="31">
        <f>17890195.6</f>
        <v>17890195.6</v>
      </c>
      <c r="N13" s="31">
        <f>14806780.25</f>
        <v>14806780.25</v>
      </c>
      <c r="O13" s="31">
        <f>961.3</f>
        <v>961.3</v>
      </c>
      <c r="P13" s="31">
        <f>0</f>
        <v>0</v>
      </c>
      <c r="Q13" s="31">
        <f>961.3</f>
        <v>961.3</v>
      </c>
    </row>
    <row r="14" spans="1:17" ht="26.25" customHeight="1">
      <c r="A14" s="32" t="s">
        <v>48</v>
      </c>
      <c r="B14" s="31">
        <f>693948000</f>
        <v>693948000</v>
      </c>
      <c r="C14" s="31">
        <f>693948000</f>
        <v>693948000</v>
      </c>
      <c r="D14" s="31">
        <f>0</f>
        <v>0</v>
      </c>
      <c r="E14" s="31">
        <f>0</f>
        <v>0</v>
      </c>
      <c r="F14" s="31">
        <f>0</f>
        <v>0</v>
      </c>
      <c r="G14" s="31">
        <f>0</f>
        <v>0</v>
      </c>
      <c r="H14" s="31">
        <f>0</f>
        <v>0</v>
      </c>
      <c r="I14" s="31">
        <f>0</f>
        <v>0</v>
      </c>
      <c r="J14" s="31">
        <f>646261000</f>
        <v>646261000</v>
      </c>
      <c r="K14" s="31">
        <f>47687000</f>
        <v>47687000</v>
      </c>
      <c r="L14" s="31">
        <f>0</f>
        <v>0</v>
      </c>
      <c r="M14" s="31">
        <f>0</f>
        <v>0</v>
      </c>
      <c r="N14" s="31">
        <f>0</f>
        <v>0</v>
      </c>
      <c r="O14" s="31">
        <f>0</f>
        <v>0</v>
      </c>
      <c r="P14" s="31">
        <f>0</f>
        <v>0</v>
      </c>
      <c r="Q14" s="31">
        <f>0</f>
        <v>0</v>
      </c>
    </row>
    <row r="15" spans="1:17" ht="27" customHeight="1">
      <c r="A15" s="22" t="s">
        <v>49</v>
      </c>
      <c r="B15" s="36">
        <f>4000000</f>
        <v>4000000</v>
      </c>
      <c r="C15" s="36">
        <f>4000000</f>
        <v>4000000</v>
      </c>
      <c r="D15" s="36">
        <f>0</f>
        <v>0</v>
      </c>
      <c r="E15" s="36">
        <f>0</f>
        <v>0</v>
      </c>
      <c r="F15" s="36">
        <f>0</f>
        <v>0</v>
      </c>
      <c r="G15" s="36">
        <f>0</f>
        <v>0</v>
      </c>
      <c r="H15" s="36">
        <f>0</f>
        <v>0</v>
      </c>
      <c r="I15" s="36">
        <f>0</f>
        <v>0</v>
      </c>
      <c r="J15" s="36">
        <f>4000000</f>
        <v>4000000</v>
      </c>
      <c r="K15" s="36">
        <f>0</f>
        <v>0</v>
      </c>
      <c r="L15" s="36">
        <f>0</f>
        <v>0</v>
      </c>
      <c r="M15" s="36">
        <f>0</f>
        <v>0</v>
      </c>
      <c r="N15" s="36">
        <f>0</f>
        <v>0</v>
      </c>
      <c r="O15" s="36">
        <f>0</f>
        <v>0</v>
      </c>
      <c r="P15" s="36">
        <f>0</f>
        <v>0</v>
      </c>
      <c r="Q15" s="36">
        <f>0</f>
        <v>0</v>
      </c>
    </row>
    <row r="16" spans="1:17" ht="24" customHeight="1">
      <c r="A16" s="22" t="s">
        <v>50</v>
      </c>
      <c r="B16" s="36">
        <f>689948000</f>
        <v>689948000</v>
      </c>
      <c r="C16" s="36">
        <f>689948000</f>
        <v>689948000</v>
      </c>
      <c r="D16" s="36">
        <f>0</f>
        <v>0</v>
      </c>
      <c r="E16" s="36">
        <f>0</f>
        <v>0</v>
      </c>
      <c r="F16" s="36">
        <f>0</f>
        <v>0</v>
      </c>
      <c r="G16" s="36">
        <f>0</f>
        <v>0</v>
      </c>
      <c r="H16" s="36">
        <f>0</f>
        <v>0</v>
      </c>
      <c r="I16" s="36">
        <f>0</f>
        <v>0</v>
      </c>
      <c r="J16" s="36">
        <f>642261000</f>
        <v>642261000</v>
      </c>
      <c r="K16" s="36">
        <f>47687000</f>
        <v>47687000</v>
      </c>
      <c r="L16" s="36">
        <f>0</f>
        <v>0</v>
      </c>
      <c r="M16" s="36">
        <f>0</f>
        <v>0</v>
      </c>
      <c r="N16" s="36">
        <f>0</f>
        <v>0</v>
      </c>
      <c r="O16" s="36">
        <f>0</f>
        <v>0</v>
      </c>
      <c r="P16" s="36">
        <f>0</f>
        <v>0</v>
      </c>
      <c r="Q16" s="36">
        <f>0</f>
        <v>0</v>
      </c>
    </row>
    <row r="17" spans="1:17" ht="31.5" customHeight="1">
      <c r="A17" s="33" t="s">
        <v>51</v>
      </c>
      <c r="B17" s="31">
        <f>33449535963.01</f>
        <v>33449535963.01</v>
      </c>
      <c r="C17" s="31">
        <f>33449535963.01</f>
        <v>33449535963.01</v>
      </c>
      <c r="D17" s="31">
        <f>2609713916.39</f>
        <v>2609713916.39</v>
      </c>
      <c r="E17" s="31">
        <f>246880857.72</f>
        <v>246880857.72</v>
      </c>
      <c r="F17" s="31">
        <f>383747382.72</f>
        <v>383747382.72</v>
      </c>
      <c r="G17" s="31">
        <f>1979085675.95</f>
        <v>1979085675.95</v>
      </c>
      <c r="H17" s="31">
        <f>0</f>
        <v>0</v>
      </c>
      <c r="I17" s="31">
        <f>0</f>
        <v>0</v>
      </c>
      <c r="J17" s="31">
        <f>29118961963.35</f>
        <v>29118961963.35</v>
      </c>
      <c r="K17" s="31">
        <f>1449844309.17</f>
        <v>1449844309.17</v>
      </c>
      <c r="L17" s="31">
        <f>245562130.45</f>
        <v>245562130.45</v>
      </c>
      <c r="M17" s="31">
        <f>12420509.07</f>
        <v>12420509.07</v>
      </c>
      <c r="N17" s="31">
        <f>13033134.58</f>
        <v>13033134.58</v>
      </c>
      <c r="O17" s="31">
        <f>0</f>
        <v>0</v>
      </c>
      <c r="P17" s="31">
        <f>0</f>
        <v>0</v>
      </c>
      <c r="Q17" s="31">
        <f>0</f>
        <v>0</v>
      </c>
    </row>
    <row r="18" spans="1:17" ht="33" customHeight="1">
      <c r="A18" s="23" t="s">
        <v>52</v>
      </c>
      <c r="B18" s="36">
        <f>92953061.65</f>
        <v>92953061.65</v>
      </c>
      <c r="C18" s="36">
        <f>92953061.65</f>
        <v>92953061.65</v>
      </c>
      <c r="D18" s="36">
        <f>21350411.81</f>
        <v>21350411.81</v>
      </c>
      <c r="E18" s="36">
        <f>12817117.62</f>
        <v>12817117.62</v>
      </c>
      <c r="F18" s="36">
        <f>1566851.07</f>
        <v>1566851.07</v>
      </c>
      <c r="G18" s="36">
        <f>6966443.12</f>
        <v>6966443.12</v>
      </c>
      <c r="H18" s="36">
        <f>0</f>
        <v>0</v>
      </c>
      <c r="I18" s="36">
        <f>0</f>
        <v>0</v>
      </c>
      <c r="J18" s="36">
        <f>64030577.63</f>
        <v>64030577.63</v>
      </c>
      <c r="K18" s="36">
        <f>6270931.13</f>
        <v>6270931.13</v>
      </c>
      <c r="L18" s="36">
        <f>138788.13</f>
        <v>138788.13</v>
      </c>
      <c r="M18" s="36">
        <f>450000</f>
        <v>450000</v>
      </c>
      <c r="N18" s="36">
        <f>712352.95</f>
        <v>712352.95</v>
      </c>
      <c r="O18" s="36">
        <f>0</f>
        <v>0</v>
      </c>
      <c r="P18" s="36">
        <f>0</f>
        <v>0</v>
      </c>
      <c r="Q18" s="36">
        <f>0</f>
        <v>0</v>
      </c>
    </row>
    <row r="19" spans="1:17" ht="25.5" customHeight="1">
      <c r="A19" s="24" t="s">
        <v>53</v>
      </c>
      <c r="B19" s="36">
        <f>33356582901.36</f>
        <v>33356582901.36</v>
      </c>
      <c r="C19" s="36">
        <f>33356582901.36</f>
        <v>33356582901.36</v>
      </c>
      <c r="D19" s="36">
        <f>2588363504.58</f>
        <v>2588363504.58</v>
      </c>
      <c r="E19" s="36">
        <f>234063740.1</f>
        <v>234063740.1</v>
      </c>
      <c r="F19" s="36">
        <f>382180531.65</f>
        <v>382180531.65</v>
      </c>
      <c r="G19" s="36">
        <f>1972119232.83</f>
        <v>1972119232.83</v>
      </c>
      <c r="H19" s="36">
        <f>0</f>
        <v>0</v>
      </c>
      <c r="I19" s="36">
        <f>0</f>
        <v>0</v>
      </c>
      <c r="J19" s="36">
        <f>29054931385.72</f>
        <v>29054931385.72</v>
      </c>
      <c r="K19" s="36">
        <f>1443573378.04</f>
        <v>1443573378.04</v>
      </c>
      <c r="L19" s="36">
        <f>245423342.32</f>
        <v>245423342.32</v>
      </c>
      <c r="M19" s="36">
        <f>11970509.07</f>
        <v>11970509.07</v>
      </c>
      <c r="N19" s="36">
        <f>12320781.63</f>
        <v>12320781.63</v>
      </c>
      <c r="O19" s="36">
        <f>0</f>
        <v>0</v>
      </c>
      <c r="P19" s="36">
        <f>0</f>
        <v>0</v>
      </c>
      <c r="Q19" s="36">
        <f>0</f>
        <v>0</v>
      </c>
    </row>
    <row r="20" spans="1:17" ht="27.75" customHeight="1">
      <c r="A20" s="34" t="s">
        <v>54</v>
      </c>
      <c r="B20" s="31">
        <f>0</f>
        <v>0</v>
      </c>
      <c r="C20" s="31">
        <f>0</f>
        <v>0</v>
      </c>
      <c r="D20" s="31">
        <f>0</f>
        <v>0</v>
      </c>
      <c r="E20" s="31">
        <f>0</f>
        <v>0</v>
      </c>
      <c r="F20" s="31">
        <f>0</f>
        <v>0</v>
      </c>
      <c r="G20" s="31">
        <f>0</f>
        <v>0</v>
      </c>
      <c r="H20" s="31">
        <f>0</f>
        <v>0</v>
      </c>
      <c r="I20" s="31">
        <f>0</f>
        <v>0</v>
      </c>
      <c r="J20" s="31">
        <f>0</f>
        <v>0</v>
      </c>
      <c r="K20" s="31">
        <f>0</f>
        <v>0</v>
      </c>
      <c r="L20" s="31">
        <f>0</f>
        <v>0</v>
      </c>
      <c r="M20" s="31">
        <f>0</f>
        <v>0</v>
      </c>
      <c r="N20" s="31">
        <f>0</f>
        <v>0</v>
      </c>
      <c r="O20" s="31">
        <f>0</f>
        <v>0</v>
      </c>
      <c r="P20" s="31">
        <f>0</f>
        <v>0</v>
      </c>
      <c r="Q20" s="31">
        <f>0</f>
        <v>0</v>
      </c>
    </row>
    <row r="21" spans="1:17" ht="36">
      <c r="A21" s="35" t="s">
        <v>55</v>
      </c>
      <c r="B21" s="31">
        <f>32210191.24</f>
        <v>32210191.24</v>
      </c>
      <c r="C21" s="31">
        <f>32209229.94</f>
        <v>32209229.94</v>
      </c>
      <c r="D21" s="31">
        <f>12521400.2</f>
        <v>12521400.2</v>
      </c>
      <c r="E21" s="31">
        <f>312175.66</f>
        <v>312175.66</v>
      </c>
      <c r="F21" s="31">
        <f>5490</f>
        <v>5490</v>
      </c>
      <c r="G21" s="31">
        <f>7176049.03</f>
        <v>7176049.03</v>
      </c>
      <c r="H21" s="31">
        <f>5027685.51</f>
        <v>5027685.51</v>
      </c>
      <c r="I21" s="31">
        <f>0</f>
        <v>0</v>
      </c>
      <c r="J21" s="31">
        <f>20143.17</f>
        <v>20143.17</v>
      </c>
      <c r="K21" s="31">
        <f>6391.07</f>
        <v>6391.07</v>
      </c>
      <c r="L21" s="31">
        <f>12417963.3</f>
        <v>12417963.3</v>
      </c>
      <c r="M21" s="31">
        <f>5469686.53</f>
        <v>5469686.53</v>
      </c>
      <c r="N21" s="31">
        <f>1773645.67</f>
        <v>1773645.67</v>
      </c>
      <c r="O21" s="31">
        <f>961.3</f>
        <v>961.3</v>
      </c>
      <c r="P21" s="31">
        <f>0</f>
        <v>0</v>
      </c>
      <c r="Q21" s="31">
        <f>961.3</f>
        <v>961.3</v>
      </c>
    </row>
    <row r="22" spans="1:17" ht="27" customHeight="1">
      <c r="A22" s="22" t="s">
        <v>56</v>
      </c>
      <c r="B22" s="36">
        <f>12862310.49</f>
        <v>12862310.49</v>
      </c>
      <c r="C22" s="36">
        <f>12862310.49</f>
        <v>12862310.49</v>
      </c>
      <c r="D22" s="36">
        <f>1066461.93</f>
        <v>1066461.93</v>
      </c>
      <c r="E22" s="36">
        <f>41.23</f>
        <v>41.23</v>
      </c>
      <c r="F22" s="36">
        <f>1500</f>
        <v>1500</v>
      </c>
      <c r="G22" s="36">
        <f>1064920.7</f>
        <v>1064920.7</v>
      </c>
      <c r="H22" s="36">
        <f>0</f>
        <v>0</v>
      </c>
      <c r="I22" s="36">
        <f>0</f>
        <v>0</v>
      </c>
      <c r="J22" s="36">
        <f>17813.79</f>
        <v>17813.79</v>
      </c>
      <c r="K22" s="36">
        <f>6319.56</f>
        <v>6319.56</v>
      </c>
      <c r="L22" s="36">
        <f>7403479.77</f>
        <v>7403479.77</v>
      </c>
      <c r="M22" s="36">
        <f>2599068.04</f>
        <v>2599068.04</v>
      </c>
      <c r="N22" s="36">
        <f>1769167.4</f>
        <v>1769167.4</v>
      </c>
      <c r="O22" s="36">
        <f>0</f>
        <v>0</v>
      </c>
      <c r="P22" s="36">
        <f>0</f>
        <v>0</v>
      </c>
      <c r="Q22" s="36">
        <f>0</f>
        <v>0</v>
      </c>
    </row>
    <row r="23" spans="1:17" ht="31.5" customHeight="1">
      <c r="A23" s="28" t="s">
        <v>57</v>
      </c>
      <c r="B23" s="36">
        <f>19347880.75</f>
        <v>19347880.75</v>
      </c>
      <c r="C23" s="36">
        <f>19346919.45</f>
        <v>19346919.45</v>
      </c>
      <c r="D23" s="36">
        <f>11454938.27</f>
        <v>11454938.27</v>
      </c>
      <c r="E23" s="36">
        <f>312134.43</f>
        <v>312134.43</v>
      </c>
      <c r="F23" s="36">
        <f>3990</f>
        <v>3990</v>
      </c>
      <c r="G23" s="36">
        <f>6111128.33</f>
        <v>6111128.33</v>
      </c>
      <c r="H23" s="36">
        <f>5027685.51</f>
        <v>5027685.51</v>
      </c>
      <c r="I23" s="36">
        <f>0</f>
        <v>0</v>
      </c>
      <c r="J23" s="36">
        <f>2329.38</f>
        <v>2329.38</v>
      </c>
      <c r="K23" s="36">
        <f>71.51</f>
        <v>71.51</v>
      </c>
      <c r="L23" s="36">
        <f>5014483.53</f>
        <v>5014483.53</v>
      </c>
      <c r="M23" s="36">
        <f>2870618.49</f>
        <v>2870618.49</v>
      </c>
      <c r="N23" s="36">
        <f>4478.27</f>
        <v>4478.27</v>
      </c>
      <c r="O23" s="36">
        <f>961.3</f>
        <v>961.3</v>
      </c>
      <c r="P23" s="36">
        <f>0</f>
        <v>0</v>
      </c>
      <c r="Q23" s="36">
        <f>961.3</f>
        <v>961.3</v>
      </c>
    </row>
    <row r="24" spans="1:17" ht="19.5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9.5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9.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9.5" customHeigh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9.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9.5" customHeigh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19.5" customHeight="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9.5" customHeight="1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9.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19.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3" ht="45.75" customHeight="1">
      <c r="A34" s="54" t="str">
        <f>CONCATENATE("Informacja z wykonania budżetów gmin za ",$C$105," ",$B$106," roku   ",$B$108,"")</f>
        <v>Informacja z wykonania budżetów gmin za IV Kwartały 2021 roku   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6" spans="1:13" ht="13.5" customHeight="1">
      <c r="A36" s="58" t="s">
        <v>11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8" spans="1:17" ht="13.5" customHeight="1">
      <c r="A38" s="43" t="s">
        <v>0</v>
      </c>
      <c r="B38" s="59" t="s">
        <v>12</v>
      </c>
      <c r="C38" s="51" t="s">
        <v>14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  <c r="O38" s="55" t="s">
        <v>24</v>
      </c>
      <c r="P38" s="56"/>
      <c r="Q38" s="57"/>
    </row>
    <row r="39" spans="1:17" ht="13.5" customHeight="1">
      <c r="A39" s="44"/>
      <c r="B39" s="46"/>
      <c r="C39" s="46" t="s">
        <v>13</v>
      </c>
      <c r="D39" s="48" t="s">
        <v>15</v>
      </c>
      <c r="E39" s="48" t="s">
        <v>25</v>
      </c>
      <c r="F39" s="48" t="s">
        <v>26</v>
      </c>
      <c r="G39" s="48" t="s">
        <v>75</v>
      </c>
      <c r="H39" s="48" t="s">
        <v>28</v>
      </c>
      <c r="I39" s="48" t="s">
        <v>1</v>
      </c>
      <c r="J39" s="48" t="s">
        <v>16</v>
      </c>
      <c r="K39" s="48" t="s">
        <v>17</v>
      </c>
      <c r="L39" s="48" t="s">
        <v>18</v>
      </c>
      <c r="M39" s="48" t="s">
        <v>19</v>
      </c>
      <c r="N39" s="92" t="s">
        <v>20</v>
      </c>
      <c r="O39" s="50" t="s">
        <v>21</v>
      </c>
      <c r="P39" s="50" t="s">
        <v>22</v>
      </c>
      <c r="Q39" s="101" t="s">
        <v>23</v>
      </c>
    </row>
    <row r="40" spans="1:17" ht="11.25" customHeight="1">
      <c r="A40" s="44"/>
      <c r="B40" s="46"/>
      <c r="C40" s="46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92"/>
      <c r="O40" s="50"/>
      <c r="P40" s="50"/>
      <c r="Q40" s="102"/>
    </row>
    <row r="41" spans="1:17" ht="32.25" customHeight="1">
      <c r="A41" s="45"/>
      <c r="B41" s="47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92"/>
      <c r="O41" s="50"/>
      <c r="P41" s="50"/>
      <c r="Q41" s="103"/>
    </row>
    <row r="42" spans="1:17" ht="12.75" customHeight="1">
      <c r="A42" s="14">
        <v>1</v>
      </c>
      <c r="B42" s="14">
        <v>2</v>
      </c>
      <c r="C42" s="14">
        <v>3</v>
      </c>
      <c r="D42" s="14">
        <v>4</v>
      </c>
      <c r="E42" s="14">
        <v>5</v>
      </c>
      <c r="F42" s="14">
        <v>6</v>
      </c>
      <c r="G42" s="14">
        <v>7</v>
      </c>
      <c r="H42" s="14">
        <v>8</v>
      </c>
      <c r="I42" s="14">
        <v>9</v>
      </c>
      <c r="J42" s="14">
        <v>10</v>
      </c>
      <c r="K42" s="14">
        <v>11</v>
      </c>
      <c r="L42" s="14">
        <v>12</v>
      </c>
      <c r="M42" s="14">
        <v>13</v>
      </c>
      <c r="N42" s="14">
        <v>14</v>
      </c>
      <c r="O42" s="14"/>
      <c r="P42" s="14"/>
      <c r="Q42" s="21"/>
    </row>
    <row r="43" spans="1:17" ht="13.5" customHeight="1">
      <c r="A43" s="14"/>
      <c r="B43" s="51" t="s">
        <v>81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  <c r="O43" s="14">
        <v>15</v>
      </c>
      <c r="P43" s="14">
        <v>16</v>
      </c>
      <c r="Q43" s="14">
        <v>17</v>
      </c>
    </row>
    <row r="44" spans="1:17" ht="27.75" customHeight="1" hidden="1">
      <c r="A44" s="15" t="s">
        <v>29</v>
      </c>
      <c r="B44" s="16">
        <f>0</f>
        <v>0</v>
      </c>
      <c r="C44" s="16">
        <f>0</f>
        <v>0</v>
      </c>
      <c r="D44" s="16">
        <f>0</f>
        <v>0</v>
      </c>
      <c r="E44" s="16">
        <f>0</f>
        <v>0</v>
      </c>
      <c r="F44" s="16">
        <f>0</f>
        <v>0</v>
      </c>
      <c r="G44" s="16">
        <f>0</f>
        <v>0</v>
      </c>
      <c r="H44" s="16">
        <f>0</f>
        <v>0</v>
      </c>
      <c r="I44" s="16">
        <f>0</f>
        <v>0</v>
      </c>
      <c r="J44" s="16">
        <f>0</f>
        <v>0</v>
      </c>
      <c r="K44" s="16">
        <f>0</f>
        <v>0</v>
      </c>
      <c r="L44" s="16">
        <f>0</f>
        <v>0</v>
      </c>
      <c r="M44" s="16">
        <f>0</f>
        <v>0</v>
      </c>
      <c r="N44" s="16">
        <f>0</f>
        <v>0</v>
      </c>
      <c r="O44" s="16">
        <f>0</f>
        <v>0</v>
      </c>
      <c r="P44" s="16">
        <f>0</f>
        <v>0</v>
      </c>
      <c r="Q44" s="16">
        <f>0</f>
        <v>0</v>
      </c>
    </row>
    <row r="45" spans="1:17" ht="24.75" customHeight="1">
      <c r="A45" s="37" t="s">
        <v>42</v>
      </c>
      <c r="B45" s="38">
        <f>14932745.51</f>
        <v>14932745.51</v>
      </c>
      <c r="C45" s="38">
        <f>14932745.51</f>
        <v>14932745.51</v>
      </c>
      <c r="D45" s="38">
        <f>0</f>
        <v>0</v>
      </c>
      <c r="E45" s="38">
        <f>0</f>
        <v>0</v>
      </c>
      <c r="F45" s="38">
        <f>0</f>
        <v>0</v>
      </c>
      <c r="G45" s="38">
        <f>0</f>
        <v>0</v>
      </c>
      <c r="H45" s="38">
        <f>0</f>
        <v>0</v>
      </c>
      <c r="I45" s="38">
        <f>0</f>
        <v>0</v>
      </c>
      <c r="J45" s="38">
        <f>13505289.17</f>
        <v>13505289.17</v>
      </c>
      <c r="K45" s="38">
        <f>25550</f>
        <v>25550</v>
      </c>
      <c r="L45" s="38">
        <f>712507.76</f>
        <v>712507.76</v>
      </c>
      <c r="M45" s="38">
        <f>689398.58</f>
        <v>689398.58</v>
      </c>
      <c r="N45" s="38">
        <f>0</f>
        <v>0</v>
      </c>
      <c r="O45" s="38">
        <f>0</f>
        <v>0</v>
      </c>
      <c r="P45" s="38">
        <f>0</f>
        <v>0</v>
      </c>
      <c r="Q45" s="38">
        <f>0</f>
        <v>0</v>
      </c>
    </row>
    <row r="46" spans="1:17" ht="24.75" customHeight="1">
      <c r="A46" s="26" t="s">
        <v>30</v>
      </c>
      <c r="B46" s="29">
        <f>13354898.02</f>
        <v>13354898.02</v>
      </c>
      <c r="C46" s="29">
        <f>13354898.02</f>
        <v>13354898.02</v>
      </c>
      <c r="D46" s="29">
        <f>0</f>
        <v>0</v>
      </c>
      <c r="E46" s="29">
        <f>0</f>
        <v>0</v>
      </c>
      <c r="F46" s="29">
        <f>0</f>
        <v>0</v>
      </c>
      <c r="G46" s="29">
        <f>0</f>
        <v>0</v>
      </c>
      <c r="H46" s="29">
        <f>0</f>
        <v>0</v>
      </c>
      <c r="I46" s="29">
        <f>0</f>
        <v>0</v>
      </c>
      <c r="J46" s="29">
        <f>13290614.91</f>
        <v>13290614.91</v>
      </c>
      <c r="K46" s="29">
        <f>0</f>
        <v>0</v>
      </c>
      <c r="L46" s="29">
        <f>38172</f>
        <v>38172</v>
      </c>
      <c r="M46" s="29">
        <f>26111.11</f>
        <v>26111.11</v>
      </c>
      <c r="N46" s="29">
        <f>0</f>
        <v>0</v>
      </c>
      <c r="O46" s="17">
        <f>0</f>
        <v>0</v>
      </c>
      <c r="P46" s="17">
        <f>0</f>
        <v>0</v>
      </c>
      <c r="Q46" s="17">
        <f>0</f>
        <v>0</v>
      </c>
    </row>
    <row r="47" spans="1:17" ht="24.75" customHeight="1">
      <c r="A47" s="26" t="s">
        <v>31</v>
      </c>
      <c r="B47" s="29">
        <f>1577847.49</f>
        <v>1577847.49</v>
      </c>
      <c r="C47" s="29">
        <f>1577847.49</f>
        <v>1577847.49</v>
      </c>
      <c r="D47" s="29">
        <f>0</f>
        <v>0</v>
      </c>
      <c r="E47" s="29">
        <f>0</f>
        <v>0</v>
      </c>
      <c r="F47" s="29">
        <f>0</f>
        <v>0</v>
      </c>
      <c r="G47" s="29">
        <f>0</f>
        <v>0</v>
      </c>
      <c r="H47" s="29">
        <f>0</f>
        <v>0</v>
      </c>
      <c r="I47" s="29">
        <f>0</f>
        <v>0</v>
      </c>
      <c r="J47" s="29">
        <f>214674.26</f>
        <v>214674.26</v>
      </c>
      <c r="K47" s="29">
        <f>25550</f>
        <v>25550</v>
      </c>
      <c r="L47" s="29">
        <f>674335.76</f>
        <v>674335.76</v>
      </c>
      <c r="M47" s="29">
        <f>663287.47</f>
        <v>663287.47</v>
      </c>
      <c r="N47" s="29">
        <f>0</f>
        <v>0</v>
      </c>
      <c r="O47" s="17">
        <f>0</f>
        <v>0</v>
      </c>
      <c r="P47" s="17">
        <f>0</f>
        <v>0</v>
      </c>
      <c r="Q47" s="17">
        <f>0</f>
        <v>0</v>
      </c>
    </row>
    <row r="48" spans="1:17" ht="24.75" customHeight="1">
      <c r="A48" s="27" t="s">
        <v>43</v>
      </c>
      <c r="B48" s="29">
        <f>398381658.26</f>
        <v>398381658.26</v>
      </c>
      <c r="C48" s="29">
        <f>398377774.6</f>
        <v>398377774.6</v>
      </c>
      <c r="D48" s="29">
        <f>36914714.35</f>
        <v>36914714.35</v>
      </c>
      <c r="E48" s="29">
        <f>217525.98</f>
        <v>217525.98</v>
      </c>
      <c r="F48" s="29">
        <f>391800</f>
        <v>391800</v>
      </c>
      <c r="G48" s="29">
        <f>21205388.37</f>
        <v>21205388.37</v>
      </c>
      <c r="H48" s="29">
        <f>15100000</f>
        <v>15100000</v>
      </c>
      <c r="I48" s="29">
        <f>0</f>
        <v>0</v>
      </c>
      <c r="J48" s="29">
        <f>9731874.82</f>
        <v>9731874.82</v>
      </c>
      <c r="K48" s="29">
        <f>82280</f>
        <v>82280</v>
      </c>
      <c r="L48" s="29">
        <f>124728481.46</f>
        <v>124728481.46</v>
      </c>
      <c r="M48" s="29">
        <f>199185941.71</f>
        <v>199185941.71</v>
      </c>
      <c r="N48" s="29">
        <f>27734482.26</f>
        <v>27734482.26</v>
      </c>
      <c r="O48" s="17">
        <f>3883.66</f>
        <v>3883.66</v>
      </c>
      <c r="P48" s="17">
        <f>3883.66</f>
        <v>3883.66</v>
      </c>
      <c r="Q48" s="17">
        <f>0</f>
        <v>0</v>
      </c>
    </row>
    <row r="49" spans="1:17" ht="24.75" customHeight="1">
      <c r="A49" s="26" t="s">
        <v>32</v>
      </c>
      <c r="B49" s="29">
        <f>16867921.58</f>
        <v>16867921.58</v>
      </c>
      <c r="C49" s="29">
        <f>16867921.58</f>
        <v>16867921.58</v>
      </c>
      <c r="D49" s="29">
        <f>3937012.12</f>
        <v>3937012.12</v>
      </c>
      <c r="E49" s="29">
        <f>366.11</f>
        <v>366.11</v>
      </c>
      <c r="F49" s="29">
        <f>0</f>
        <v>0</v>
      </c>
      <c r="G49" s="29">
        <f>3936646.01</f>
        <v>3936646.01</v>
      </c>
      <c r="H49" s="29">
        <f>0</f>
        <v>0</v>
      </c>
      <c r="I49" s="29">
        <f>0</f>
        <v>0</v>
      </c>
      <c r="J49" s="29">
        <f>0</f>
        <v>0</v>
      </c>
      <c r="K49" s="29">
        <f>0</f>
        <v>0</v>
      </c>
      <c r="L49" s="29">
        <f>1640446.59</f>
        <v>1640446.59</v>
      </c>
      <c r="M49" s="29">
        <f>1331676.76</f>
        <v>1331676.76</v>
      </c>
      <c r="N49" s="29">
        <f>9958786.11</f>
        <v>9958786.11</v>
      </c>
      <c r="O49" s="17">
        <f>0</f>
        <v>0</v>
      </c>
      <c r="P49" s="17">
        <f>0</f>
        <v>0</v>
      </c>
      <c r="Q49" s="17">
        <f>0</f>
        <v>0</v>
      </c>
    </row>
    <row r="50" spans="1:17" ht="24.75" customHeight="1">
      <c r="A50" s="26" t="s">
        <v>33</v>
      </c>
      <c r="B50" s="29">
        <f>381513736.68</f>
        <v>381513736.68</v>
      </c>
      <c r="C50" s="29">
        <f>381509853.02</f>
        <v>381509853.02</v>
      </c>
      <c r="D50" s="29">
        <f>32977702.23</f>
        <v>32977702.23</v>
      </c>
      <c r="E50" s="29">
        <f>217159.87</f>
        <v>217159.87</v>
      </c>
      <c r="F50" s="29">
        <f>391800</f>
        <v>391800</v>
      </c>
      <c r="G50" s="29">
        <f>17268742.36</f>
        <v>17268742.36</v>
      </c>
      <c r="H50" s="29">
        <f>15100000</f>
        <v>15100000</v>
      </c>
      <c r="I50" s="29">
        <f>0</f>
        <v>0</v>
      </c>
      <c r="J50" s="29">
        <f>9731874.82</f>
        <v>9731874.82</v>
      </c>
      <c r="K50" s="29">
        <f>82280</f>
        <v>82280</v>
      </c>
      <c r="L50" s="29">
        <f>123088034.87</f>
        <v>123088034.87</v>
      </c>
      <c r="M50" s="29">
        <f>197854264.95</f>
        <v>197854264.95</v>
      </c>
      <c r="N50" s="29">
        <f>17775696.15</f>
        <v>17775696.15</v>
      </c>
      <c r="O50" s="17">
        <f>3883.66</f>
        <v>3883.66</v>
      </c>
      <c r="P50" s="17">
        <f>3883.66</f>
        <v>3883.66</v>
      </c>
      <c r="Q50" s="17">
        <f>0</f>
        <v>0</v>
      </c>
    </row>
    <row r="51" spans="1:17" ht="24.75" customHeight="1">
      <c r="A51" s="37" t="s">
        <v>44</v>
      </c>
      <c r="B51" s="38">
        <f>29230241041.41</f>
        <v>29230241041.41</v>
      </c>
      <c r="C51" s="38">
        <f>29230241041.41</f>
        <v>29230241041.41</v>
      </c>
      <c r="D51" s="38">
        <f>18862994.88</f>
        <v>18862994.88</v>
      </c>
      <c r="E51" s="38">
        <f>17958749.35</f>
        <v>17958749.35</v>
      </c>
      <c r="F51" s="38">
        <f>11874.58</f>
        <v>11874.58</v>
      </c>
      <c r="G51" s="38">
        <f>892370.95</f>
        <v>892370.95</v>
      </c>
      <c r="H51" s="38">
        <f>0</f>
        <v>0</v>
      </c>
      <c r="I51" s="38">
        <f>629.48</f>
        <v>629.48</v>
      </c>
      <c r="J51" s="38">
        <f>29201944719.08</f>
        <v>29201944719.08</v>
      </c>
      <c r="K51" s="38">
        <f>1844530.72</f>
        <v>1844530.72</v>
      </c>
      <c r="L51" s="38">
        <f>7477788.38</f>
        <v>7477788.38</v>
      </c>
      <c r="M51" s="38">
        <f>110378.87</f>
        <v>110378.87</v>
      </c>
      <c r="N51" s="38">
        <f>0</f>
        <v>0</v>
      </c>
      <c r="O51" s="38">
        <f>0</f>
        <v>0</v>
      </c>
      <c r="P51" s="38">
        <f>0</f>
        <v>0</v>
      </c>
      <c r="Q51" s="38">
        <f>0</f>
        <v>0</v>
      </c>
    </row>
    <row r="52" spans="1:17" ht="24.75" customHeight="1">
      <c r="A52" s="26" t="s">
        <v>34</v>
      </c>
      <c r="B52" s="29">
        <f>838960.75</f>
        <v>838960.75</v>
      </c>
      <c r="C52" s="29">
        <f>838960.75</f>
        <v>838960.75</v>
      </c>
      <c r="D52" s="29">
        <f>838960.75</f>
        <v>838960.75</v>
      </c>
      <c r="E52" s="29">
        <f>0</f>
        <v>0</v>
      </c>
      <c r="F52" s="29">
        <f>0</f>
        <v>0</v>
      </c>
      <c r="G52" s="29">
        <f>838960.75</f>
        <v>838960.75</v>
      </c>
      <c r="H52" s="29">
        <f>0</f>
        <v>0</v>
      </c>
      <c r="I52" s="29">
        <f>0</f>
        <v>0</v>
      </c>
      <c r="J52" s="29">
        <f>0</f>
        <v>0</v>
      </c>
      <c r="K52" s="29">
        <f>0</f>
        <v>0</v>
      </c>
      <c r="L52" s="29">
        <f>0</f>
        <v>0</v>
      </c>
      <c r="M52" s="29">
        <f>0</f>
        <v>0</v>
      </c>
      <c r="N52" s="29">
        <f>0</f>
        <v>0</v>
      </c>
      <c r="O52" s="17">
        <f>0</f>
        <v>0</v>
      </c>
      <c r="P52" s="17">
        <f>0</f>
        <v>0</v>
      </c>
      <c r="Q52" s="17">
        <f>0</f>
        <v>0</v>
      </c>
    </row>
    <row r="53" spans="1:17" ht="24.75" customHeight="1">
      <c r="A53" s="26" t="s">
        <v>35</v>
      </c>
      <c r="B53" s="29">
        <f>27248557689.9</f>
        <v>27248557689.9</v>
      </c>
      <c r="C53" s="29">
        <f>27248557689.9</f>
        <v>27248557689.9</v>
      </c>
      <c r="D53" s="29">
        <f>17860591.79</f>
        <v>17860591.79</v>
      </c>
      <c r="E53" s="29">
        <f>17854341.79</f>
        <v>17854341.79</v>
      </c>
      <c r="F53" s="29">
        <f>6250</f>
        <v>6250</v>
      </c>
      <c r="G53" s="29">
        <f>0</f>
        <v>0</v>
      </c>
      <c r="H53" s="29">
        <f>0</f>
        <v>0</v>
      </c>
      <c r="I53" s="29">
        <f>629.48</f>
        <v>629.48</v>
      </c>
      <c r="J53" s="29">
        <f>27221664052.21</f>
        <v>27221664052.21</v>
      </c>
      <c r="K53" s="29">
        <f>1842024.4</f>
        <v>1842024.4</v>
      </c>
      <c r="L53" s="29">
        <f>7190352.02</f>
        <v>7190352.02</v>
      </c>
      <c r="M53" s="29">
        <f>40</f>
        <v>40</v>
      </c>
      <c r="N53" s="29">
        <f>0</f>
        <v>0</v>
      </c>
      <c r="O53" s="17">
        <f>0</f>
        <v>0</v>
      </c>
      <c r="P53" s="17">
        <f>0</f>
        <v>0</v>
      </c>
      <c r="Q53" s="17">
        <f>0</f>
        <v>0</v>
      </c>
    </row>
    <row r="54" spans="1:17" ht="24.75" customHeight="1">
      <c r="A54" s="26" t="s">
        <v>36</v>
      </c>
      <c r="B54" s="29">
        <f>1980844390.76</f>
        <v>1980844390.76</v>
      </c>
      <c r="C54" s="29">
        <f>1980844390.76</f>
        <v>1980844390.76</v>
      </c>
      <c r="D54" s="29">
        <f>163442.34</f>
        <v>163442.34</v>
      </c>
      <c r="E54" s="29">
        <f>104407.56</f>
        <v>104407.56</v>
      </c>
      <c r="F54" s="29">
        <f>5624.58</f>
        <v>5624.58</v>
      </c>
      <c r="G54" s="29">
        <f>53410.2</f>
        <v>53410.2</v>
      </c>
      <c r="H54" s="29">
        <f>0</f>
        <v>0</v>
      </c>
      <c r="I54" s="29">
        <f>0</f>
        <v>0</v>
      </c>
      <c r="J54" s="29">
        <f>1980280666.87</f>
        <v>1980280666.87</v>
      </c>
      <c r="K54" s="29">
        <f>2506.32</f>
        <v>2506.32</v>
      </c>
      <c r="L54" s="29">
        <f>287436.36</f>
        <v>287436.36</v>
      </c>
      <c r="M54" s="29">
        <f>110338.87</f>
        <v>110338.87</v>
      </c>
      <c r="N54" s="29">
        <f>0</f>
        <v>0</v>
      </c>
      <c r="O54" s="17">
        <f>0</f>
        <v>0</v>
      </c>
      <c r="P54" s="17">
        <f>0</f>
        <v>0</v>
      </c>
      <c r="Q54" s="17">
        <f>0</f>
        <v>0</v>
      </c>
    </row>
    <row r="55" spans="1:17" ht="24.75" customHeight="1">
      <c r="A55" s="37" t="s">
        <v>45</v>
      </c>
      <c r="B55" s="38">
        <f>9463478680.89</f>
        <v>9463478680.89</v>
      </c>
      <c r="C55" s="38">
        <f>9438955127.2</f>
        <v>9438955127.2</v>
      </c>
      <c r="D55" s="38">
        <f>157797447.23</f>
        <v>157797447.23</v>
      </c>
      <c r="E55" s="38">
        <f>117796169.07</f>
        <v>117796169.07</v>
      </c>
      <c r="F55" s="38">
        <f>1960764.8</f>
        <v>1960764.8</v>
      </c>
      <c r="G55" s="38">
        <f>34436648.21</f>
        <v>34436648.21</v>
      </c>
      <c r="H55" s="38">
        <f>3603865.15</f>
        <v>3603865.15</v>
      </c>
      <c r="I55" s="38">
        <f>0</f>
        <v>0</v>
      </c>
      <c r="J55" s="38">
        <f>6241875.49</f>
        <v>6241875.49</v>
      </c>
      <c r="K55" s="38">
        <f>9421966.43</f>
        <v>9421966.43</v>
      </c>
      <c r="L55" s="38">
        <f>2013118990.08</f>
        <v>2013118990.08</v>
      </c>
      <c r="M55" s="38">
        <f>7166203144.61</f>
        <v>7166203144.61</v>
      </c>
      <c r="N55" s="38">
        <f>86171703.36</f>
        <v>86171703.36</v>
      </c>
      <c r="O55" s="38">
        <f>24523553.69</f>
        <v>24523553.69</v>
      </c>
      <c r="P55" s="38">
        <f>16494838.96</f>
        <v>16494838.96</v>
      </c>
      <c r="Q55" s="38">
        <f>8028714.73</f>
        <v>8028714.73</v>
      </c>
    </row>
    <row r="56" spans="1:17" ht="24.75" customHeight="1">
      <c r="A56" s="25" t="s">
        <v>37</v>
      </c>
      <c r="B56" s="29">
        <f>1235307521.98</f>
        <v>1235307521.98</v>
      </c>
      <c r="C56" s="29">
        <f>1235099818.11</f>
        <v>1235099818.11</v>
      </c>
      <c r="D56" s="29">
        <f>4412211.57</f>
        <v>4412211.57</v>
      </c>
      <c r="E56" s="29">
        <f>1930431.17</f>
        <v>1930431.17</v>
      </c>
      <c r="F56" s="29">
        <f>170528.64</f>
        <v>170528.64</v>
      </c>
      <c r="G56" s="29">
        <f>2234835.73</f>
        <v>2234835.73</v>
      </c>
      <c r="H56" s="29">
        <f>76416.03</f>
        <v>76416.03</v>
      </c>
      <c r="I56" s="29">
        <f>0</f>
        <v>0</v>
      </c>
      <c r="J56" s="29">
        <f>7544.93</f>
        <v>7544.93</v>
      </c>
      <c r="K56" s="29">
        <f>416184.63</f>
        <v>416184.63</v>
      </c>
      <c r="L56" s="29">
        <f>207269391.53</f>
        <v>207269391.53</v>
      </c>
      <c r="M56" s="29">
        <f>992446320.66</f>
        <v>992446320.66</v>
      </c>
      <c r="N56" s="29">
        <f>30548164.79</f>
        <v>30548164.79</v>
      </c>
      <c r="O56" s="17">
        <f>207703.87</f>
        <v>207703.87</v>
      </c>
      <c r="P56" s="17">
        <f>113642.54</f>
        <v>113642.54</v>
      </c>
      <c r="Q56" s="17">
        <f>94061.33</f>
        <v>94061.33</v>
      </c>
    </row>
    <row r="57" spans="1:17" ht="24.75" customHeight="1">
      <c r="A57" s="26" t="s">
        <v>38</v>
      </c>
      <c r="B57" s="29">
        <f>8228171158.91</f>
        <v>8228171158.91</v>
      </c>
      <c r="C57" s="29">
        <f>8203855309.09</f>
        <v>8203855309.09</v>
      </c>
      <c r="D57" s="29">
        <f>153385235.66</f>
        <v>153385235.66</v>
      </c>
      <c r="E57" s="29">
        <f>115865737.9</f>
        <v>115865737.9</v>
      </c>
      <c r="F57" s="29">
        <f>1790236.16</f>
        <v>1790236.16</v>
      </c>
      <c r="G57" s="29">
        <f>32201812.48</f>
        <v>32201812.48</v>
      </c>
      <c r="H57" s="29">
        <f>3527449.12</f>
        <v>3527449.12</v>
      </c>
      <c r="I57" s="29">
        <f>0</f>
        <v>0</v>
      </c>
      <c r="J57" s="29">
        <f>6234330.56</f>
        <v>6234330.56</v>
      </c>
      <c r="K57" s="29">
        <f>9005781.8</f>
        <v>9005781.8</v>
      </c>
      <c r="L57" s="29">
        <f>1805849598.55</f>
        <v>1805849598.55</v>
      </c>
      <c r="M57" s="29">
        <f>6173756823.95</f>
        <v>6173756823.95</v>
      </c>
      <c r="N57" s="29">
        <f>55623538.57</f>
        <v>55623538.57</v>
      </c>
      <c r="O57" s="17">
        <f>24315849.82</f>
        <v>24315849.82</v>
      </c>
      <c r="P57" s="17">
        <f>16381196.42</f>
        <v>16381196.42</v>
      </c>
      <c r="Q57" s="17">
        <f>7934653.4</f>
        <v>7934653.4</v>
      </c>
    </row>
    <row r="58" spans="1:17" ht="24.75" customHeight="1">
      <c r="A58" s="37" t="s">
        <v>46</v>
      </c>
      <c r="B58" s="38">
        <f>2117545111.74</f>
        <v>2117545111.74</v>
      </c>
      <c r="C58" s="38">
        <f>2116568301.94</f>
        <v>2116568301.94</v>
      </c>
      <c r="D58" s="38">
        <f>421857201.12</f>
        <v>421857201.12</v>
      </c>
      <c r="E58" s="38">
        <f>314789710.69</f>
        <v>314789710.69</v>
      </c>
      <c r="F58" s="38">
        <f>6377181.81</f>
        <v>6377181.81</v>
      </c>
      <c r="G58" s="38">
        <f>97962923.16</f>
        <v>97962923.16</v>
      </c>
      <c r="H58" s="38">
        <f>2727385.46</f>
        <v>2727385.46</v>
      </c>
      <c r="I58" s="38">
        <f>0</f>
        <v>0</v>
      </c>
      <c r="J58" s="38">
        <f>1787573.81</f>
        <v>1787573.81</v>
      </c>
      <c r="K58" s="38">
        <f>6505806.74</f>
        <v>6505806.74</v>
      </c>
      <c r="L58" s="38">
        <f>929813573.55</f>
        <v>929813573.55</v>
      </c>
      <c r="M58" s="38">
        <f>730059586.46</f>
        <v>730059586.46</v>
      </c>
      <c r="N58" s="38">
        <f>26544560.26</f>
        <v>26544560.26</v>
      </c>
      <c r="O58" s="38">
        <f>976809.8</f>
        <v>976809.8</v>
      </c>
      <c r="P58" s="38">
        <f>81273.79</f>
        <v>81273.79</v>
      </c>
      <c r="Q58" s="38">
        <f>895536.01</f>
        <v>895536.01</v>
      </c>
    </row>
    <row r="59" spans="1:17" ht="30" customHeight="1">
      <c r="A59" s="25" t="s">
        <v>39</v>
      </c>
      <c r="B59" s="29">
        <f>453418855.34</f>
        <v>453418855.34</v>
      </c>
      <c r="C59" s="29">
        <f>453338915.19</f>
        <v>453338915.19</v>
      </c>
      <c r="D59" s="29">
        <f>27202080.44</f>
        <v>27202080.44</v>
      </c>
      <c r="E59" s="29">
        <f>3141393.29</f>
        <v>3141393.29</v>
      </c>
      <c r="F59" s="29">
        <f>2892792.03</f>
        <v>2892792.03</v>
      </c>
      <c r="G59" s="29">
        <f>20790656.37</f>
        <v>20790656.37</v>
      </c>
      <c r="H59" s="29">
        <f>377238.75</f>
        <v>377238.75</v>
      </c>
      <c r="I59" s="29">
        <f>0</f>
        <v>0</v>
      </c>
      <c r="J59" s="29">
        <f>683673.34</f>
        <v>683673.34</v>
      </c>
      <c r="K59" s="29">
        <f>1373622.31</f>
        <v>1373622.31</v>
      </c>
      <c r="L59" s="29">
        <f>168525895.36</f>
        <v>168525895.36</v>
      </c>
      <c r="M59" s="29">
        <f>247112870.75</f>
        <v>247112870.75</v>
      </c>
      <c r="N59" s="29">
        <f>8440772.99</f>
        <v>8440772.99</v>
      </c>
      <c r="O59" s="17">
        <f>79940.15</f>
        <v>79940.15</v>
      </c>
      <c r="P59" s="17">
        <f>75109.8</f>
        <v>75109.8</v>
      </c>
      <c r="Q59" s="17">
        <f>4830.35</f>
        <v>4830.35</v>
      </c>
    </row>
    <row r="60" spans="1:17" ht="36">
      <c r="A60" s="25" t="s">
        <v>40</v>
      </c>
      <c r="B60" s="29">
        <f>415292417.27</f>
        <v>415292417.27</v>
      </c>
      <c r="C60" s="29">
        <f>415290933.99</f>
        <v>415290933.99</v>
      </c>
      <c r="D60" s="29">
        <f>182319412.49</f>
        <v>182319412.49</v>
      </c>
      <c r="E60" s="29">
        <f>174634321.51</f>
        <v>174634321.51</v>
      </c>
      <c r="F60" s="29">
        <f>1143929.18</f>
        <v>1143929.18</v>
      </c>
      <c r="G60" s="29">
        <f>5878606.69</f>
        <v>5878606.69</v>
      </c>
      <c r="H60" s="29">
        <f>662555.11</f>
        <v>662555.11</v>
      </c>
      <c r="I60" s="29">
        <f>0</f>
        <v>0</v>
      </c>
      <c r="J60" s="29">
        <f>19647.46</f>
        <v>19647.46</v>
      </c>
      <c r="K60" s="29">
        <f>879420.17</f>
        <v>879420.17</v>
      </c>
      <c r="L60" s="29">
        <f>134486925.54</f>
        <v>134486925.54</v>
      </c>
      <c r="M60" s="29">
        <f>96964392.08</f>
        <v>96964392.08</v>
      </c>
      <c r="N60" s="29">
        <f>621136.25</f>
        <v>621136.25</v>
      </c>
      <c r="O60" s="17">
        <f>1483.28</f>
        <v>1483.28</v>
      </c>
      <c r="P60" s="17">
        <f>550</f>
        <v>550</v>
      </c>
      <c r="Q60" s="17">
        <f>933.28</f>
        <v>933.28</v>
      </c>
    </row>
    <row r="61" spans="1:17" ht="30.75" customHeight="1">
      <c r="A61" s="25" t="s">
        <v>41</v>
      </c>
      <c r="B61" s="29">
        <f>1248833839.13</f>
        <v>1248833839.13</v>
      </c>
      <c r="C61" s="29">
        <f>1247938452.76</f>
        <v>1247938452.76</v>
      </c>
      <c r="D61" s="29">
        <f>212335708.19</f>
        <v>212335708.19</v>
      </c>
      <c r="E61" s="29">
        <f>137013995.89</f>
        <v>137013995.89</v>
      </c>
      <c r="F61" s="29">
        <f>2340460.6</f>
        <v>2340460.6</v>
      </c>
      <c r="G61" s="29">
        <f>71293660.1</f>
        <v>71293660.1</v>
      </c>
      <c r="H61" s="29">
        <f>1687591.6</f>
        <v>1687591.6</v>
      </c>
      <c r="I61" s="29">
        <f>0</f>
        <v>0</v>
      </c>
      <c r="J61" s="29">
        <f>1084253.01</f>
        <v>1084253.01</v>
      </c>
      <c r="K61" s="29">
        <f>4252764.26</f>
        <v>4252764.26</v>
      </c>
      <c r="L61" s="29">
        <f>626800752.65</f>
        <v>626800752.65</v>
      </c>
      <c r="M61" s="29">
        <f>385982323.63</f>
        <v>385982323.63</v>
      </c>
      <c r="N61" s="29">
        <f>17482651.02</f>
        <v>17482651.02</v>
      </c>
      <c r="O61" s="17">
        <f>895386.37</f>
        <v>895386.37</v>
      </c>
      <c r="P61" s="17">
        <f>5613.99</f>
        <v>5613.99</v>
      </c>
      <c r="Q61" s="17">
        <f>889772.38</f>
        <v>889772.38</v>
      </c>
    </row>
    <row r="78" spans="1:13" ht="75" customHeight="1">
      <c r="A78" s="54" t="str">
        <f>CONCATENATE("Informacja z wykonania budżetów gmin za ",$C$105," ",$B$106," roku   ",$B$108,"")</f>
        <v>Informacja z wykonania budżetów gmin za IV Kwartały 2021 roku   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2:13" ht="13.5" customHeight="1">
      <c r="B79" s="58" t="s">
        <v>2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1" spans="2:12" ht="13.5" customHeight="1">
      <c r="B81" s="83" t="s">
        <v>0</v>
      </c>
      <c r="C81" s="84"/>
      <c r="D81" s="84"/>
      <c r="E81" s="85"/>
      <c r="F81" s="93" t="s">
        <v>73</v>
      </c>
      <c r="G81" s="65" t="s">
        <v>79</v>
      </c>
      <c r="H81" s="66"/>
      <c r="I81" s="66"/>
      <c r="J81" s="66"/>
      <c r="K81" s="66"/>
      <c r="L81" s="67"/>
    </row>
    <row r="82" spans="2:12" ht="13.5" customHeight="1">
      <c r="B82" s="86"/>
      <c r="C82" s="87"/>
      <c r="D82" s="87"/>
      <c r="E82" s="88"/>
      <c r="F82" s="94"/>
      <c r="G82" s="96" t="s">
        <v>74</v>
      </c>
      <c r="H82" s="49" t="s">
        <v>71</v>
      </c>
      <c r="I82" s="49" t="s">
        <v>72</v>
      </c>
      <c r="J82" s="49" t="s">
        <v>75</v>
      </c>
      <c r="K82" s="49" t="s">
        <v>76</v>
      </c>
      <c r="L82" s="97" t="s">
        <v>77</v>
      </c>
    </row>
    <row r="83" spans="2:12" ht="13.5" customHeight="1">
      <c r="B83" s="86"/>
      <c r="C83" s="87"/>
      <c r="D83" s="87"/>
      <c r="E83" s="88"/>
      <c r="F83" s="94"/>
      <c r="G83" s="96"/>
      <c r="H83" s="49"/>
      <c r="I83" s="49"/>
      <c r="J83" s="49"/>
      <c r="K83" s="49"/>
      <c r="L83" s="97"/>
    </row>
    <row r="84" spans="2:12" ht="11.25" customHeight="1">
      <c r="B84" s="86"/>
      <c r="C84" s="87"/>
      <c r="D84" s="87"/>
      <c r="E84" s="88"/>
      <c r="F84" s="94"/>
      <c r="G84" s="96"/>
      <c r="H84" s="49"/>
      <c r="I84" s="49"/>
      <c r="J84" s="49"/>
      <c r="K84" s="49"/>
      <c r="L84" s="97"/>
    </row>
    <row r="85" spans="2:12" ht="11.25" customHeight="1">
      <c r="B85" s="89"/>
      <c r="C85" s="90"/>
      <c r="D85" s="90"/>
      <c r="E85" s="91"/>
      <c r="F85" s="95"/>
      <c r="G85" s="96"/>
      <c r="H85" s="49"/>
      <c r="I85" s="49"/>
      <c r="J85" s="49"/>
      <c r="K85" s="49"/>
      <c r="L85" s="97"/>
    </row>
    <row r="86" spans="2:12" ht="11.25" customHeight="1">
      <c r="B86" s="49">
        <v>1</v>
      </c>
      <c r="C86" s="49"/>
      <c r="D86" s="49"/>
      <c r="E86" s="49"/>
      <c r="F86" s="3">
        <v>2</v>
      </c>
      <c r="G86" s="3">
        <v>3</v>
      </c>
      <c r="H86" s="3">
        <v>4</v>
      </c>
      <c r="I86" s="3">
        <v>5</v>
      </c>
      <c r="J86" s="3">
        <v>6</v>
      </c>
      <c r="K86" s="3">
        <v>7</v>
      </c>
      <c r="L86" s="13">
        <v>8</v>
      </c>
    </row>
    <row r="87" spans="2:12" ht="13.5" customHeight="1">
      <c r="B87" s="49"/>
      <c r="C87" s="49"/>
      <c r="D87" s="49"/>
      <c r="E87" s="49"/>
      <c r="F87" s="65" t="s">
        <v>81</v>
      </c>
      <c r="G87" s="41"/>
      <c r="H87" s="41"/>
      <c r="I87" s="41"/>
      <c r="J87" s="41"/>
      <c r="K87" s="41"/>
      <c r="L87" s="42"/>
    </row>
    <row r="88" spans="2:12" ht="33.75" customHeight="1">
      <c r="B88" s="76" t="s">
        <v>58</v>
      </c>
      <c r="C88" s="77"/>
      <c r="D88" s="77"/>
      <c r="E88" s="78"/>
      <c r="F88" s="36">
        <f>1008308543.82</f>
        <v>1008308543.82</v>
      </c>
      <c r="G88" s="36">
        <f>409022247.47</f>
        <v>409022247.47</v>
      </c>
      <c r="H88" s="36">
        <f>28390214.19</f>
        <v>28390214.19</v>
      </c>
      <c r="I88" s="36">
        <f>146772123.5</f>
        <v>146772123.5</v>
      </c>
      <c r="J88" s="36">
        <f>223234473.48</f>
        <v>223234473.48</v>
      </c>
      <c r="K88" s="36">
        <f>10625436.3</f>
        <v>10625436.3</v>
      </c>
      <c r="L88" s="36">
        <f>599286296.35</f>
        <v>599286296.35</v>
      </c>
    </row>
    <row r="89" spans="2:12" ht="33.75" customHeight="1">
      <c r="B89" s="76" t="s">
        <v>59</v>
      </c>
      <c r="C89" s="77"/>
      <c r="D89" s="77"/>
      <c r="E89" s="78"/>
      <c r="F89" s="36">
        <f>13364035.7</f>
        <v>13364035.7</v>
      </c>
      <c r="G89" s="36">
        <f>1170883</f>
        <v>1170883</v>
      </c>
      <c r="H89" s="36">
        <f>0</f>
        <v>0</v>
      </c>
      <c r="I89" s="36">
        <f>0</f>
        <v>0</v>
      </c>
      <c r="J89" s="36">
        <f>1170883</f>
        <v>1170883</v>
      </c>
      <c r="K89" s="36">
        <f>0</f>
        <v>0</v>
      </c>
      <c r="L89" s="36">
        <f>12193152.7</f>
        <v>12193152.7</v>
      </c>
    </row>
    <row r="90" spans="2:12" ht="33.75" customHeight="1">
      <c r="B90" s="76" t="s">
        <v>60</v>
      </c>
      <c r="C90" s="77"/>
      <c r="D90" s="77"/>
      <c r="E90" s="78"/>
      <c r="F90" s="36">
        <f>97748380.84</f>
        <v>97748380.84</v>
      </c>
      <c r="G90" s="36">
        <f>33109431.03</f>
        <v>33109431.03</v>
      </c>
      <c r="H90" s="36">
        <f>200000</f>
        <v>200000</v>
      </c>
      <c r="I90" s="36">
        <f>0</f>
        <v>0</v>
      </c>
      <c r="J90" s="36">
        <f>32799844.99</f>
        <v>32799844.99</v>
      </c>
      <c r="K90" s="36">
        <f>109586.04</f>
        <v>109586.04</v>
      </c>
      <c r="L90" s="36">
        <f>64638949.81</f>
        <v>64638949.81</v>
      </c>
    </row>
    <row r="91" spans="2:12" ht="22.5" customHeight="1">
      <c r="B91" s="76" t="s">
        <v>61</v>
      </c>
      <c r="C91" s="77"/>
      <c r="D91" s="77"/>
      <c r="E91" s="78"/>
      <c r="F91" s="36">
        <f>17415753.64</f>
        <v>17415753.64</v>
      </c>
      <c r="G91" s="36">
        <f>5158358.93</f>
        <v>5158358.93</v>
      </c>
      <c r="H91" s="36">
        <f>0</f>
        <v>0</v>
      </c>
      <c r="I91" s="36">
        <f>5158358.93</f>
        <v>5158358.93</v>
      </c>
      <c r="J91" s="36">
        <f>0</f>
        <v>0</v>
      </c>
      <c r="K91" s="36">
        <f>0</f>
        <v>0</v>
      </c>
      <c r="L91" s="36">
        <f>12257394.71</f>
        <v>12257394.71</v>
      </c>
    </row>
    <row r="92" spans="2:12" ht="33.75" customHeight="1">
      <c r="B92" s="76" t="s">
        <v>62</v>
      </c>
      <c r="C92" s="77"/>
      <c r="D92" s="77"/>
      <c r="E92" s="78"/>
      <c r="F92" s="36">
        <f>59126.02</f>
        <v>59126.02</v>
      </c>
      <c r="G92" s="36">
        <f>0</f>
        <v>0</v>
      </c>
      <c r="H92" s="36">
        <f>0</f>
        <v>0</v>
      </c>
      <c r="I92" s="36">
        <f>0</f>
        <v>0</v>
      </c>
      <c r="J92" s="36">
        <f>0</f>
        <v>0</v>
      </c>
      <c r="K92" s="36">
        <f>0</f>
        <v>0</v>
      </c>
      <c r="L92" s="36">
        <f>59126.02</f>
        <v>59126.02</v>
      </c>
    </row>
    <row r="93" spans="2:12" ht="33.75" customHeight="1">
      <c r="B93" s="76" t="s">
        <v>63</v>
      </c>
      <c r="C93" s="77"/>
      <c r="D93" s="77"/>
      <c r="E93" s="78"/>
      <c r="F93" s="36">
        <f>4296761.96</f>
        <v>4296761.96</v>
      </c>
      <c r="G93" s="36">
        <f>0</f>
        <v>0</v>
      </c>
      <c r="H93" s="36">
        <f>0</f>
        <v>0</v>
      </c>
      <c r="I93" s="36">
        <f>0</f>
        <v>0</v>
      </c>
      <c r="J93" s="36">
        <f>0</f>
        <v>0</v>
      </c>
      <c r="K93" s="36">
        <f>0</f>
        <v>0</v>
      </c>
      <c r="L93" s="36">
        <f>4296761.96</f>
        <v>4296761.96</v>
      </c>
    </row>
    <row r="94" spans="2:12" ht="22.5" customHeight="1">
      <c r="B94" s="76" t="s">
        <v>64</v>
      </c>
      <c r="C94" s="77"/>
      <c r="D94" s="77"/>
      <c r="E94" s="78"/>
      <c r="F94" s="36">
        <f>1728179.48</f>
        <v>1728179.48</v>
      </c>
      <c r="G94" s="36">
        <f>0</f>
        <v>0</v>
      </c>
      <c r="H94" s="36">
        <f>0</f>
        <v>0</v>
      </c>
      <c r="I94" s="36">
        <f>0</f>
        <v>0</v>
      </c>
      <c r="J94" s="36">
        <f>0</f>
        <v>0</v>
      </c>
      <c r="K94" s="36">
        <f>0</f>
        <v>0</v>
      </c>
      <c r="L94" s="36">
        <f>1728179.48</f>
        <v>1728179.48</v>
      </c>
    </row>
    <row r="97" spans="1:13" ht="75" customHeight="1">
      <c r="A97" s="54" t="str">
        <f>CONCATENATE("Informacja z wykonania budżetów gmin za ",$C$105," ",$B$106," roku   ",$B$108,"")</f>
        <v>Informacja z wykonania budżetów gmin za IV Kwartały 2021 roku   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</row>
    <row r="98" ht="13.5" customHeight="1">
      <c r="B98" s="4"/>
    </row>
    <row r="99" spans="2:11" ht="13.5" customHeight="1">
      <c r="B99" s="5"/>
      <c r="C99" s="65"/>
      <c r="D99" s="66"/>
      <c r="E99" s="66"/>
      <c r="F99" s="67"/>
      <c r="G99" s="65" t="s">
        <v>3</v>
      </c>
      <c r="H99" s="67"/>
      <c r="I99" s="65" t="s">
        <v>4</v>
      </c>
      <c r="J99" s="67"/>
      <c r="K99" s="5"/>
    </row>
    <row r="100" spans="2:11" ht="13.5" customHeight="1">
      <c r="B100" s="6"/>
      <c r="C100" s="73" t="s">
        <v>5</v>
      </c>
      <c r="D100" s="74"/>
      <c r="E100" s="74"/>
      <c r="F100" s="75"/>
      <c r="G100" s="69">
        <f>2119</f>
        <v>2119</v>
      </c>
      <c r="H100" s="70"/>
      <c r="I100" s="71">
        <f>11487209634.38</f>
        <v>11487209634.38</v>
      </c>
      <c r="J100" s="72"/>
      <c r="K100" s="7"/>
    </row>
    <row r="101" spans="2:11" ht="13.5" customHeight="1">
      <c r="B101" s="6"/>
      <c r="C101" s="76" t="s">
        <v>6</v>
      </c>
      <c r="D101" s="77"/>
      <c r="E101" s="77"/>
      <c r="F101" s="78"/>
      <c r="G101" s="79">
        <f>292</f>
        <v>292</v>
      </c>
      <c r="H101" s="80"/>
      <c r="I101" s="81">
        <f>-792484226.99</f>
        <v>-792484226.99</v>
      </c>
      <c r="J101" s="82"/>
      <c r="K101" s="7"/>
    </row>
    <row r="102" spans="2:11" ht="13.5" customHeight="1">
      <c r="B102" s="6"/>
      <c r="C102" s="73" t="s">
        <v>7</v>
      </c>
      <c r="D102" s="74"/>
      <c r="E102" s="74"/>
      <c r="F102" s="75"/>
      <c r="G102" s="69">
        <f>0</f>
        <v>0</v>
      </c>
      <c r="H102" s="70"/>
      <c r="I102" s="71">
        <f>0</f>
        <v>0</v>
      </c>
      <c r="J102" s="72"/>
      <c r="K102" s="7"/>
    </row>
    <row r="105" spans="1:3" ht="13.5" customHeight="1">
      <c r="A105" s="8" t="s">
        <v>8</v>
      </c>
      <c r="B105" s="8">
        <f>4</f>
        <v>4</v>
      </c>
      <c r="C105" s="8" t="str">
        <f>IF(B105=1,"I Kwartał",IF(B105=2,"II Kwartały",IF(B105=3,"III Kwartały",IF(B105=4,"IV Kwartały","-"))))</f>
        <v>IV Kwartały</v>
      </c>
    </row>
    <row r="106" spans="1:3" ht="13.5" customHeight="1">
      <c r="A106" s="8" t="s">
        <v>9</v>
      </c>
      <c r="B106" s="8">
        <f>2021</f>
        <v>2021</v>
      </c>
      <c r="C106" s="9"/>
    </row>
    <row r="107" spans="1:3" ht="13.5" customHeight="1">
      <c r="A107" s="8" t="s">
        <v>10</v>
      </c>
      <c r="B107" s="10" t="str">
        <f>"Mar 21 2022 12:00AM"</f>
        <v>Mar 21 2022 12:00AM</v>
      </c>
      <c r="C107" s="9"/>
    </row>
    <row r="108" spans="1:2" ht="13.5" customHeight="1">
      <c r="A108" s="18" t="s">
        <v>80</v>
      </c>
      <c r="B108" s="10">
        <f>""</f>
      </c>
    </row>
  </sheetData>
  <sheetProtection/>
  <mergeCells count="79">
    <mergeCell ref="B43:N43"/>
    <mergeCell ref="B86:E86"/>
    <mergeCell ref="F87:L87"/>
    <mergeCell ref="L82:L85"/>
    <mergeCell ref="O6:Q6"/>
    <mergeCell ref="O7:O10"/>
    <mergeCell ref="A78:M78"/>
    <mergeCell ref="L39:L41"/>
    <mergeCell ref="P39:P41"/>
    <mergeCell ref="Q39:Q41"/>
    <mergeCell ref="N39:N41"/>
    <mergeCell ref="O39:O41"/>
    <mergeCell ref="D39:D41"/>
    <mergeCell ref="H7:H10"/>
    <mergeCell ref="B93:E93"/>
    <mergeCell ref="B89:E89"/>
    <mergeCell ref="M39:M41"/>
    <mergeCell ref="B88:E88"/>
    <mergeCell ref="F81:F85"/>
    <mergeCell ref="G82:G85"/>
    <mergeCell ref="I100:J100"/>
    <mergeCell ref="B79:M79"/>
    <mergeCell ref="I99:J99"/>
    <mergeCell ref="B87:E87"/>
    <mergeCell ref="B81:E85"/>
    <mergeCell ref="B94:E94"/>
    <mergeCell ref="A97:M97"/>
    <mergeCell ref="B90:E90"/>
    <mergeCell ref="B91:E91"/>
    <mergeCell ref="B92:E92"/>
    <mergeCell ref="G102:H102"/>
    <mergeCell ref="I102:J102"/>
    <mergeCell ref="C99:F99"/>
    <mergeCell ref="C100:F100"/>
    <mergeCell ref="C101:F101"/>
    <mergeCell ref="C102:F102"/>
    <mergeCell ref="G100:H100"/>
    <mergeCell ref="G99:H99"/>
    <mergeCell ref="G101:H101"/>
    <mergeCell ref="I101:J101"/>
    <mergeCell ref="G81:L81"/>
    <mergeCell ref="H82:H85"/>
    <mergeCell ref="I82:I85"/>
    <mergeCell ref="J82:J85"/>
    <mergeCell ref="A1:M1"/>
    <mergeCell ref="C5:M5"/>
    <mergeCell ref="A3:M3"/>
    <mergeCell ref="K7:K10"/>
    <mergeCell ref="C7:C10"/>
    <mergeCell ref="B38:B41"/>
    <mergeCell ref="B6:B10"/>
    <mergeCell ref="A6:A10"/>
    <mergeCell ref="C6:N6"/>
    <mergeCell ref="D7:D10"/>
    <mergeCell ref="E7:E10"/>
    <mergeCell ref="G7:G10"/>
    <mergeCell ref="F7:F10"/>
    <mergeCell ref="I7:I10"/>
    <mergeCell ref="J7:J10"/>
    <mergeCell ref="J39:J41"/>
    <mergeCell ref="Q7:Q10"/>
    <mergeCell ref="C38:N38"/>
    <mergeCell ref="L7:L10"/>
    <mergeCell ref="M7:M10"/>
    <mergeCell ref="N7:N10"/>
    <mergeCell ref="P7:P10"/>
    <mergeCell ref="A34:M34"/>
    <mergeCell ref="O38:Q38"/>
    <mergeCell ref="A36:M36"/>
    <mergeCell ref="B12:Q12"/>
    <mergeCell ref="A38:A41"/>
    <mergeCell ref="C39:C41"/>
    <mergeCell ref="E39:E41"/>
    <mergeCell ref="K82:K85"/>
    <mergeCell ref="F39:F41"/>
    <mergeCell ref="G39:G41"/>
    <mergeCell ref="H39:H41"/>
    <mergeCell ref="K39:K41"/>
    <mergeCell ref="I39:I41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33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Kołacz Bernard</cp:lastModifiedBy>
  <cp:lastPrinted>2016-08-26T11:23:29Z</cp:lastPrinted>
  <dcterms:created xsi:type="dcterms:W3CDTF">2001-05-17T08:58:03Z</dcterms:created>
  <dcterms:modified xsi:type="dcterms:W3CDTF">2022-04-05T06:58:15Z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MF\HHCY;Kołacz Bernard</vt:lpwstr>
  </property>
  <property fmtid="{D5CDD505-2E9C-101B-9397-08002B2CF9AE}" pid="4" name="MFClassificationDate">
    <vt:lpwstr>2022-04-05T08:58:09.8814926+02:00</vt:lpwstr>
  </property>
  <property fmtid="{D5CDD505-2E9C-101B-9397-08002B2CF9AE}" pid="5" name="MFClassifiedBySID">
    <vt:lpwstr>MF\S-1-5-21-1525952054-1005573771-2909822258-435687</vt:lpwstr>
  </property>
  <property fmtid="{D5CDD505-2E9C-101B-9397-08002B2CF9AE}" pid="6" name="MFGRNItemId">
    <vt:lpwstr>GRN-6b5ab0b2-1c88-47a9-b996-e7eb8c428c15</vt:lpwstr>
  </property>
  <property fmtid="{D5CDD505-2E9C-101B-9397-08002B2CF9AE}" pid="7" name="MFHash">
    <vt:lpwstr>1UbpfrGR5JcTQSOJ8kyIGWikOTtxxGq7BovoFVd4sW0=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