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<sst xmlns="http://schemas.openxmlformats.org/spreadsheetml/2006/main" count="98" uniqueCount="79">
  <si>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</si>
  <si>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</si>
  <si>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</si>
  <si>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</si>
  <si>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</si>
  <si>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</si>
  <si>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</si>
  <si>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</si>
  <si>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</si>
  <si>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</si>
  <si>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</si>
  <si>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</si>
  <si>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</si>
  <si>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</si>
  <si>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</si>
  <si>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</si>
  <si>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</si>
  <si>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</si>
  <si>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</si>
  <si>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</si>
  <si>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</si>
  <si>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</si>
  <si>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</si>
  <si>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</si>
  <si>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</si>
  <si>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</si>
  <si>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</si>
  <si>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</si>
  <si>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</si>
  <si>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</si>
  <si>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</si>
  <si>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</si>
  <si>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</si>
  <si>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</si>
  <si>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</si>
  <si>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</si>
  <si>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</si>
  <si>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</si>
  <si>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</si>
  <si>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</si>
  <si>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</si>
  <si>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</si>
  <si>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</si>
  <si>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</si>
  <si>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</si>
  <si>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</si>
  <si>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</si>
  <si>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</si>
  <si>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</si>
  <si>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</si>
  <si>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</si>
  <si>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</si>
  <si>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</si>
  <si>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</si>
  <si>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</si>
  <si>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</si>
  <si>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</si>
  <si>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</si>
  <si>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</si>
  <si>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</si>
  <si>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</si>
  <si>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</si>
  <si>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</si>
  <si>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</si>
  <si>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</si>
  <si>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</si>
  <si>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</si>
  <si>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</si>
  <si>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</si>
  <si>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</si>
  <si>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</si>
  <si>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</si>
  <si>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</si>
  <si>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</si>
  <si>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</si>
  <si>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</si>
  <si>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</si>
  <si>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</si>
  <si>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 Kwartał 2021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</si>
</sst>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1.375" style="2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10.125" style="2" bestFit="1" customWidth="1"/>
    <col min="15" max="16" width="12.00390625" style="2" bestFit="1" customWidth="1"/>
    <col min="17" max="17" width="9.375" style="2" bestFit="1" customWidth="1"/>
    <col min="18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42405011529.32</f>
        <v>42405011529.32</v>
      </c>
      <c r="C13" s="19">
        <f>22217594439.35</f>
        <v>22217594439.35</v>
      </c>
      <c r="D13" s="19">
        <f>454389058.31</f>
        <v>454389058.31</v>
      </c>
      <c r="E13" s="19">
        <f>3664.88</f>
        <v>3664.88</v>
      </c>
      <c r="F13" s="19">
        <f>246921741.22</f>
        <v>246921741.22</v>
      </c>
      <c r="G13" s="19">
        <f>207463652.21</f>
        <v>207463652.21</v>
      </c>
      <c r="H13" s="19">
        <f>0</f>
        <v>0</v>
      </c>
      <c r="I13" s="19">
        <f>0</f>
        <v>0</v>
      </c>
      <c r="J13" s="19">
        <f>19668583633.79</f>
        <v>19668583633.79</v>
      </c>
      <c r="K13" s="19">
        <f>646976284.8</f>
        <v>646976284.8</v>
      </c>
      <c r="L13" s="19">
        <f>1428589330.75</f>
        <v>1428589330.75</v>
      </c>
      <c r="M13" s="19">
        <f>15071892.1</f>
        <v>15071892.1</v>
      </c>
      <c r="N13" s="19">
        <f>3984239.6</f>
        <v>3984239.6</v>
      </c>
      <c r="O13" s="19">
        <f>20187417089.97</f>
        <v>20187417089.97</v>
      </c>
      <c r="P13" s="19">
        <f>20110717089.97</f>
        <v>20110717089.97</v>
      </c>
      <c r="Q13" s="19">
        <f>76700000</f>
        <v>76700000</v>
      </c>
    </row>
    <row r="14" spans="1:17" ht="38.25" customHeight="1">
      <c r="A14" s="18" t="s">
        <v>46</v>
      </c>
      <c r="B14" s="19">
        <f>2600151000</f>
        <v>2600151000</v>
      </c>
      <c r="C14" s="19">
        <f>2600151000</f>
        <v>2600151000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2600151000</f>
        <v>2600151000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2600151000</f>
        <v>2600151000</v>
      </c>
      <c r="C16" s="20">
        <f>2600151000</f>
        <v>2600151000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2600151000</f>
        <v>2600151000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39778750551.34</f>
        <v>39778750551.34</v>
      </c>
      <c r="C17" s="19">
        <f>19591333461.37</f>
        <v>19591333461.37</v>
      </c>
      <c r="D17" s="19">
        <f>447998378.4</f>
        <v>447998378.4</v>
      </c>
      <c r="E17" s="19">
        <f>0</f>
        <v>0</v>
      </c>
      <c r="F17" s="19">
        <f>246921741.22</f>
        <v>246921741.22</v>
      </c>
      <c r="G17" s="19">
        <f>201076637.18</f>
        <v>201076637.18</v>
      </c>
      <c r="H17" s="19">
        <f>0</f>
        <v>0</v>
      </c>
      <c r="I17" s="19">
        <f>0</f>
        <v>0</v>
      </c>
      <c r="J17" s="19">
        <f>17068432633.79</f>
        <v>17068432633.79</v>
      </c>
      <c r="K17" s="19">
        <f>646976284.8</f>
        <v>646976284.8</v>
      </c>
      <c r="L17" s="19">
        <f>1426501206.59</f>
        <v>1426501206.59</v>
      </c>
      <c r="M17" s="19">
        <f>1424957.79</f>
        <v>1424957.79</v>
      </c>
      <c r="N17" s="19">
        <f>0</f>
        <v>0</v>
      </c>
      <c r="O17" s="19">
        <f>20187417089.97</f>
        <v>20187417089.97</v>
      </c>
      <c r="P17" s="19">
        <f>20110717089.97</f>
        <v>20110717089.97</v>
      </c>
      <c r="Q17" s="19">
        <f>76700000</f>
        <v>76700000</v>
      </c>
    </row>
    <row r="18" spans="1:17" ht="38.25" customHeight="1">
      <c r="A18" s="16" t="s">
        <v>50</v>
      </c>
      <c r="B18" s="20">
        <f>100319788.49</f>
        <v>100319788.49</v>
      </c>
      <c r="C18" s="20">
        <f>100319788.49</f>
        <v>100319788.49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100319788.49</f>
        <v>100319788.49</v>
      </c>
      <c r="K18" s="20">
        <f>0</f>
        <v>0</v>
      </c>
      <c r="L18" s="20">
        <f>0</f>
        <v>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39678430762.85</f>
        <v>39678430762.85</v>
      </c>
      <c r="C19" s="20">
        <f>19491013672.88</f>
        <v>19491013672.88</v>
      </c>
      <c r="D19" s="20">
        <f>447998378.4</f>
        <v>447998378.4</v>
      </c>
      <c r="E19" s="20">
        <f>0</f>
        <v>0</v>
      </c>
      <c r="F19" s="20">
        <f>246921741.22</f>
        <v>246921741.22</v>
      </c>
      <c r="G19" s="20">
        <f>201076637.18</f>
        <v>201076637.18</v>
      </c>
      <c r="H19" s="20">
        <f>0</f>
        <v>0</v>
      </c>
      <c r="I19" s="20">
        <f>0</f>
        <v>0</v>
      </c>
      <c r="J19" s="20">
        <f>16968112845.3</f>
        <v>16968112845.3</v>
      </c>
      <c r="K19" s="20">
        <f>646976284.8</f>
        <v>646976284.8</v>
      </c>
      <c r="L19" s="20">
        <f>1426501206.59</f>
        <v>1426501206.59</v>
      </c>
      <c r="M19" s="20">
        <f>1424957.79</f>
        <v>1424957.79</v>
      </c>
      <c r="N19" s="20">
        <f>0</f>
        <v>0</v>
      </c>
      <c r="O19" s="20">
        <f>20187417089.97</f>
        <v>20187417089.97</v>
      </c>
      <c r="P19" s="20">
        <f>20110717089.97</f>
        <v>20110717089.97</v>
      </c>
      <c r="Q19" s="20">
        <f>76700000</f>
        <v>76700000</v>
      </c>
    </row>
    <row r="20" spans="1:17" ht="38.25" customHeight="1">
      <c r="A20" s="18" t="s">
        <v>52</v>
      </c>
      <c r="B20" s="19">
        <f>3000000</f>
        <v>3000000</v>
      </c>
      <c r="C20" s="19">
        <f>3000000</f>
        <v>3000000</v>
      </c>
      <c r="D20" s="19">
        <f>3000000</f>
        <v>3000000</v>
      </c>
      <c r="E20" s="19">
        <f>0</f>
        <v>0</v>
      </c>
      <c r="F20" s="19">
        <f>0</f>
        <v>0</v>
      </c>
      <c r="G20" s="19">
        <f>3000000</f>
        <v>3000000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23109977.98</f>
        <v>23109977.98</v>
      </c>
      <c r="C21" s="19">
        <f>23109977.98</f>
        <v>23109977.98</v>
      </c>
      <c r="D21" s="19">
        <f>3390679.91</f>
        <v>3390679.91</v>
      </c>
      <c r="E21" s="19">
        <f>3664.88</f>
        <v>3664.88</v>
      </c>
      <c r="F21" s="19">
        <f>0</f>
        <v>0</v>
      </c>
      <c r="G21" s="19">
        <f>3387015.03</f>
        <v>3387015.03</v>
      </c>
      <c r="H21" s="19">
        <f>0</f>
        <v>0</v>
      </c>
      <c r="I21" s="19">
        <f>0</f>
        <v>0</v>
      </c>
      <c r="J21" s="19">
        <f>0</f>
        <v>0</v>
      </c>
      <c r="K21" s="19">
        <f>0</f>
        <v>0</v>
      </c>
      <c r="L21" s="19">
        <f>2088124.16</f>
        <v>2088124.16</v>
      </c>
      <c r="M21" s="19">
        <f>13646934.31</f>
        <v>13646934.31</v>
      </c>
      <c r="N21" s="19">
        <f>3984239.6</f>
        <v>3984239.6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15776199.71</f>
        <v>15776199.71</v>
      </c>
      <c r="C22" s="20">
        <f>15776199.71</f>
        <v>15776199.71</v>
      </c>
      <c r="D22" s="20">
        <f>1237399.71</f>
        <v>1237399.71</v>
      </c>
      <c r="E22" s="20">
        <f>400.88</f>
        <v>400.88</v>
      </c>
      <c r="F22" s="20">
        <f>0</f>
        <v>0</v>
      </c>
      <c r="G22" s="20">
        <f>1236998.83</f>
        <v>1236998.83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256753.85</f>
        <v>256753.85</v>
      </c>
      <c r="M22" s="20">
        <f>11864715.71</f>
        <v>11864715.71</v>
      </c>
      <c r="N22" s="20">
        <f>2417330.44</f>
        <v>2417330.44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7333778.27</f>
        <v>7333778.27</v>
      </c>
      <c r="C23" s="20">
        <f>7333778.27</f>
        <v>7333778.27</v>
      </c>
      <c r="D23" s="20">
        <f>2153280.2</f>
        <v>2153280.2</v>
      </c>
      <c r="E23" s="20">
        <f>3264</f>
        <v>3264</v>
      </c>
      <c r="F23" s="20">
        <f>0</f>
        <v>0</v>
      </c>
      <c r="G23" s="20">
        <f>2150016.2</f>
        <v>2150016.2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1831370.31</f>
        <v>1831370.31</v>
      </c>
      <c r="M23" s="20">
        <f>1782218.6</f>
        <v>1782218.6</v>
      </c>
      <c r="N23" s="20">
        <f>1566909.16</f>
        <v>1566909.16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93672.2</f>
        <v>93672.2</v>
      </c>
      <c r="C41" s="21">
        <f>93672.2</f>
        <v>93672.2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93672.2</f>
        <v>93672.2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93672.2</f>
        <v>93672.2</v>
      </c>
      <c r="C43" s="22">
        <f>93672.2</f>
        <v>93672.2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93672.2</f>
        <v>93672.2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507980980.13</f>
        <v>507980980.13</v>
      </c>
      <c r="C44" s="21">
        <f>507980980.13</f>
        <v>507980980.13</v>
      </c>
      <c r="D44" s="21">
        <f>94774301.53</f>
        <v>94774301.53</v>
      </c>
      <c r="E44" s="21">
        <f>308877.9</f>
        <v>308877.9</v>
      </c>
      <c r="F44" s="21">
        <f>31667.5</f>
        <v>31667.5</v>
      </c>
      <c r="G44" s="21">
        <f>94433756.13</f>
        <v>94433756.13</v>
      </c>
      <c r="H44" s="21">
        <f>0</f>
        <v>0</v>
      </c>
      <c r="I44" s="21">
        <f>0</f>
        <v>0</v>
      </c>
      <c r="J44" s="21">
        <f>86359.3</f>
        <v>86359.3</v>
      </c>
      <c r="K44" s="21">
        <f>117995.19</f>
        <v>117995.19</v>
      </c>
      <c r="L44" s="21">
        <f>250284445.56</f>
        <v>250284445.56</v>
      </c>
      <c r="M44" s="21">
        <f>158810269.76</f>
        <v>158810269.76</v>
      </c>
      <c r="N44" s="21">
        <f>3907608.79</f>
        <v>3907608.79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68079289.81</f>
        <v>68079289.81</v>
      </c>
      <c r="C45" s="22">
        <f>68079289.81</f>
        <v>68079289.81</v>
      </c>
      <c r="D45" s="22">
        <f>8107862.12</f>
        <v>8107862.12</v>
      </c>
      <c r="E45" s="22">
        <f>308877.9</f>
        <v>308877.9</v>
      </c>
      <c r="F45" s="22">
        <f>0</f>
        <v>0</v>
      </c>
      <c r="G45" s="22">
        <f>7798984.22</f>
        <v>7798984.22</v>
      </c>
      <c r="H45" s="22">
        <f>0</f>
        <v>0</v>
      </c>
      <c r="I45" s="22">
        <f>0</f>
        <v>0</v>
      </c>
      <c r="J45" s="22">
        <f>12339</f>
        <v>12339</v>
      </c>
      <c r="K45" s="22">
        <f>101628.47</f>
        <v>101628.47</v>
      </c>
      <c r="L45" s="22">
        <f>29845915.21</f>
        <v>29845915.21</v>
      </c>
      <c r="M45" s="22">
        <f>29551062.01</f>
        <v>29551062.01</v>
      </c>
      <c r="N45" s="22">
        <f>460483</f>
        <v>460483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439901690.32</f>
        <v>439901690.32</v>
      </c>
      <c r="C46" s="22">
        <f>439901690.32</f>
        <v>439901690.32</v>
      </c>
      <c r="D46" s="22">
        <f>86666439.41</f>
        <v>86666439.41</v>
      </c>
      <c r="E46" s="22">
        <f>0</f>
        <v>0</v>
      </c>
      <c r="F46" s="22">
        <f>31667.5</f>
        <v>31667.5</v>
      </c>
      <c r="G46" s="22">
        <f>86634771.91</f>
        <v>86634771.91</v>
      </c>
      <c r="H46" s="22">
        <f>0</f>
        <v>0</v>
      </c>
      <c r="I46" s="22">
        <f>0</f>
        <v>0</v>
      </c>
      <c r="J46" s="22">
        <f>74020.3</f>
        <v>74020.3</v>
      </c>
      <c r="K46" s="22">
        <f>16366.72</f>
        <v>16366.72</v>
      </c>
      <c r="L46" s="22">
        <f>220438530.35</f>
        <v>220438530.35</v>
      </c>
      <c r="M46" s="22">
        <f>129259207.75</f>
        <v>129259207.75</v>
      </c>
      <c r="N46" s="22">
        <f>3447125.79</f>
        <v>3447125.79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11826894432.85</f>
        <v>11826894432.85</v>
      </c>
      <c r="C47" s="21">
        <f>11826894432.85</f>
        <v>11826894432.85</v>
      </c>
      <c r="D47" s="21">
        <f>17221031.5</f>
        <v>17221031.5</v>
      </c>
      <c r="E47" s="21">
        <f>2565</f>
        <v>2565</v>
      </c>
      <c r="F47" s="21">
        <f>28836.81</f>
        <v>28836.81</v>
      </c>
      <c r="G47" s="21">
        <f>17189629.69</f>
        <v>17189629.69</v>
      </c>
      <c r="H47" s="21">
        <f>0</f>
        <v>0</v>
      </c>
      <c r="I47" s="21">
        <f>19097810.97</f>
        <v>19097810.97</v>
      </c>
      <c r="J47" s="21">
        <f>11789082737.45</f>
        <v>11789082737.45</v>
      </c>
      <c r="K47" s="21">
        <f>9747.01</f>
        <v>9747.01</v>
      </c>
      <c r="L47" s="21">
        <f>1313065.96</f>
        <v>1313065.96</v>
      </c>
      <c r="M47" s="21">
        <f>11518.7</f>
        <v>11518.7</v>
      </c>
      <c r="N47" s="21">
        <f>158521.26</f>
        <v>158521.26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6244107.24</f>
        <v>6244107.24</v>
      </c>
      <c r="C48" s="22">
        <f>6244107.24</f>
        <v>6244107.24</v>
      </c>
      <c r="D48" s="22">
        <f>6244107.24</f>
        <v>6244107.24</v>
      </c>
      <c r="E48" s="22">
        <f>0</f>
        <v>0</v>
      </c>
      <c r="F48" s="22">
        <f>0</f>
        <v>0</v>
      </c>
      <c r="G48" s="22">
        <f>6244107.24</f>
        <v>6244107.24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10894911521.13</f>
        <v>10894911521.13</v>
      </c>
      <c r="C49" s="22">
        <f>10894911521.13</f>
        <v>10894911521.13</v>
      </c>
      <c r="D49" s="22">
        <f>10810838.45</f>
        <v>10810838.45</v>
      </c>
      <c r="E49" s="22">
        <f>0</f>
        <v>0</v>
      </c>
      <c r="F49" s="22">
        <f>545.81</f>
        <v>545.81</v>
      </c>
      <c r="G49" s="22">
        <f>10810292.64</f>
        <v>10810292.64</v>
      </c>
      <c r="H49" s="22">
        <f>0</f>
        <v>0</v>
      </c>
      <c r="I49" s="22">
        <f>19045394.97</f>
        <v>19045394.97</v>
      </c>
      <c r="J49" s="22">
        <f>10864943257.05</f>
        <v>10864943257.05</v>
      </c>
      <c r="K49" s="22">
        <f>9747.01</f>
        <v>9747.01</v>
      </c>
      <c r="L49" s="22">
        <f>100614.95</f>
        <v>100614.95</v>
      </c>
      <c r="M49" s="22">
        <f>1668.7</f>
        <v>1668.7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925738804.48</f>
        <v>925738804.48</v>
      </c>
      <c r="C50" s="22">
        <f>925738804.48</f>
        <v>925738804.48</v>
      </c>
      <c r="D50" s="22">
        <f>166085.81</f>
        <v>166085.81</v>
      </c>
      <c r="E50" s="22">
        <f>2565</f>
        <v>2565</v>
      </c>
      <c r="F50" s="22">
        <f>28291</f>
        <v>28291</v>
      </c>
      <c r="G50" s="22">
        <f>135229.81</f>
        <v>135229.81</v>
      </c>
      <c r="H50" s="22">
        <f>0</f>
        <v>0</v>
      </c>
      <c r="I50" s="22">
        <f>52416</f>
        <v>52416</v>
      </c>
      <c r="J50" s="22">
        <f>924139480.4</f>
        <v>924139480.4</v>
      </c>
      <c r="K50" s="22">
        <f>0</f>
        <v>0</v>
      </c>
      <c r="L50" s="22">
        <f>1212451.01</f>
        <v>1212451.01</v>
      </c>
      <c r="M50" s="22">
        <f>9850</f>
        <v>9850</v>
      </c>
      <c r="N50" s="22">
        <f>158521.26</f>
        <v>158521.26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12100015617.95</f>
        <v>12100015617.95</v>
      </c>
      <c r="C51" s="21">
        <f>12076178735.86</f>
        <v>12076178735.86</v>
      </c>
      <c r="D51" s="21">
        <f>344863394.11</f>
        <v>344863394.11</v>
      </c>
      <c r="E51" s="21">
        <f>96690543.03</f>
        <v>96690543.03</v>
      </c>
      <c r="F51" s="21">
        <f>11106032.91</f>
        <v>11106032.91</v>
      </c>
      <c r="G51" s="21">
        <f>234345236.37</f>
        <v>234345236.37</v>
      </c>
      <c r="H51" s="21">
        <f>2721581.8</f>
        <v>2721581.8</v>
      </c>
      <c r="I51" s="21">
        <f>89</f>
        <v>89</v>
      </c>
      <c r="J51" s="21">
        <f>530415.78</f>
        <v>530415.78</v>
      </c>
      <c r="K51" s="21">
        <f>2659479.98</f>
        <v>2659479.98</v>
      </c>
      <c r="L51" s="21">
        <f>2629370683.82</f>
        <v>2629370683.82</v>
      </c>
      <c r="M51" s="21">
        <f>8993019329.82</f>
        <v>8993019329.82</v>
      </c>
      <c r="N51" s="21">
        <f>105735343.35</f>
        <v>105735343.35</v>
      </c>
      <c r="O51" s="21">
        <f>23836882.09</f>
        <v>23836882.09</v>
      </c>
      <c r="P51" s="21">
        <f>14659853.95</f>
        <v>14659853.95</v>
      </c>
      <c r="Q51" s="21">
        <f>9177028.14</f>
        <v>9177028.14</v>
      </c>
    </row>
    <row r="52" spans="1:17" ht="26.25" customHeight="1">
      <c r="A52" s="17" t="s">
        <v>35</v>
      </c>
      <c r="B52" s="22">
        <f>5638239119.2</f>
        <v>5638239119.2</v>
      </c>
      <c r="C52" s="22">
        <f>5636705168.12</f>
        <v>5636705168.12</v>
      </c>
      <c r="D52" s="22">
        <f>73555768.63</f>
        <v>73555768.63</v>
      </c>
      <c r="E52" s="22">
        <f>1598244.94</f>
        <v>1598244.94</v>
      </c>
      <c r="F52" s="22">
        <f>1211669.73</f>
        <v>1211669.73</v>
      </c>
      <c r="G52" s="22">
        <f>70745713.93</f>
        <v>70745713.93</v>
      </c>
      <c r="H52" s="22">
        <f>140.03</f>
        <v>140.03</v>
      </c>
      <c r="I52" s="22">
        <f>0</f>
        <v>0</v>
      </c>
      <c r="J52" s="22">
        <f>68224.99</f>
        <v>68224.99</v>
      </c>
      <c r="K52" s="22">
        <f>845091.45</f>
        <v>845091.45</v>
      </c>
      <c r="L52" s="22">
        <f>826061332.9</f>
        <v>826061332.9</v>
      </c>
      <c r="M52" s="22">
        <f>4704462830.6</f>
        <v>4704462830.6</v>
      </c>
      <c r="N52" s="22">
        <f>31711919.55</f>
        <v>31711919.55</v>
      </c>
      <c r="O52" s="22">
        <f>1533951.08</f>
        <v>1533951.08</v>
      </c>
      <c r="P52" s="22">
        <f>411808.93</f>
        <v>411808.93</v>
      </c>
      <c r="Q52" s="22">
        <f>1122142.15</f>
        <v>1122142.15</v>
      </c>
    </row>
    <row r="53" spans="1:17" ht="26.25" customHeight="1">
      <c r="A53" s="17" t="s">
        <v>36</v>
      </c>
      <c r="B53" s="22">
        <f>6461776498.75</f>
        <v>6461776498.75</v>
      </c>
      <c r="C53" s="22">
        <f>6439473567.74</f>
        <v>6439473567.74</v>
      </c>
      <c r="D53" s="22">
        <f>271307625.48</f>
        <v>271307625.48</v>
      </c>
      <c r="E53" s="22">
        <f>95092298.09</f>
        <v>95092298.09</v>
      </c>
      <c r="F53" s="22">
        <f>9894363.18</f>
        <v>9894363.18</v>
      </c>
      <c r="G53" s="22">
        <f>163599522.44</f>
        <v>163599522.44</v>
      </c>
      <c r="H53" s="22">
        <f>2721441.77</f>
        <v>2721441.77</v>
      </c>
      <c r="I53" s="22">
        <f>89</f>
        <v>89</v>
      </c>
      <c r="J53" s="22">
        <f>462190.79</f>
        <v>462190.79</v>
      </c>
      <c r="K53" s="22">
        <f>1814388.53</f>
        <v>1814388.53</v>
      </c>
      <c r="L53" s="22">
        <f>1803309350.92</f>
        <v>1803309350.92</v>
      </c>
      <c r="M53" s="22">
        <f>4288556499.22</f>
        <v>4288556499.22</v>
      </c>
      <c r="N53" s="22">
        <f>74023423.8</f>
        <v>74023423.8</v>
      </c>
      <c r="O53" s="22">
        <f>22302931.01</f>
        <v>22302931.01</v>
      </c>
      <c r="P53" s="22">
        <f>14248045.02</f>
        <v>14248045.02</v>
      </c>
      <c r="Q53" s="22">
        <f>8054885.99</f>
        <v>8054885.99</v>
      </c>
    </row>
    <row r="54" spans="1:17" ht="26.25" customHeight="1">
      <c r="A54" s="23" t="s">
        <v>44</v>
      </c>
      <c r="B54" s="21">
        <f>11497694473.34</f>
        <v>11497694473.34</v>
      </c>
      <c r="C54" s="21">
        <f>11409117466.09</f>
        <v>11409117466.09</v>
      </c>
      <c r="D54" s="21">
        <f>1224155955.68</f>
        <v>1224155955.68</v>
      </c>
      <c r="E54" s="21">
        <f>639080066.7</f>
        <v>639080066.7</v>
      </c>
      <c r="F54" s="21">
        <f>64722537.76</f>
        <v>64722537.76</v>
      </c>
      <c r="G54" s="21">
        <f>499325445.53</f>
        <v>499325445.53</v>
      </c>
      <c r="H54" s="21">
        <f>21027905.69</f>
        <v>21027905.69</v>
      </c>
      <c r="I54" s="21">
        <f>3176069.92</f>
        <v>3176069.92</v>
      </c>
      <c r="J54" s="21">
        <f>16808281.44</f>
        <v>16808281.44</v>
      </c>
      <c r="K54" s="21">
        <f>32355164.46</f>
        <v>32355164.46</v>
      </c>
      <c r="L54" s="21">
        <f>7265381695.79</f>
        <v>7265381695.79</v>
      </c>
      <c r="M54" s="21">
        <f>2616630175.22</f>
        <v>2616630175.22</v>
      </c>
      <c r="N54" s="21">
        <f>250610123.58</f>
        <v>250610123.58</v>
      </c>
      <c r="O54" s="21">
        <f>88577007.25</f>
        <v>88577007.25</v>
      </c>
      <c r="P54" s="21">
        <f>43126339.94</f>
        <v>43126339.94</v>
      </c>
      <c r="Q54" s="21">
        <f>45450667.31</f>
        <v>45450667.31</v>
      </c>
    </row>
    <row r="55" spans="1:17" ht="26.25" customHeight="1">
      <c r="A55" s="17" t="s">
        <v>37</v>
      </c>
      <c r="B55" s="22">
        <f>906367114.89</f>
        <v>906367114.89</v>
      </c>
      <c r="C55" s="22">
        <f>861320646.2</f>
        <v>861320646.2</v>
      </c>
      <c r="D55" s="22">
        <f>50662598.48</f>
        <v>50662598.48</v>
      </c>
      <c r="E55" s="22">
        <f>3015489.74</f>
        <v>3015489.74</v>
      </c>
      <c r="F55" s="22">
        <f>3513621.24</f>
        <v>3513621.24</v>
      </c>
      <c r="G55" s="22">
        <f>43512510.61</f>
        <v>43512510.61</v>
      </c>
      <c r="H55" s="22">
        <f>620976.89</f>
        <v>620976.89</v>
      </c>
      <c r="I55" s="22">
        <f>25583.58</f>
        <v>25583.58</v>
      </c>
      <c r="J55" s="22">
        <f>284749.74</f>
        <v>284749.74</v>
      </c>
      <c r="K55" s="22">
        <f>278540.07</f>
        <v>278540.07</v>
      </c>
      <c r="L55" s="22">
        <f>392121441.85</f>
        <v>392121441.85</v>
      </c>
      <c r="M55" s="22">
        <f>324112753.03</f>
        <v>324112753.03</v>
      </c>
      <c r="N55" s="22">
        <f>93834979.45</f>
        <v>93834979.45</v>
      </c>
      <c r="O55" s="22">
        <f>45046468.69</f>
        <v>45046468.69</v>
      </c>
      <c r="P55" s="22">
        <f>194763.89</f>
        <v>194763.89</v>
      </c>
      <c r="Q55" s="22">
        <f>44851704.8</f>
        <v>44851704.8</v>
      </c>
    </row>
    <row r="56" spans="1:17" ht="36.75" customHeight="1">
      <c r="A56" s="17" t="s">
        <v>38</v>
      </c>
      <c r="B56" s="22">
        <f>7209364411.89</f>
        <v>7209364411.89</v>
      </c>
      <c r="C56" s="22">
        <f>7194843106.6</f>
        <v>7194843106.6</v>
      </c>
      <c r="D56" s="22">
        <f>689802226.28</f>
        <v>689802226.28</v>
      </c>
      <c r="E56" s="22">
        <f>364418164.5</f>
        <v>364418164.5</v>
      </c>
      <c r="F56" s="22">
        <f>54494869.26</f>
        <v>54494869.26</v>
      </c>
      <c r="G56" s="22">
        <f>255288823.23</f>
        <v>255288823.23</v>
      </c>
      <c r="H56" s="22">
        <f>15600369.29</f>
        <v>15600369.29</v>
      </c>
      <c r="I56" s="22">
        <f>3098737.7</f>
        <v>3098737.7</v>
      </c>
      <c r="J56" s="22">
        <f>15902577.19</f>
        <v>15902577.19</v>
      </c>
      <c r="K56" s="22">
        <f>31743374.47</f>
        <v>31743374.47</v>
      </c>
      <c r="L56" s="22">
        <f>5469443325.48</f>
        <v>5469443325.48</v>
      </c>
      <c r="M56" s="22">
        <f>941585000.06</f>
        <v>941585000.06</v>
      </c>
      <c r="N56" s="22">
        <f>43267865.42</f>
        <v>43267865.42</v>
      </c>
      <c r="O56" s="22">
        <f>14521305.29</f>
        <v>14521305.29</v>
      </c>
      <c r="P56" s="22">
        <f>14099057.46</f>
        <v>14099057.46</v>
      </c>
      <c r="Q56" s="22">
        <f>422247.83</f>
        <v>422247.83</v>
      </c>
    </row>
    <row r="57" spans="1:17" ht="26.25" customHeight="1">
      <c r="A57" s="17" t="s">
        <v>39</v>
      </c>
      <c r="B57" s="22">
        <f>3381962946.56</f>
        <v>3381962946.56</v>
      </c>
      <c r="C57" s="22">
        <f>3352953713.29</f>
        <v>3352953713.29</v>
      </c>
      <c r="D57" s="22">
        <f>483691130.92</f>
        <v>483691130.92</v>
      </c>
      <c r="E57" s="22">
        <f>271646412.46</f>
        <v>271646412.46</v>
      </c>
      <c r="F57" s="22">
        <f>6714047.26</f>
        <v>6714047.26</v>
      </c>
      <c r="G57" s="22">
        <f>200524111.69</f>
        <v>200524111.69</v>
      </c>
      <c r="H57" s="22">
        <f>4806559.51</f>
        <v>4806559.51</v>
      </c>
      <c r="I57" s="22">
        <f>51748.64</f>
        <v>51748.64</v>
      </c>
      <c r="J57" s="22">
        <f>620954.51</f>
        <v>620954.51</v>
      </c>
      <c r="K57" s="22">
        <f>333249.92</f>
        <v>333249.92</v>
      </c>
      <c r="L57" s="22">
        <f>1403816928.46</f>
        <v>1403816928.46</v>
      </c>
      <c r="M57" s="22">
        <f>1350932422.13</f>
        <v>1350932422.13</v>
      </c>
      <c r="N57" s="22">
        <f>113507278.71</f>
        <v>113507278.71</v>
      </c>
      <c r="O57" s="22">
        <f>29009233.27</f>
        <v>29009233.27</v>
      </c>
      <c r="P57" s="22">
        <f>28832518.59</f>
        <v>28832518.59</v>
      </c>
      <c r="Q57" s="22">
        <f>176714.68</f>
        <v>176714.68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1869226018.81</f>
        <v>1869226018.81</v>
      </c>
      <c r="G77" s="20">
        <f>289348035.1</f>
        <v>289348035.1</v>
      </c>
      <c r="H77" s="20">
        <f>19147000</f>
        <v>19147000</v>
      </c>
      <c r="I77" s="20">
        <f>124622451</f>
        <v>124622451</v>
      </c>
      <c r="J77" s="20">
        <f>145578584.1</f>
        <v>145578584.1</v>
      </c>
      <c r="K77" s="20">
        <f>0</f>
        <v>0</v>
      </c>
      <c r="L77" s="20">
        <f>1579877983.71</f>
        <v>1579877983.71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7647539.12</f>
        <v>7647539.12</v>
      </c>
      <c r="G79" s="20">
        <f>1290000</f>
        <v>1290000</v>
      </c>
      <c r="H79" s="20">
        <f>0</f>
        <v>0</v>
      </c>
      <c r="I79" s="20">
        <f>0</f>
        <v>0</v>
      </c>
      <c r="J79" s="20">
        <f>1290000</f>
        <v>1290000</v>
      </c>
      <c r="K79" s="20">
        <f>0</f>
        <v>0</v>
      </c>
      <c r="L79" s="20">
        <f>6357539.12</f>
        <v>6357539.12</v>
      </c>
    </row>
    <row r="80" spans="2:12" ht="47.25" customHeight="1">
      <c r="B80" s="42" t="s">
        <v>58</v>
      </c>
      <c r="C80" s="43"/>
      <c r="D80" s="43"/>
      <c r="E80" s="44"/>
      <c r="F80" s="20">
        <f>500000</f>
        <v>500000</v>
      </c>
      <c r="G80" s="20">
        <f>0</f>
        <v>0</v>
      </c>
      <c r="H80" s="20">
        <f>0</f>
        <v>0</v>
      </c>
      <c r="I80" s="20">
        <f>0</f>
        <v>0</v>
      </c>
      <c r="J80" s="20">
        <f>0</f>
        <v>0</v>
      </c>
      <c r="K80" s="20">
        <f>0</f>
        <v>0</v>
      </c>
      <c r="L80" s="20">
        <f>500000</f>
        <v>500000</v>
      </c>
    </row>
    <row r="81" spans="2:12" ht="47.25" customHeight="1">
      <c r="B81" s="42" t="s">
        <v>59</v>
      </c>
      <c r="C81" s="43"/>
      <c r="D81" s="43"/>
      <c r="E81" s="44"/>
      <c r="F81" s="20">
        <f>684580.02</f>
        <v>684580.02</v>
      </c>
      <c r="G81" s="20">
        <f>0</f>
        <v>0</v>
      </c>
      <c r="H81" s="20">
        <f>0</f>
        <v>0</v>
      </c>
      <c r="I81" s="20">
        <f>0</f>
        <v>0</v>
      </c>
      <c r="J81" s="20">
        <f>0</f>
        <v>0</v>
      </c>
      <c r="K81" s="20">
        <f>0</f>
        <v>0</v>
      </c>
      <c r="L81" s="20">
        <f>684580.02</f>
        <v>684580.02</v>
      </c>
    </row>
    <row r="82" spans="2:12" ht="47.25" customHeight="1">
      <c r="B82" s="42" t="s">
        <v>60</v>
      </c>
      <c r="C82" s="43"/>
      <c r="D82" s="43"/>
      <c r="E82" s="44"/>
      <c r="F82" s="20">
        <f>1124196.49</f>
        <v>1124196.49</v>
      </c>
      <c r="G82" s="20">
        <f>659027.4</f>
        <v>659027.4</v>
      </c>
      <c r="H82" s="20">
        <f>0</f>
        <v>0</v>
      </c>
      <c r="I82" s="20">
        <f>0</f>
        <v>0</v>
      </c>
      <c r="J82" s="20">
        <f>659027.4</f>
        <v>659027.4</v>
      </c>
      <c r="K82" s="20">
        <f>0</f>
        <v>0</v>
      </c>
      <c r="L82" s="20">
        <f>465169.09</f>
        <v>465169.09</v>
      </c>
    </row>
    <row r="83" spans="2:12" ht="47.25" customHeight="1">
      <c r="B83" s="42" t="s">
        <v>61</v>
      </c>
      <c r="C83" s="43"/>
      <c r="D83" s="43"/>
      <c r="E83" s="44"/>
      <c r="F83" s="20">
        <f>0</f>
        <v>0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0</f>
        <v>0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64</f>
        <v>64</v>
      </c>
      <c r="H89" s="61"/>
      <c r="I89" s="45">
        <f>3873910716.15</f>
        <v>3873910716.15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2</f>
        <v>2</v>
      </c>
      <c r="H90" s="63"/>
      <c r="I90" s="64">
        <f>-5858252.18</f>
        <v>-5858252.18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2021-05-31T09:29:07Z</dcterms:modified>
  <cp:category/>
  <cp:version/>
  <cp:contentType/>
  <cp:contentStatus/>
</cp:coreProperties>
</file>