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90B86B0C-CBB7-4313-B2DF-DEC1D0229F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29" i="7" s="1"/>
  <c r="A85" i="7" l="1"/>
  <c r="A66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<sst xmlns="http://schemas.openxmlformats.org/spreadsheetml/2006/main" count="97" uniqueCount="81">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</sst>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activeCell="A2" sqref="A2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" width="11.140625" style="2" customWidth="1"/>
    <col min="17" max="16384" width="9.140625" style="2"/>
  </cols>
  <sheetData>
    <row r="1" spans="1:17" ht="75" customHeight="1" x14ac:dyDescent="0.2">
      <c r="A1" s="30" t="str">
        <f>CONCATENATE("Informacja z wykonania budżetów województw za  ",$C$93," ",$B$94," roku    ",$B$96,"")</f>
        <v xml:space="preserve">Informacja z wykonania budżetów województw za  III Kwartały 2023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">
      <c r="A13" s="19" t="s">
        <v>79</v>
      </c>
      <c r="B13" s="20">
        <f>4596206847.18</f>
        <v>4596206847.1800003</v>
      </c>
      <c r="C13" s="20">
        <f>2716298874.4</f>
        <v>2716298874.4000001</v>
      </c>
      <c r="D13" s="20">
        <f>172228484.6</f>
        <v>172228484.59999999</v>
      </c>
      <c r="E13" s="20">
        <f>170009402.28</f>
        <v>170009402.28</v>
      </c>
      <c r="F13" s="20">
        <f>0</f>
        <v>0</v>
      </c>
      <c r="G13" s="20">
        <f>2219082.32</f>
        <v>2219082.3199999998</v>
      </c>
      <c r="H13" s="20">
        <f>0</f>
        <v>0</v>
      </c>
      <c r="I13" s="20">
        <f>0</f>
        <v>0</v>
      </c>
      <c r="J13" s="20">
        <f>2351730994.3</f>
        <v>2351730994.3000002</v>
      </c>
      <c r="K13" s="20">
        <f>0</f>
        <v>0</v>
      </c>
      <c r="L13" s="20">
        <f>191548380</f>
        <v>191548380</v>
      </c>
      <c r="M13" s="20">
        <f>780114.28</f>
        <v>780114.28</v>
      </c>
      <c r="N13" s="20">
        <f>10901.22</f>
        <v>10901.22</v>
      </c>
      <c r="O13" s="20">
        <f>1879907972.78</f>
        <v>1879907972.78</v>
      </c>
      <c r="P13" s="20">
        <f>1879907972.78</f>
        <v>1879907972.78</v>
      </c>
      <c r="Q13" s="20">
        <f>0</f>
        <v>0</v>
      </c>
    </row>
    <row r="14" spans="1:17" ht="28.5" customHeight="1" x14ac:dyDescent="0.2">
      <c r="A14" s="19" t="s">
        <v>45</v>
      </c>
      <c r="B14" s="20">
        <f>229950000</f>
        <v>229950000</v>
      </c>
      <c r="C14" s="20">
        <f>229950000</f>
        <v>229950000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229950000</f>
        <v>229950000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229950000</f>
        <v>229950000</v>
      </c>
      <c r="C16" s="21">
        <f>229950000</f>
        <v>229950000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229950000</f>
        <v>229950000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4365276755.24</f>
        <v>4365276755.2399998</v>
      </c>
      <c r="C17" s="20">
        <f>2485368782.46</f>
        <v>2485368782.46</v>
      </c>
      <c r="D17" s="20">
        <f>172186712.33</f>
        <v>172186712.33000001</v>
      </c>
      <c r="E17" s="20">
        <f>170000000</f>
        <v>170000000</v>
      </c>
      <c r="F17" s="20">
        <f>0</f>
        <v>0</v>
      </c>
      <c r="G17" s="20">
        <f>2186712.33</f>
        <v>2186712.33</v>
      </c>
      <c r="H17" s="20">
        <f>0</f>
        <v>0</v>
      </c>
      <c r="I17" s="20">
        <f>0</f>
        <v>0</v>
      </c>
      <c r="J17" s="20">
        <f>2121719970.13</f>
        <v>2121719970.1300001</v>
      </c>
      <c r="K17" s="20">
        <f>0</f>
        <v>0</v>
      </c>
      <c r="L17" s="20">
        <f>191462100</f>
        <v>191462100</v>
      </c>
      <c r="M17" s="20">
        <f>0</f>
        <v>0</v>
      </c>
      <c r="N17" s="20">
        <f>0</f>
        <v>0</v>
      </c>
      <c r="O17" s="20">
        <f>1879907972.78</f>
        <v>1879907972.78</v>
      </c>
      <c r="P17" s="20">
        <f>1879907972.78</f>
        <v>1879907972.78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4365276755.24</f>
        <v>4365276755.2399998</v>
      </c>
      <c r="C19" s="21">
        <f>2485368782.46</f>
        <v>2485368782.46</v>
      </c>
      <c r="D19" s="21">
        <f>172186712.33</f>
        <v>172186712.33000001</v>
      </c>
      <c r="E19" s="21">
        <f>170000000</f>
        <v>170000000</v>
      </c>
      <c r="F19" s="21">
        <f>0</f>
        <v>0</v>
      </c>
      <c r="G19" s="21">
        <f>2186712.33</f>
        <v>2186712.33</v>
      </c>
      <c r="H19" s="21">
        <f>0</f>
        <v>0</v>
      </c>
      <c r="I19" s="21">
        <f>0</f>
        <v>0</v>
      </c>
      <c r="J19" s="21">
        <f>2121719970.13</f>
        <v>2121719970.1300001</v>
      </c>
      <c r="K19" s="21">
        <f>0</f>
        <v>0</v>
      </c>
      <c r="L19" s="21">
        <f>191462100</f>
        <v>191462100</v>
      </c>
      <c r="M19" s="21">
        <f>0</f>
        <v>0</v>
      </c>
      <c r="N19" s="21">
        <f>0</f>
        <v>0</v>
      </c>
      <c r="O19" s="21">
        <f>1879907972.78</f>
        <v>1879907972.78</v>
      </c>
      <c r="P19" s="21">
        <f>1879907972.78</f>
        <v>1879907972.78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980091.94</f>
        <v>980091.94</v>
      </c>
      <c r="C21" s="20">
        <f>980091.94</f>
        <v>980091.94</v>
      </c>
      <c r="D21" s="20">
        <f>41772.27</f>
        <v>41772.269999999997</v>
      </c>
      <c r="E21" s="20">
        <f>9402.28</f>
        <v>9402.2800000000007</v>
      </c>
      <c r="F21" s="20">
        <f>0</f>
        <v>0</v>
      </c>
      <c r="G21" s="20">
        <f>32369.99</f>
        <v>32369.99</v>
      </c>
      <c r="H21" s="20">
        <f>0</f>
        <v>0</v>
      </c>
      <c r="I21" s="20">
        <f>0</f>
        <v>0</v>
      </c>
      <c r="J21" s="20">
        <f>61024.17</f>
        <v>61024.17</v>
      </c>
      <c r="K21" s="20">
        <f>0</f>
        <v>0</v>
      </c>
      <c r="L21" s="20">
        <f>86280</f>
        <v>86280</v>
      </c>
      <c r="M21" s="20">
        <f>780114.28</f>
        <v>780114.28</v>
      </c>
      <c r="N21" s="20">
        <f>10901.22</f>
        <v>10901.22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191287.93</f>
        <v>191287.93</v>
      </c>
      <c r="C22" s="21">
        <f>191287.93</f>
        <v>191287.93</v>
      </c>
      <c r="D22" s="21">
        <f>31664.27</f>
        <v>31664.27</v>
      </c>
      <c r="E22" s="21">
        <f>0</f>
        <v>0</v>
      </c>
      <c r="F22" s="21">
        <f>0</f>
        <v>0</v>
      </c>
      <c r="G22" s="21">
        <f>31664.27</f>
        <v>31664.27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86280</f>
        <v>86280</v>
      </c>
      <c r="M22" s="21">
        <f>62442.44</f>
        <v>62442.44</v>
      </c>
      <c r="N22" s="21">
        <f>10901.22</f>
        <v>10901.22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788804.01</f>
        <v>788804.01</v>
      </c>
      <c r="C23" s="21">
        <f>788804.01</f>
        <v>788804.01</v>
      </c>
      <c r="D23" s="21">
        <f>10108</f>
        <v>10108</v>
      </c>
      <c r="E23" s="21">
        <f>9402.28</f>
        <v>9402.2800000000007</v>
      </c>
      <c r="F23" s="21">
        <f>0</f>
        <v>0</v>
      </c>
      <c r="G23" s="21">
        <f>705.72</f>
        <v>705.72</v>
      </c>
      <c r="H23" s="21">
        <f>0</f>
        <v>0</v>
      </c>
      <c r="I23" s="21">
        <f>0</f>
        <v>0</v>
      </c>
      <c r="J23" s="21">
        <f>61024.17</f>
        <v>61024.17</v>
      </c>
      <c r="K23" s="21">
        <f>0</f>
        <v>0</v>
      </c>
      <c r="L23" s="21">
        <f>0</f>
        <v>0</v>
      </c>
      <c r="M23" s="21">
        <f>717671.84</f>
        <v>717671.84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0" t="str">
        <f>CONCATENATE("Informacja z wykonania budżetów województw za  ",$C$93," ",$B$94," roku    ",$B$96,"")</f>
        <v xml:space="preserve">Informacja z wykonania budżetów województw za  III Kwartały 2023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492089632.92</f>
        <v>492089632.92000002</v>
      </c>
      <c r="C43" s="22">
        <f>492089632.92</f>
        <v>492089632.92000002</v>
      </c>
      <c r="D43" s="22">
        <f>446552024.89</f>
        <v>446552024.88999999</v>
      </c>
      <c r="E43" s="22">
        <f>98144.03</f>
        <v>98144.03</v>
      </c>
      <c r="F43" s="22">
        <f>9988.58</f>
        <v>9988.58</v>
      </c>
      <c r="G43" s="22">
        <f>446443892.28</f>
        <v>446443892.27999997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41428278.89</f>
        <v>41428278.890000001</v>
      </c>
      <c r="M43" s="22">
        <f>3938392.34</f>
        <v>3938392.34</v>
      </c>
      <c r="N43" s="22">
        <f>170936.8</f>
        <v>170936.8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17104989.62</f>
        <v>17104989.620000001</v>
      </c>
      <c r="C44" s="23">
        <f>17104989.62</f>
        <v>17104989.620000001</v>
      </c>
      <c r="D44" s="23">
        <f>17021968</f>
        <v>17021968</v>
      </c>
      <c r="E44" s="23">
        <f>0</f>
        <v>0</v>
      </c>
      <c r="F44" s="23">
        <f>0</f>
        <v>0</v>
      </c>
      <c r="G44" s="23">
        <f>17021968</f>
        <v>17021968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474984643.3</f>
        <v>474984643.30000001</v>
      </c>
      <c r="C45" s="23">
        <f>474984643.3</f>
        <v>474984643.30000001</v>
      </c>
      <c r="D45" s="23">
        <f>429530056.89</f>
        <v>429530056.88999999</v>
      </c>
      <c r="E45" s="23">
        <f>98144.03</f>
        <v>98144.03</v>
      </c>
      <c r="F45" s="23">
        <f>9988.58</f>
        <v>9988.58</v>
      </c>
      <c r="G45" s="23">
        <f>429421924.28</f>
        <v>429421924.27999997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41345257.27</f>
        <v>41345257.270000003</v>
      </c>
      <c r="M45" s="23">
        <f>3938392.34</f>
        <v>3938392.34</v>
      </c>
      <c r="N45" s="23">
        <f>170936.8</f>
        <v>170936.8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9048210121.99</f>
        <v>9048210121.9899998</v>
      </c>
      <c r="C46" s="22">
        <f>9048028830.3</f>
        <v>9048028830.2999992</v>
      </c>
      <c r="D46" s="22">
        <f>476466.44</f>
        <v>476466.44</v>
      </c>
      <c r="E46" s="22">
        <f>600</f>
        <v>600</v>
      </c>
      <c r="F46" s="22">
        <f>16265.52</f>
        <v>16265.52</v>
      </c>
      <c r="G46" s="22">
        <f>459600.92</f>
        <v>459600.92</v>
      </c>
      <c r="H46" s="22">
        <f>0</f>
        <v>0</v>
      </c>
      <c r="I46" s="22">
        <f>0</f>
        <v>0</v>
      </c>
      <c r="J46" s="22">
        <f>9044245863.68</f>
        <v>9044245863.6800003</v>
      </c>
      <c r="K46" s="22">
        <f>0</f>
        <v>0</v>
      </c>
      <c r="L46" s="22">
        <f>3298036.55</f>
        <v>3298036.55</v>
      </c>
      <c r="M46" s="22">
        <f>8463.63</f>
        <v>8463.6299999999992</v>
      </c>
      <c r="N46" s="22">
        <f>0</f>
        <v>0</v>
      </c>
      <c r="O46" s="22">
        <f>181291.69</f>
        <v>181291.69</v>
      </c>
      <c r="P46" s="22">
        <f>181291.69</f>
        <v>181291.69</v>
      </c>
      <c r="Q46" s="22">
        <f>0</f>
        <v>0</v>
      </c>
    </row>
    <row r="47" spans="1:17" ht="24" customHeight="1" x14ac:dyDescent="0.2">
      <c r="A47" s="18" t="s">
        <v>33</v>
      </c>
      <c r="B47" s="23">
        <f>459576.92</f>
        <v>459576.92</v>
      </c>
      <c r="C47" s="23">
        <f>459576.92</f>
        <v>459576.92</v>
      </c>
      <c r="D47" s="23">
        <f>459576.92</f>
        <v>459576.92</v>
      </c>
      <c r="E47" s="23">
        <f>0</f>
        <v>0</v>
      </c>
      <c r="F47" s="23">
        <f>0</f>
        <v>0</v>
      </c>
      <c r="G47" s="23">
        <f>459576.92</f>
        <v>459576.92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6213117133.56</f>
        <v>6213117133.5600004</v>
      </c>
      <c r="C48" s="23">
        <f>6213117133.56</f>
        <v>6213117133.5600004</v>
      </c>
      <c r="D48" s="23">
        <f>624</f>
        <v>624</v>
      </c>
      <c r="E48" s="23">
        <f>600</f>
        <v>600</v>
      </c>
      <c r="F48" s="23">
        <f>0</f>
        <v>0</v>
      </c>
      <c r="G48" s="23">
        <f>24</f>
        <v>24</v>
      </c>
      <c r="H48" s="23">
        <f>0</f>
        <v>0</v>
      </c>
      <c r="I48" s="23">
        <f>0</f>
        <v>0</v>
      </c>
      <c r="J48" s="23">
        <f>6209838918.72</f>
        <v>6209838918.7200003</v>
      </c>
      <c r="K48" s="23">
        <f>0</f>
        <v>0</v>
      </c>
      <c r="L48" s="23">
        <f>3269127.21</f>
        <v>3269127.21</v>
      </c>
      <c r="M48" s="23">
        <f>8463.63</f>
        <v>8463.6299999999992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2834633411.51</f>
        <v>2834633411.5100002</v>
      </c>
      <c r="C49" s="23">
        <f>2834452119.82</f>
        <v>2834452119.8200002</v>
      </c>
      <c r="D49" s="23">
        <f>16265.52</f>
        <v>16265.52</v>
      </c>
      <c r="E49" s="23">
        <f>0</f>
        <v>0</v>
      </c>
      <c r="F49" s="23">
        <f>16265.52</f>
        <v>16265.52</v>
      </c>
      <c r="G49" s="23">
        <f>0</f>
        <v>0</v>
      </c>
      <c r="H49" s="23">
        <f>0</f>
        <v>0</v>
      </c>
      <c r="I49" s="23">
        <f>0</f>
        <v>0</v>
      </c>
      <c r="J49" s="23">
        <f>2834406944.96</f>
        <v>2834406944.96</v>
      </c>
      <c r="K49" s="23">
        <f>0</f>
        <v>0</v>
      </c>
      <c r="L49" s="23">
        <f>28909.34</f>
        <v>28909.34</v>
      </c>
      <c r="M49" s="23">
        <f>0</f>
        <v>0</v>
      </c>
      <c r="N49" s="23">
        <f>0</f>
        <v>0</v>
      </c>
      <c r="O49" s="23">
        <f>181291.69</f>
        <v>181291.69</v>
      </c>
      <c r="P49" s="23">
        <f>181291.69</f>
        <v>181291.69</v>
      </c>
      <c r="Q49" s="23">
        <f>0</f>
        <v>0</v>
      </c>
    </row>
    <row r="50" spans="1:17" ht="30.75" customHeight="1" x14ac:dyDescent="0.2">
      <c r="A50" s="24" t="s">
        <v>43</v>
      </c>
      <c r="B50" s="22">
        <f>4868304669.01</f>
        <v>4868304669.0100002</v>
      </c>
      <c r="C50" s="22">
        <f>4865937394.24</f>
        <v>4865937394.2399998</v>
      </c>
      <c r="D50" s="22">
        <f>20702401.69</f>
        <v>20702401.690000001</v>
      </c>
      <c r="E50" s="22">
        <f>52995.33</f>
        <v>52995.33</v>
      </c>
      <c r="F50" s="22">
        <f>543615.3</f>
        <v>543615.30000000005</v>
      </c>
      <c r="G50" s="22">
        <f>20099487.66</f>
        <v>20099487.66</v>
      </c>
      <c r="H50" s="22">
        <f>6303.4</f>
        <v>6303.4</v>
      </c>
      <c r="I50" s="22">
        <f>0</f>
        <v>0</v>
      </c>
      <c r="J50" s="22">
        <f>41126.54</f>
        <v>41126.54</v>
      </c>
      <c r="K50" s="22">
        <f>15872658.58</f>
        <v>15872658.58</v>
      </c>
      <c r="L50" s="22">
        <f>1889139911.54</f>
        <v>1889139911.54</v>
      </c>
      <c r="M50" s="22">
        <f>2912335546.64</f>
        <v>2912335546.6399999</v>
      </c>
      <c r="N50" s="22">
        <f>27845749.25</f>
        <v>27845749.25</v>
      </c>
      <c r="O50" s="22">
        <f>2367274.77</f>
        <v>2367274.77</v>
      </c>
      <c r="P50" s="22">
        <f>1831610.91</f>
        <v>1831610.91</v>
      </c>
      <c r="Q50" s="22">
        <f>535663.86</f>
        <v>535663.86</v>
      </c>
    </row>
    <row r="51" spans="1:17" ht="30" customHeight="1" x14ac:dyDescent="0.2">
      <c r="A51" s="18" t="s">
        <v>36</v>
      </c>
      <c r="B51" s="23">
        <f>139807564.09</f>
        <v>139807564.09</v>
      </c>
      <c r="C51" s="23">
        <f>139800256.47</f>
        <v>139800256.47</v>
      </c>
      <c r="D51" s="23">
        <f>386286.61</f>
        <v>386286.61</v>
      </c>
      <c r="E51" s="23">
        <f>7.29</f>
        <v>7.29</v>
      </c>
      <c r="F51" s="23">
        <f>107.09</f>
        <v>107.09</v>
      </c>
      <c r="G51" s="23">
        <f>386172.23</f>
        <v>386172.23</v>
      </c>
      <c r="H51" s="23">
        <f>0</f>
        <v>0</v>
      </c>
      <c r="I51" s="23">
        <f>0</f>
        <v>0</v>
      </c>
      <c r="J51" s="23">
        <f>998.91</f>
        <v>998.91</v>
      </c>
      <c r="K51" s="23">
        <f>0</f>
        <v>0</v>
      </c>
      <c r="L51" s="23">
        <f>133087447.77</f>
        <v>133087447.77</v>
      </c>
      <c r="M51" s="23">
        <f>5601952.93</f>
        <v>5601952.9299999997</v>
      </c>
      <c r="N51" s="23">
        <f>723570.25</f>
        <v>723570.25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4728497104.92</f>
        <v>4728497104.9200001</v>
      </c>
      <c r="C52" s="23">
        <f>4726137137.77</f>
        <v>4726137137.7700005</v>
      </c>
      <c r="D52" s="23">
        <f>20316115.08</f>
        <v>20316115.079999998</v>
      </c>
      <c r="E52" s="23">
        <f>52988.04</f>
        <v>52988.04</v>
      </c>
      <c r="F52" s="23">
        <f>543508.21</f>
        <v>543508.21</v>
      </c>
      <c r="G52" s="23">
        <f>19713315.43</f>
        <v>19713315.43</v>
      </c>
      <c r="H52" s="23">
        <f>6303.4</f>
        <v>6303.4</v>
      </c>
      <c r="I52" s="23">
        <f>0</f>
        <v>0</v>
      </c>
      <c r="J52" s="23">
        <f>40127.63</f>
        <v>40127.629999999997</v>
      </c>
      <c r="K52" s="23">
        <f>15872658.58</f>
        <v>15872658.58</v>
      </c>
      <c r="L52" s="23">
        <f>1756052463.77</f>
        <v>1756052463.77</v>
      </c>
      <c r="M52" s="23">
        <f>2906733593.71</f>
        <v>2906733593.71</v>
      </c>
      <c r="N52" s="23">
        <f>27122179</f>
        <v>27122179</v>
      </c>
      <c r="O52" s="23">
        <f>2359967.15</f>
        <v>2359967.15</v>
      </c>
      <c r="P52" s="23">
        <f>1824303.29</f>
        <v>1824303.29</v>
      </c>
      <c r="Q52" s="23">
        <f>535663.86</f>
        <v>535663.86</v>
      </c>
    </row>
    <row r="53" spans="1:17" ht="30.75" customHeight="1" x14ac:dyDescent="0.2">
      <c r="A53" s="24" t="s">
        <v>44</v>
      </c>
      <c r="B53" s="22">
        <f>1259325031.86</f>
        <v>1259325031.8599999</v>
      </c>
      <c r="C53" s="22">
        <f>1256321648.56</f>
        <v>1256321648.5599999</v>
      </c>
      <c r="D53" s="22">
        <f>144450452.74</f>
        <v>144450452.74000001</v>
      </c>
      <c r="E53" s="22">
        <f>27013181.7</f>
        <v>27013181.699999999</v>
      </c>
      <c r="F53" s="22">
        <f>600414.6</f>
        <v>600414.6</v>
      </c>
      <c r="G53" s="22">
        <f>116441222.48</f>
        <v>116441222.48</v>
      </c>
      <c r="H53" s="22">
        <f>395633.96</f>
        <v>395633.96</v>
      </c>
      <c r="I53" s="22">
        <f>0</f>
        <v>0</v>
      </c>
      <c r="J53" s="22">
        <f>265116.8</f>
        <v>265116.79999999999</v>
      </c>
      <c r="K53" s="22">
        <f>550508.62</f>
        <v>550508.62</v>
      </c>
      <c r="L53" s="22">
        <f>919288735.76</f>
        <v>919288735.75999999</v>
      </c>
      <c r="M53" s="22">
        <f>168317927.95</f>
        <v>168317927.94999999</v>
      </c>
      <c r="N53" s="22">
        <f>23448906.69</f>
        <v>23448906.690000001</v>
      </c>
      <c r="O53" s="22">
        <f>3003383.3</f>
        <v>3003383.3</v>
      </c>
      <c r="P53" s="22">
        <f>3000983.3</f>
        <v>3000983.3</v>
      </c>
      <c r="Q53" s="22">
        <f>2400</f>
        <v>2400</v>
      </c>
    </row>
    <row r="54" spans="1:17" ht="30" customHeight="1" x14ac:dyDescent="0.2">
      <c r="A54" s="18" t="s">
        <v>38</v>
      </c>
      <c r="B54" s="23">
        <f>79374215.5</f>
        <v>79374215.5</v>
      </c>
      <c r="C54" s="23">
        <f>79370752.32</f>
        <v>79370752.319999993</v>
      </c>
      <c r="D54" s="23">
        <f>6278001.31</f>
        <v>6278001.3099999996</v>
      </c>
      <c r="E54" s="23">
        <f>120785.48</f>
        <v>120785.48</v>
      </c>
      <c r="F54" s="23">
        <f>71191.25</f>
        <v>71191.25</v>
      </c>
      <c r="G54" s="23">
        <f>6086024.58</f>
        <v>6086024.5800000001</v>
      </c>
      <c r="H54" s="23">
        <f>0</f>
        <v>0</v>
      </c>
      <c r="I54" s="23">
        <f>0</f>
        <v>0</v>
      </c>
      <c r="J54" s="23">
        <f>475.32</f>
        <v>475.32</v>
      </c>
      <c r="K54" s="23">
        <f>5970.88</f>
        <v>5970.88</v>
      </c>
      <c r="L54" s="23">
        <f>69554257.45</f>
        <v>69554257.450000003</v>
      </c>
      <c r="M54" s="23">
        <f>2983321.12</f>
        <v>2983321.12</v>
      </c>
      <c r="N54" s="23">
        <f>548726.24</f>
        <v>548726.24</v>
      </c>
      <c r="O54" s="23">
        <f>3463.18</f>
        <v>3463.18</v>
      </c>
      <c r="P54" s="23">
        <f>3463.18</f>
        <v>3463.18</v>
      </c>
      <c r="Q54" s="23">
        <f>0</f>
        <v>0</v>
      </c>
    </row>
    <row r="55" spans="1:17" ht="33" customHeight="1" x14ac:dyDescent="0.2">
      <c r="A55" s="18" t="s">
        <v>80</v>
      </c>
      <c r="B55" s="23">
        <f>196.63</f>
        <v>196.63</v>
      </c>
      <c r="C55" s="23">
        <f>196.63</f>
        <v>196.63</v>
      </c>
      <c r="D55" s="23">
        <f>196.63</f>
        <v>196.63</v>
      </c>
      <c r="E55" s="23">
        <f>8</f>
        <v>8</v>
      </c>
      <c r="F55" s="23">
        <f>0</f>
        <v>0</v>
      </c>
      <c r="G55" s="23">
        <f>0</f>
        <v>0</v>
      </c>
      <c r="H55" s="23">
        <f>188.63</f>
        <v>188.63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1179950619.73</f>
        <v>1179950619.73</v>
      </c>
      <c r="C56" s="23">
        <f>1176950699.61</f>
        <v>1176950699.6099999</v>
      </c>
      <c r="D56" s="23">
        <f>138172254.8</f>
        <v>138172254.80000001</v>
      </c>
      <c r="E56" s="23">
        <f>26892388.22</f>
        <v>26892388.219999999</v>
      </c>
      <c r="F56" s="23">
        <f>529223.35</f>
        <v>529223.35</v>
      </c>
      <c r="G56" s="23">
        <f>110355197.9</f>
        <v>110355197.90000001</v>
      </c>
      <c r="H56" s="23">
        <f>395445.33</f>
        <v>395445.33</v>
      </c>
      <c r="I56" s="23">
        <f>0</f>
        <v>0</v>
      </c>
      <c r="J56" s="23">
        <f>264641.48</f>
        <v>264641.48</v>
      </c>
      <c r="K56" s="23">
        <f>544537.74</f>
        <v>544537.74</v>
      </c>
      <c r="L56" s="23">
        <f>849734478.31</f>
        <v>849734478.30999994</v>
      </c>
      <c r="M56" s="23">
        <f>165334606.83</f>
        <v>165334606.83000001</v>
      </c>
      <c r="N56" s="23">
        <f>22900180.45</f>
        <v>22900180.449999999</v>
      </c>
      <c r="O56" s="23">
        <f>2999920.12</f>
        <v>2999920.12</v>
      </c>
      <c r="P56" s="23">
        <f>2997520.12</f>
        <v>2997520.12</v>
      </c>
      <c r="Q56" s="23">
        <f>2400</f>
        <v>2400</v>
      </c>
    </row>
    <row r="66" spans="1:13" ht="67.5" customHeight="1" x14ac:dyDescent="0.2">
      <c r="A66" s="30" t="str">
        <f>CONCATENATE("Informacja z wykonania budżetów województw za  ",$C$93," ",$B$94," roku    ",$B$96,"")</f>
        <v xml:space="preserve">Informacja z wykonania budżetów województw za  III Kwartały 2023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">
      <c r="B76" s="35" t="s">
        <v>55</v>
      </c>
      <c r="C76" s="36"/>
      <c r="D76" s="36"/>
      <c r="E76" s="37"/>
      <c r="F76" s="25">
        <f>1123564114.02</f>
        <v>1123564114.02</v>
      </c>
      <c r="G76" s="25">
        <f>141011822.89</f>
        <v>141011822.88999999</v>
      </c>
      <c r="H76" s="25">
        <f>0</f>
        <v>0</v>
      </c>
      <c r="I76" s="25">
        <f>0</f>
        <v>0</v>
      </c>
      <c r="J76" s="25">
        <f>141011822.89</f>
        <v>141011822.88999999</v>
      </c>
      <c r="K76" s="25">
        <f>0</f>
        <v>0</v>
      </c>
      <c r="L76" s="25">
        <f>982552291.13</f>
        <v>982552291.13</v>
      </c>
    </row>
    <row r="77" spans="1:13" ht="33.75" customHeight="1" x14ac:dyDescent="0.2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35" t="s">
        <v>57</v>
      </c>
      <c r="C78" s="36"/>
      <c r="D78" s="36"/>
      <c r="E78" s="37"/>
      <c r="F78" s="25">
        <f>51218832</f>
        <v>51218832</v>
      </c>
      <c r="G78" s="25">
        <f>3003832</f>
        <v>3003832</v>
      </c>
      <c r="H78" s="25">
        <f>0</f>
        <v>0</v>
      </c>
      <c r="I78" s="25">
        <f>0</f>
        <v>0</v>
      </c>
      <c r="J78" s="25">
        <f>3003832</f>
        <v>3003832</v>
      </c>
      <c r="K78" s="25">
        <f>0</f>
        <v>0</v>
      </c>
      <c r="L78" s="25">
        <f>48215000</f>
        <v>48215000</v>
      </c>
    </row>
    <row r="79" spans="1:13" ht="22.5" customHeight="1" x14ac:dyDescent="0.2">
      <c r="B79" s="35" t="s">
        <v>58</v>
      </c>
      <c r="C79" s="36"/>
      <c r="D79" s="36"/>
      <c r="E79" s="37"/>
      <c r="F79" s="25">
        <f>21380535.46</f>
        <v>21380535.460000001</v>
      </c>
      <c r="G79" s="25">
        <f>9385176.99</f>
        <v>9385176.9900000002</v>
      </c>
      <c r="H79" s="25">
        <f>0</f>
        <v>0</v>
      </c>
      <c r="I79" s="25">
        <f>0</f>
        <v>0</v>
      </c>
      <c r="J79" s="25">
        <f>9385176.99</f>
        <v>9385176.9900000002</v>
      </c>
      <c r="K79" s="25">
        <f>0</f>
        <v>0</v>
      </c>
      <c r="L79" s="25">
        <f>11995358.47</f>
        <v>11995358.470000001</v>
      </c>
    </row>
    <row r="80" spans="1:13" ht="33.75" customHeight="1" x14ac:dyDescent="0.2">
      <c r="B80" s="35" t="s">
        <v>59</v>
      </c>
      <c r="C80" s="36"/>
      <c r="D80" s="36"/>
      <c r="E80" s="37"/>
      <c r="F80" s="25">
        <f>1028417.86</f>
        <v>1028417.86</v>
      </c>
      <c r="G80" s="25">
        <f>409402.26</f>
        <v>409402.26</v>
      </c>
      <c r="H80" s="25">
        <f>0</f>
        <v>0</v>
      </c>
      <c r="I80" s="25">
        <f>0</f>
        <v>0</v>
      </c>
      <c r="J80" s="25">
        <f>409402.26</f>
        <v>409402.26</v>
      </c>
      <c r="K80" s="25">
        <f>0</f>
        <v>0</v>
      </c>
      <c r="L80" s="25">
        <f>619015.6</f>
        <v>619015.6</v>
      </c>
    </row>
    <row r="81" spans="1:13" ht="33.75" customHeight="1" x14ac:dyDescent="0.2">
      <c r="B81" s="35" t="s">
        <v>60</v>
      </c>
      <c r="C81" s="36"/>
      <c r="D81" s="36"/>
      <c r="E81" s="37"/>
      <c r="F81" s="25">
        <f>21683285.77</f>
        <v>21683285.77</v>
      </c>
      <c r="G81" s="25">
        <f>9687927.3</f>
        <v>9687927.3000000007</v>
      </c>
      <c r="H81" s="25">
        <f>0</f>
        <v>0</v>
      </c>
      <c r="I81" s="25">
        <f>0</f>
        <v>0</v>
      </c>
      <c r="J81" s="25">
        <f>9687927.3</f>
        <v>9687927.3000000007</v>
      </c>
      <c r="K81" s="25">
        <f>0</f>
        <v>0</v>
      </c>
      <c r="L81" s="25">
        <f>11995358.47</f>
        <v>11995358.470000001</v>
      </c>
    </row>
    <row r="82" spans="1:13" ht="33" customHeight="1" x14ac:dyDescent="0.2">
      <c r="B82" s="35" t="s">
        <v>61</v>
      </c>
      <c r="C82" s="36"/>
      <c r="D82" s="36"/>
      <c r="E82" s="37"/>
      <c r="F82" s="25">
        <f>1621714.42</f>
        <v>1621714.42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1621714.42</f>
        <v>1621714.42</v>
      </c>
    </row>
    <row r="85" spans="1:13" ht="60" customHeight="1" x14ac:dyDescent="0.2">
      <c r="A85" s="30" t="str">
        <f>CONCATENATE("Informacja z wykonania budżetów województw za  ",$C$93," ",$B$94," roku    ",$B$96,"")</f>
        <v xml:space="preserve">Informacja z wykonania budżetów województw za  III Kwartały 2023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">
      <c r="B88" s="6"/>
      <c r="C88" s="35" t="s">
        <v>5</v>
      </c>
      <c r="D88" s="36"/>
      <c r="E88" s="36"/>
      <c r="F88" s="37"/>
      <c r="G88" s="53">
        <f>16</f>
        <v>16</v>
      </c>
      <c r="H88" s="54"/>
      <c r="I88" s="38">
        <f>4812769779.57</f>
        <v>4812769779.5699997</v>
      </c>
      <c r="J88" s="39"/>
      <c r="K88" s="7"/>
    </row>
    <row r="89" spans="1:13" ht="22.5" customHeight="1" x14ac:dyDescent="0.2">
      <c r="B89" s="6"/>
      <c r="C89" s="35" t="s">
        <v>6</v>
      </c>
      <c r="D89" s="36"/>
      <c r="E89" s="36"/>
      <c r="F89" s="37"/>
      <c r="G89" s="53">
        <f>0</f>
        <v>0</v>
      </c>
      <c r="H89" s="54"/>
      <c r="I89" s="38">
        <f>0</f>
        <v>0</v>
      </c>
      <c r="J89" s="39"/>
      <c r="K89" s="7"/>
    </row>
    <row r="90" spans="1:13" ht="21" customHeight="1" x14ac:dyDescent="0.2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">
      <c r="A93" s="8" t="s">
        <v>8</v>
      </c>
      <c r="B93" s="8">
        <f>3</f>
        <v>3</v>
      </c>
      <c r="C93" s="8" t="str">
        <f>IF(B93=1,"I Kwartał",IF(B93=2,"II Kwartały",IF(B93=3,"III Kwartały",IF(B93=4,"IV Kwartały","-"))))</f>
        <v>III Kwartały</v>
      </c>
    </row>
    <row r="94" spans="1:13" ht="13.5" customHeight="1" x14ac:dyDescent="0.2">
      <c r="A94" s="8" t="s">
        <v>9</v>
      </c>
      <c r="B94" s="8">
        <f>2023</f>
        <v>2023</v>
      </c>
      <c r="C94" s="9"/>
    </row>
    <row r="95" spans="1:13" ht="13.5" customHeight="1" x14ac:dyDescent="0.2">
      <c r="A95" s="8" t="s">
        <v>10</v>
      </c>
      <c r="B95" s="10" t="str">
        <f>"Nov 14 2023 12:00AM"</f>
        <v>Nov 14 2023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2023-11-27T09:48:10Z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2023-11-27T10:48:08.1714707+01:00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GRN-cc05a036-bfae-4fc8-939a-4629c42d0ace</vt:lpwstr>
  </property>
  <property fmtid="{D5CDD505-2E9C-101B-9397-08002B2CF9AE}" pid="7" name="MFHash">
    <vt:lpwstr>QYmnhQbE1lMOqoA7/V+NEQj+JGkxWFVbWmFpJB1qOds=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