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```ST7\Besti@\2023\I kwartał\Dane ostateczne 2023.05.26\Zbiorówki_2023_k1_20230526\"/>
    </mc:Choice>
  </mc:AlternateContent>
  <bookViews>
    <workbookView xWindow="240" yWindow="120" windowWidth="14220" windowHeight="8835"/>
  </bookViews>
  <sheets>
    <sheet name="zob_nal" sheetId="7" r:id="rId1"/>
  </sheets>
  <calcPr calcId="152511"/>
</workbook>
</file>

<file path=xl/calcChain.xml><?xml version="1.0" encoding="utf-8"?>
<calcChain xmlns="http://schemas.openxmlformats.org/spreadsheetml/2006/main">
  <c r="B93" i="7" l="1"/>
  <c r="B92" i="7"/>
  <c r="B91" i="7"/>
  <c r="B90" i="7"/>
  <c r="I87" i="7"/>
  <c r="G87" i="7"/>
  <c r="I86" i="7"/>
  <c r="G86" i="7"/>
  <c r="I85" i="7"/>
  <c r="G85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L76" i="7"/>
  <c r="K76" i="7"/>
  <c r="J76" i="7"/>
  <c r="I76" i="7"/>
  <c r="H76" i="7"/>
  <c r="G76" i="7"/>
  <c r="F76" i="7"/>
  <c r="L75" i="7"/>
  <c r="K75" i="7"/>
  <c r="J75" i="7"/>
  <c r="I75" i="7"/>
  <c r="H75" i="7"/>
  <c r="G75" i="7"/>
  <c r="F75" i="7"/>
  <c r="L74" i="7"/>
  <c r="K74" i="7"/>
  <c r="J74" i="7"/>
  <c r="I74" i="7"/>
  <c r="H74" i="7"/>
  <c r="G74" i="7"/>
  <c r="F74" i="7"/>
  <c r="L73" i="7"/>
  <c r="K73" i="7"/>
  <c r="J73" i="7"/>
  <c r="I73" i="7"/>
  <c r="H73" i="7"/>
  <c r="G73" i="7"/>
  <c r="F73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0" i="7"/>
  <c r="A82" i="7"/>
  <c r="A1" i="7"/>
  <c r="A27" i="7"/>
  <c r="A63" i="7"/>
</calcChain>
</file>

<file path=xl/sharedStrings.xml><?xml version="1.0" encoding="utf-8"?>
<sst xmlns="http://schemas.openxmlformats.org/spreadsheetml/2006/main" count="97" uniqueCount="81">
  <si>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</si>
  <si>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</si>
  <si>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</si>
  <si>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</si>
  <si>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</si>
  <si>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</si>
  <si>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</si>
  <si>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</si>
  <si>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</si>
  <si>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</si>
  <si>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</si>
  <si>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</si>
  <si>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</si>
  <si>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</si>
  <si>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</si>
  <si>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</si>
  <si>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</si>
  <si>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</si>
  <si>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</si>
  <si>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</si>
  <si>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</si>
  <si>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</si>
  <si>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</si>
  <si>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</si>
  <si>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</si>
  <si>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</si>
  <si>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</si>
  <si>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</si>
  <si>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</si>
  <si>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</si>
  <si>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</si>
  <si>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</si>
  <si>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</si>
  <si>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</si>
  <si>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</si>
  <si>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</si>
  <si>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</si>
  <si>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</si>
  <si>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</si>
  <si>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</si>
  <si>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</si>
  <si>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</si>
  <si>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</si>
  <si>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</si>
  <si>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</si>
  <si>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  ZOBOWIĄZANIA WG TYTUŁÓW 
    DŁUŻNYCH (E1+E2+E3+E4)</t>
  </si>
  <si>
    <t>E1.1 krótkotermionowe</t>
  </si>
  <si>
    <t>E1.2 długoterminowe</t>
  </si>
  <si>
    <t>E2.1 krótkotermionowe</t>
  </si>
  <si>
    <t>E2.2 długoterminowe</t>
  </si>
  <si>
    <t>E3 przyjęte depozyty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</si>
  <si>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</si>
  <si>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</si>
  <si>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</si>
  <si>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</si>
  <si>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</si>
  <si>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</si>
  <si>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</si>
  <si>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</si>
  <si>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</si>
  <si>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</si>
  <si>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</si>
  <si>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</si>
  <si>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</si>
  <si>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</si>
  <si>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</si>
  <si>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</si>
  <si>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</si>
  <si>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</si>
  <si>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</si>
  <si>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</si>
  <si>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</si>
  <si>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</si>
  <si>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</si>
  <si>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</si>
  <si>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tytul</t>
  </si>
  <si>
    <t>w złotych</t>
  </si>
  <si>
    <t>E1 papiery wartościowe  (E1.1+E1.2)</t>
  </si>
  <si>
    <t>E2 kredyty i pożyczki (E2.1+E2.2)</t>
  </si>
  <si>
    <t>E4  wymagalne zobowiązania (E4.1+E4.2)</t>
  </si>
  <si>
    <t>N5.2 z tytułu podatków i składek na ubezpieczenia społ.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</si>
</sst>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33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charset val="238"/>
    </font>
    <font>
      <b/>
      <sz val="8"/>
      <name val="Arial CE"/>
      <charset val="238"/>
    </font>
    <font>
      <sz val="8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7" fillId="0" borderId="0" xfId="37" applyFont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4" fillId="0" borderId="10" xfId="37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" fillId="0" borderId="10" xfId="37" applyFont="1" applyBorder="1" applyAlignment="1">
      <alignment horizontal="left" vertical="center" wrapText="1"/>
    </xf>
    <xf numFmtId="0" fontId="31" fillId="0" borderId="17" xfId="0" applyFont="1" applyFill="1" applyBorder="1" applyAlignment="1">
      <alignment vertical="center" wrapText="1"/>
    </xf>
    <xf numFmtId="0" fontId="2" fillId="20" borderId="10" xfId="37" applyFont="1" applyFill="1" applyBorder="1" applyAlignment="1">
      <alignment horizontal="left" vertical="center" wrapText="1"/>
    </xf>
    <xf numFmtId="0" fontId="8" fillId="20" borderId="10" xfId="37" applyFont="1" applyFill="1" applyBorder="1" applyAlignment="1">
      <alignment horizontal="left" vertical="center" wrapText="1"/>
    </xf>
    <xf numFmtId="4" fontId="7" fillId="20" borderId="10" xfId="37" applyNumberFormat="1" applyFont="1" applyFill="1" applyBorder="1" applyAlignment="1">
      <alignment horizontal="right" vertical="center" wrapText="1"/>
    </xf>
    <xf numFmtId="4" fontId="7" fillId="0" borderId="10" xfId="37" applyNumberFormat="1" applyFont="1" applyBorder="1" applyAlignment="1">
      <alignment horizontal="right" vertical="center" wrapText="1"/>
    </xf>
    <xf numFmtId="4" fontId="7" fillId="2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vertical="center" wrapText="1"/>
    </xf>
    <xf numFmtId="0" fontId="30" fillId="21" borderId="17" xfId="0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horizontal="right" vertical="center" wrapText="1"/>
    </xf>
    <xf numFmtId="0" fontId="7" fillId="19" borderId="15" xfId="37" applyFont="1" applyFill="1" applyBorder="1" applyAlignment="1">
      <alignment horizontal="center" vertical="center" wrapText="1"/>
    </xf>
    <xf numFmtId="0" fontId="7" fillId="19" borderId="14" xfId="37" applyFont="1" applyFill="1" applyBorder="1" applyAlignment="1">
      <alignment horizontal="center" vertical="center" wrapText="1"/>
    </xf>
    <xf numFmtId="0" fontId="7" fillId="19" borderId="11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32" fillId="0" borderId="0" xfId="37" applyFont="1" applyAlignment="1">
      <alignment horizontal="center" vertical="center" wrapText="1"/>
    </xf>
    <xf numFmtId="0" fontId="7" fillId="19" borderId="19" xfId="37" applyFont="1" applyFill="1" applyBorder="1" applyAlignment="1">
      <alignment horizontal="center" vertical="center" wrapText="1"/>
    </xf>
    <xf numFmtId="0" fontId="7" fillId="19" borderId="20" xfId="37" applyFont="1" applyFill="1" applyBorder="1" applyAlignment="1">
      <alignment horizontal="center" vertical="center" wrapText="1"/>
    </xf>
    <xf numFmtId="0" fontId="7" fillId="19" borderId="12" xfId="37" applyFont="1" applyFill="1" applyBorder="1" applyAlignment="1">
      <alignment horizontal="center" vertical="center" wrapText="1"/>
    </xf>
    <xf numFmtId="0" fontId="29" fillId="19" borderId="10" xfId="37" applyNumberFormat="1" applyFont="1" applyFill="1" applyBorder="1" applyAlignment="1">
      <alignment horizontal="center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0" fontId="6" fillId="0" borderId="0" xfId="37" applyFont="1" applyAlignment="1">
      <alignment horizontal="left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0" fontId="5" fillId="19" borderId="14" xfId="37" applyFont="1" applyFill="1" applyBorder="1" applyAlignment="1">
      <alignment horizontal="center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0" fontId="2" fillId="20" borderId="15" xfId="37" applyFont="1" applyFill="1" applyBorder="1" applyAlignment="1">
      <alignment horizontal="left" vertical="center" wrapText="1"/>
    </xf>
    <xf numFmtId="0" fontId="2" fillId="20" borderId="14" xfId="37" applyFont="1" applyFill="1" applyBorder="1" applyAlignment="1">
      <alignment horizontal="left" vertical="center" wrapText="1"/>
    </xf>
    <xf numFmtId="0" fontId="2" fillId="20" borderId="11" xfId="37" applyFont="1" applyFill="1" applyBorder="1" applyAlignment="1">
      <alignment horizontal="left" vertical="center" wrapText="1"/>
    </xf>
    <xf numFmtId="3" fontId="7" fillId="20" borderId="15" xfId="37" applyNumberFormat="1" applyFont="1" applyFill="1" applyBorder="1" applyAlignment="1">
      <alignment horizontal="right" vertical="center" wrapText="1"/>
    </xf>
    <xf numFmtId="3" fontId="7" fillId="20" borderId="11" xfId="37" applyNumberFormat="1" applyFont="1" applyFill="1" applyBorder="1" applyAlignment="1">
      <alignment horizontal="right" vertical="center" wrapText="1"/>
    </xf>
    <xf numFmtId="4" fontId="7" fillId="20" borderId="15" xfId="37" applyNumberFormat="1" applyFont="1" applyFill="1" applyBorder="1" applyAlignment="1">
      <alignment horizontal="right" vertical="center" wrapText="1"/>
    </xf>
    <xf numFmtId="4" fontId="7" fillId="20" borderId="11" xfId="37" applyNumberFormat="1" applyFont="1" applyFill="1" applyBorder="1" applyAlignment="1">
      <alignment horizontal="right" vertical="center" wrapText="1"/>
    </xf>
    <xf numFmtId="0" fontId="5" fillId="19" borderId="22" xfId="37" applyFont="1" applyFill="1" applyBorder="1" applyAlignment="1">
      <alignment horizontal="center" vertical="center" wrapText="1"/>
    </xf>
    <xf numFmtId="0" fontId="5" fillId="19" borderId="21" xfId="37" applyFont="1" applyFill="1" applyBorder="1" applyAlignment="1">
      <alignment horizontal="center" vertical="center" wrapText="1"/>
    </xf>
    <xf numFmtId="0" fontId="5" fillId="19" borderId="13" xfId="37" applyFont="1" applyFill="1" applyBorder="1" applyAlignment="1">
      <alignment horizontal="center" vertical="center" wrapText="1"/>
    </xf>
    <xf numFmtId="0" fontId="29" fillId="19" borderId="10" xfId="37" applyFont="1" applyFill="1" applyBorder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28" fillId="19" borderId="19" xfId="37" applyFont="1" applyFill="1" applyBorder="1" applyAlignment="1">
      <alignment horizontal="center" vertical="center" wrapText="1"/>
    </xf>
    <xf numFmtId="0" fontId="28" fillId="19" borderId="20" xfId="37" applyFont="1" applyFill="1" applyBorder="1" applyAlignment="1">
      <alignment horizontal="center" vertical="center" wrapText="1"/>
    </xf>
    <xf numFmtId="0" fontId="28" fillId="19" borderId="12" xfId="37" applyFont="1" applyFill="1" applyBorder="1" applyAlignment="1">
      <alignment horizontal="center" vertical="center" wrapText="1"/>
    </xf>
    <xf numFmtId="0" fontId="28" fillId="19" borderId="15" xfId="37" applyFont="1" applyFill="1" applyBorder="1" applyAlignment="1">
      <alignment horizontal="center" vertical="center" wrapText="1"/>
    </xf>
    <xf numFmtId="0" fontId="28" fillId="19" borderId="14" xfId="37" applyFont="1" applyFill="1" applyBorder="1" applyAlignment="1">
      <alignment horizontal="center" vertical="center" wrapText="1"/>
    </xf>
    <xf numFmtId="0" fontId="28" fillId="19" borderId="11" xfId="37" applyFont="1" applyFill="1" applyBorder="1" applyAlignment="1">
      <alignment horizontal="center" vertical="center" wrapText="1"/>
    </xf>
    <xf numFmtId="0" fontId="7" fillId="19" borderId="21" xfId="37" applyFont="1" applyFill="1" applyBorder="1" applyAlignment="1">
      <alignment horizontal="center" vertical="center" wrapText="1"/>
    </xf>
    <xf numFmtId="0" fontId="7" fillId="19" borderId="13" xfId="37" applyFont="1" applyFill="1" applyBorder="1" applyAlignment="1">
      <alignment horizontal="center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19" borderId="10" xfId="37" applyNumberFormat="1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rmalny_Zeszyt1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93"/>
  <sheetViews>
    <sheetView tabSelected="1" zoomScaleNormal="100" zoomScaleSheetLayoutView="75" workbookViewId="0">
      <selection activeCell="A6" sqref="A6:A10"/>
    </sheetView>
  </sheetViews>
  <sheetFormatPr defaultRowHeight="13.5" customHeight="1" x14ac:dyDescent="0.2"/>
  <cols>
    <col min="1" max="1" width="22.5703125" style="2" customWidth="1"/>
    <col min="2" max="3" width="13.7109375" style="2" customWidth="1"/>
    <col min="4" max="6" width="11.42578125" style="2" customWidth="1"/>
    <col min="7" max="7" width="12.140625" style="2" customWidth="1"/>
    <col min="8" max="8" width="12" style="2" customWidth="1"/>
    <col min="9" max="9" width="12.5703125" style="2" customWidth="1"/>
    <col min="10" max="10" width="12.85546875" style="2" customWidth="1"/>
    <col min="11" max="11" width="12.140625" style="2" customWidth="1"/>
    <col min="12" max="12" width="11.42578125" style="2" customWidth="1"/>
    <col min="13" max="13" width="10" style="2" customWidth="1"/>
    <col min="14" max="14" width="10.28515625" style="2" customWidth="1"/>
    <col min="15" max="15" width="9.140625" style="2"/>
    <col min="16" max="16" width="10.28515625" style="2" customWidth="1"/>
    <col min="17" max="16384" width="9.140625" style="2"/>
  </cols>
  <sheetData>
    <row r="1" spans="1:17" ht="39.75" customHeight="1" x14ac:dyDescent="0.2">
      <c r="A1" s="31" t="str">
        <f>CONCATENATE("Informacja z wykonania budżetów powiatów za   ",$C$90," ",$B$91," roku    ",$B$93,"")</f>
        <v xml:space="preserve">Informacja z wykonania budżetów powiatów za   I Kwartał 2023 roku    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41" t="s">
        <v>60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5" spans="1:17" ht="13.5" customHeight="1" x14ac:dyDescent="0.2">
      <c r="B5" s="12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11"/>
      <c r="O5" s="11"/>
      <c r="P5" s="11"/>
      <c r="Q5" s="11"/>
    </row>
    <row r="6" spans="1:17" ht="13.5" customHeight="1" x14ac:dyDescent="0.2">
      <c r="A6" s="72" t="s">
        <v>0</v>
      </c>
      <c r="B6" s="32" t="s">
        <v>61</v>
      </c>
      <c r="C6" s="27" t="s">
        <v>65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9"/>
      <c r="O6" s="27" t="s">
        <v>64</v>
      </c>
      <c r="P6" s="28"/>
      <c r="Q6" s="29"/>
    </row>
    <row r="7" spans="1:17" ht="13.5" customHeight="1" x14ac:dyDescent="0.2">
      <c r="A7" s="73"/>
      <c r="B7" s="33"/>
      <c r="C7" s="34" t="s">
        <v>62</v>
      </c>
      <c r="D7" s="34" t="s">
        <v>73</v>
      </c>
      <c r="E7" s="34" t="s">
        <v>66</v>
      </c>
      <c r="F7" s="34" t="s">
        <v>67</v>
      </c>
      <c r="G7" s="34" t="s">
        <v>27</v>
      </c>
      <c r="H7" s="34" t="s">
        <v>28</v>
      </c>
      <c r="I7" s="78" t="s">
        <v>63</v>
      </c>
      <c r="J7" s="34" t="s">
        <v>16</v>
      </c>
      <c r="K7" s="34" t="s">
        <v>17</v>
      </c>
      <c r="L7" s="34" t="s">
        <v>18</v>
      </c>
      <c r="M7" s="34" t="s">
        <v>19</v>
      </c>
      <c r="N7" s="33" t="s">
        <v>20</v>
      </c>
      <c r="O7" s="30" t="s">
        <v>21</v>
      </c>
      <c r="P7" s="30" t="s">
        <v>22</v>
      </c>
      <c r="Q7" s="30" t="s">
        <v>23</v>
      </c>
    </row>
    <row r="8" spans="1:17" ht="13.5" customHeight="1" x14ac:dyDescent="0.2">
      <c r="A8" s="73"/>
      <c r="B8" s="33"/>
      <c r="C8" s="30"/>
      <c r="D8" s="30"/>
      <c r="E8" s="30"/>
      <c r="F8" s="30"/>
      <c r="G8" s="30"/>
      <c r="H8" s="30"/>
      <c r="I8" s="78"/>
      <c r="J8" s="30"/>
      <c r="K8" s="30"/>
      <c r="L8" s="30"/>
      <c r="M8" s="30"/>
      <c r="N8" s="33"/>
      <c r="O8" s="30"/>
      <c r="P8" s="30"/>
      <c r="Q8" s="30"/>
    </row>
    <row r="9" spans="1:17" ht="11.25" customHeight="1" x14ac:dyDescent="0.2">
      <c r="A9" s="73"/>
      <c r="B9" s="33"/>
      <c r="C9" s="30"/>
      <c r="D9" s="30"/>
      <c r="E9" s="30"/>
      <c r="F9" s="30"/>
      <c r="G9" s="30"/>
      <c r="H9" s="30"/>
      <c r="I9" s="78"/>
      <c r="J9" s="30"/>
      <c r="K9" s="30"/>
      <c r="L9" s="30"/>
      <c r="M9" s="30"/>
      <c r="N9" s="33"/>
      <c r="O9" s="30"/>
      <c r="P9" s="30"/>
      <c r="Q9" s="30"/>
    </row>
    <row r="10" spans="1:17" ht="33.75" customHeight="1" x14ac:dyDescent="0.2">
      <c r="A10" s="74"/>
      <c r="B10" s="34"/>
      <c r="C10" s="30"/>
      <c r="D10" s="30"/>
      <c r="E10" s="30"/>
      <c r="F10" s="30"/>
      <c r="G10" s="30"/>
      <c r="H10" s="30"/>
      <c r="I10" s="79"/>
      <c r="J10" s="30"/>
      <c r="K10" s="30"/>
      <c r="L10" s="30"/>
      <c r="M10" s="30"/>
      <c r="N10" s="34"/>
      <c r="O10" s="30"/>
      <c r="P10" s="30"/>
      <c r="Q10" s="30"/>
    </row>
    <row r="11" spans="1:17" ht="15.75" customHeight="1" x14ac:dyDescent="0.2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</row>
    <row r="12" spans="1:17" ht="12" customHeight="1" x14ac:dyDescent="0.2">
      <c r="A12" s="13"/>
      <c r="B12" s="80" t="s">
        <v>76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2"/>
    </row>
    <row r="13" spans="1:17" ht="39.75" customHeight="1" x14ac:dyDescent="0.2">
      <c r="A13" s="20" t="s">
        <v>45</v>
      </c>
      <c r="B13" s="21">
        <f>5865137653.06</f>
        <v>5865137653.0600004</v>
      </c>
      <c r="C13" s="21">
        <f>5865137653.06</f>
        <v>5865137653.0600004</v>
      </c>
      <c r="D13" s="21">
        <f>247204261.75</f>
        <v>247204261.75</v>
      </c>
      <c r="E13" s="21">
        <f>207074098.73</f>
        <v>207074098.72999999</v>
      </c>
      <c r="F13" s="21">
        <f>11494927.22</f>
        <v>11494927.220000001</v>
      </c>
      <c r="G13" s="21">
        <f>28633593.28</f>
        <v>28633593.280000001</v>
      </c>
      <c r="H13" s="21">
        <f>1642.52</f>
        <v>1642.52</v>
      </c>
      <c r="I13" s="21">
        <f>0</f>
        <v>0</v>
      </c>
      <c r="J13" s="21">
        <f>5328728488.63</f>
        <v>5328728488.6300001</v>
      </c>
      <c r="K13" s="21">
        <f>283478407.63</f>
        <v>283478407.63</v>
      </c>
      <c r="L13" s="21">
        <f>2443826.88</f>
        <v>2443826.88</v>
      </c>
      <c r="M13" s="21">
        <f>99583.17</f>
        <v>99583.17</v>
      </c>
      <c r="N13" s="21">
        <f>3183085</f>
        <v>3183085</v>
      </c>
      <c r="O13" s="21">
        <f>0</f>
        <v>0</v>
      </c>
      <c r="P13" s="21">
        <f>0</f>
        <v>0</v>
      </c>
      <c r="Q13" s="21">
        <f>0</f>
        <v>0</v>
      </c>
    </row>
    <row r="14" spans="1:17" ht="24.75" customHeight="1" x14ac:dyDescent="0.2">
      <c r="A14" s="19" t="s">
        <v>77</v>
      </c>
      <c r="B14" s="21">
        <f>63993000</f>
        <v>63993000</v>
      </c>
      <c r="C14" s="21">
        <f>63993000</f>
        <v>63993000</v>
      </c>
      <c r="D14" s="21">
        <f>0</f>
        <v>0</v>
      </c>
      <c r="E14" s="21">
        <f>0</f>
        <v>0</v>
      </c>
      <c r="F14" s="21">
        <f>0</f>
        <v>0</v>
      </c>
      <c r="G14" s="21">
        <f>0</f>
        <v>0</v>
      </c>
      <c r="H14" s="21">
        <f>0</f>
        <v>0</v>
      </c>
      <c r="I14" s="21">
        <f>0</f>
        <v>0</v>
      </c>
      <c r="J14" s="21">
        <f>63993000</f>
        <v>63993000</v>
      </c>
      <c r="K14" s="21">
        <f>0</f>
        <v>0</v>
      </c>
      <c r="L14" s="21">
        <f>0</f>
        <v>0</v>
      </c>
      <c r="M14" s="21">
        <f>0</f>
        <v>0</v>
      </c>
      <c r="N14" s="21">
        <f>0</f>
        <v>0</v>
      </c>
      <c r="O14" s="21">
        <f>0</f>
        <v>0</v>
      </c>
      <c r="P14" s="21">
        <f>0</f>
        <v>0</v>
      </c>
      <c r="Q14" s="21">
        <f>0</f>
        <v>0</v>
      </c>
    </row>
    <row r="15" spans="1:17" ht="21" customHeight="1" x14ac:dyDescent="0.2">
      <c r="A15" s="17" t="s">
        <v>46</v>
      </c>
      <c r="B15" s="22">
        <f>0</f>
        <v>0</v>
      </c>
      <c r="C15" s="22">
        <f>0</f>
        <v>0</v>
      </c>
      <c r="D15" s="22">
        <f>0</f>
        <v>0</v>
      </c>
      <c r="E15" s="22">
        <f>0</f>
        <v>0</v>
      </c>
      <c r="F15" s="22">
        <f>0</f>
        <v>0</v>
      </c>
      <c r="G15" s="22">
        <f>0</f>
        <v>0</v>
      </c>
      <c r="H15" s="22">
        <f>0</f>
        <v>0</v>
      </c>
      <c r="I15" s="22">
        <f>0</f>
        <v>0</v>
      </c>
      <c r="J15" s="22">
        <f>0</f>
        <v>0</v>
      </c>
      <c r="K15" s="22">
        <f>0</f>
        <v>0</v>
      </c>
      <c r="L15" s="22">
        <f>0</f>
        <v>0</v>
      </c>
      <c r="M15" s="22">
        <f>0</f>
        <v>0</v>
      </c>
      <c r="N15" s="22">
        <f>0</f>
        <v>0</v>
      </c>
      <c r="O15" s="22">
        <f>0</f>
        <v>0</v>
      </c>
      <c r="P15" s="22">
        <f>0</f>
        <v>0</v>
      </c>
      <c r="Q15" s="22">
        <f>0</f>
        <v>0</v>
      </c>
    </row>
    <row r="16" spans="1:17" ht="20.25" customHeight="1" x14ac:dyDescent="0.2">
      <c r="A16" s="17" t="s">
        <v>47</v>
      </c>
      <c r="B16" s="22">
        <f>63993000</f>
        <v>63993000</v>
      </c>
      <c r="C16" s="22">
        <f>63993000</f>
        <v>63993000</v>
      </c>
      <c r="D16" s="22">
        <f>0</f>
        <v>0</v>
      </c>
      <c r="E16" s="22">
        <f>0</f>
        <v>0</v>
      </c>
      <c r="F16" s="22">
        <f>0</f>
        <v>0</v>
      </c>
      <c r="G16" s="22">
        <f>0</f>
        <v>0</v>
      </c>
      <c r="H16" s="22">
        <f>0</f>
        <v>0</v>
      </c>
      <c r="I16" s="22">
        <f>0</f>
        <v>0</v>
      </c>
      <c r="J16" s="22">
        <f>63993000</f>
        <v>63993000</v>
      </c>
      <c r="K16" s="22">
        <f>0</f>
        <v>0</v>
      </c>
      <c r="L16" s="22">
        <f>0</f>
        <v>0</v>
      </c>
      <c r="M16" s="22">
        <f>0</f>
        <v>0</v>
      </c>
      <c r="N16" s="22">
        <f>0</f>
        <v>0</v>
      </c>
      <c r="O16" s="22">
        <f>0</f>
        <v>0</v>
      </c>
      <c r="P16" s="22">
        <f>0</f>
        <v>0</v>
      </c>
      <c r="Q16" s="22">
        <f>0</f>
        <v>0</v>
      </c>
    </row>
    <row r="17" spans="1:17" ht="24" customHeight="1" x14ac:dyDescent="0.2">
      <c r="A17" s="20" t="s">
        <v>78</v>
      </c>
      <c r="B17" s="21">
        <f>5795732425.05</f>
        <v>5795732425.0500002</v>
      </c>
      <c r="C17" s="21">
        <f>5795732425.05</f>
        <v>5795732425.0500002</v>
      </c>
      <c r="D17" s="21">
        <f>242158465.79</f>
        <v>242158465.78999999</v>
      </c>
      <c r="E17" s="21">
        <f>202365455.35</f>
        <v>202365455.34999999</v>
      </c>
      <c r="F17" s="21">
        <f>11469953.47</f>
        <v>11469953.470000001</v>
      </c>
      <c r="G17" s="21">
        <f>28323056.97</f>
        <v>28323056.969999999</v>
      </c>
      <c r="H17" s="21">
        <f>0</f>
        <v>0</v>
      </c>
      <c r="I17" s="21">
        <f>0</f>
        <v>0</v>
      </c>
      <c r="J17" s="21">
        <f>5264735488.63</f>
        <v>5264735488.6300001</v>
      </c>
      <c r="K17" s="21">
        <f>283478407.63</f>
        <v>283478407.63</v>
      </c>
      <c r="L17" s="21">
        <f>2175211.94</f>
        <v>2175211.94</v>
      </c>
      <c r="M17" s="21">
        <f>1766.06</f>
        <v>1766.06</v>
      </c>
      <c r="N17" s="21">
        <f>3183085</f>
        <v>3183085</v>
      </c>
      <c r="O17" s="21">
        <f>0</f>
        <v>0</v>
      </c>
      <c r="P17" s="21">
        <f>0</f>
        <v>0</v>
      </c>
      <c r="Q17" s="21">
        <f>0</f>
        <v>0</v>
      </c>
    </row>
    <row r="18" spans="1:17" ht="23.25" customHeight="1" x14ac:dyDescent="0.2">
      <c r="A18" s="17" t="s">
        <v>48</v>
      </c>
      <c r="B18" s="22">
        <f>18694243.81</f>
        <v>18694243.809999999</v>
      </c>
      <c r="C18" s="22">
        <f>18694243.81</f>
        <v>18694243.809999999</v>
      </c>
      <c r="D18" s="22">
        <f>3165888</f>
        <v>3165888</v>
      </c>
      <c r="E18" s="22">
        <f>3000000</f>
        <v>3000000</v>
      </c>
      <c r="F18" s="22">
        <f>165888</f>
        <v>165888</v>
      </c>
      <c r="G18" s="22">
        <f>0</f>
        <v>0</v>
      </c>
      <c r="H18" s="22">
        <f>0</f>
        <v>0</v>
      </c>
      <c r="I18" s="22">
        <f>0</f>
        <v>0</v>
      </c>
      <c r="J18" s="22">
        <f>15003741.64</f>
        <v>15003741.640000001</v>
      </c>
      <c r="K18" s="22">
        <f>524614.17</f>
        <v>524614.17000000004</v>
      </c>
      <c r="L18" s="22">
        <f>0</f>
        <v>0</v>
      </c>
      <c r="M18" s="22">
        <f>0</f>
        <v>0</v>
      </c>
      <c r="N18" s="22">
        <f>0</f>
        <v>0</v>
      </c>
      <c r="O18" s="22">
        <f>0</f>
        <v>0</v>
      </c>
      <c r="P18" s="22">
        <f>0</f>
        <v>0</v>
      </c>
      <c r="Q18" s="22">
        <f>0</f>
        <v>0</v>
      </c>
    </row>
    <row r="19" spans="1:17" ht="21.75" customHeight="1" x14ac:dyDescent="0.2">
      <c r="A19" s="17" t="s">
        <v>49</v>
      </c>
      <c r="B19" s="22">
        <f>5777038181.24</f>
        <v>5777038181.2399998</v>
      </c>
      <c r="C19" s="22">
        <f>5777038181.24</f>
        <v>5777038181.2399998</v>
      </c>
      <c r="D19" s="22">
        <f>238992577.79</f>
        <v>238992577.78999999</v>
      </c>
      <c r="E19" s="22">
        <f>199365455.35</f>
        <v>199365455.34999999</v>
      </c>
      <c r="F19" s="22">
        <f>11304065.47</f>
        <v>11304065.470000001</v>
      </c>
      <c r="G19" s="22">
        <f>28323056.97</f>
        <v>28323056.969999999</v>
      </c>
      <c r="H19" s="22">
        <f>0</f>
        <v>0</v>
      </c>
      <c r="I19" s="22">
        <f>0</f>
        <v>0</v>
      </c>
      <c r="J19" s="22">
        <f>5249731746.99</f>
        <v>5249731746.9899998</v>
      </c>
      <c r="K19" s="22">
        <f>282953793.46</f>
        <v>282953793.45999998</v>
      </c>
      <c r="L19" s="22">
        <f>2175211.94</f>
        <v>2175211.94</v>
      </c>
      <c r="M19" s="22">
        <f>1766.06</f>
        <v>1766.06</v>
      </c>
      <c r="N19" s="22">
        <f>3183085</f>
        <v>3183085</v>
      </c>
      <c r="O19" s="22">
        <f>0</f>
        <v>0</v>
      </c>
      <c r="P19" s="22">
        <f>0</f>
        <v>0</v>
      </c>
      <c r="Q19" s="22">
        <f>0</f>
        <v>0</v>
      </c>
    </row>
    <row r="20" spans="1:17" ht="21.75" customHeight="1" x14ac:dyDescent="0.2">
      <c r="A20" s="17" t="s">
        <v>50</v>
      </c>
      <c r="B20" s="22">
        <f>0</f>
        <v>0</v>
      </c>
      <c r="C20" s="22">
        <f>0</f>
        <v>0</v>
      </c>
      <c r="D20" s="22">
        <f>0</f>
        <v>0</v>
      </c>
      <c r="E20" s="22">
        <f>0</f>
        <v>0</v>
      </c>
      <c r="F20" s="22">
        <f>0</f>
        <v>0</v>
      </c>
      <c r="G20" s="22">
        <f>0</f>
        <v>0</v>
      </c>
      <c r="H20" s="22">
        <f>0</f>
        <v>0</v>
      </c>
      <c r="I20" s="22">
        <f>0</f>
        <v>0</v>
      </c>
      <c r="J20" s="22">
        <f>0</f>
        <v>0</v>
      </c>
      <c r="K20" s="22">
        <f>0</f>
        <v>0</v>
      </c>
      <c r="L20" s="22">
        <f>0</f>
        <v>0</v>
      </c>
      <c r="M20" s="22">
        <f>0</f>
        <v>0</v>
      </c>
      <c r="N20" s="22">
        <f>0</f>
        <v>0</v>
      </c>
      <c r="O20" s="22">
        <f>0</f>
        <v>0</v>
      </c>
      <c r="P20" s="22">
        <f>0</f>
        <v>0</v>
      </c>
      <c r="Q20" s="22">
        <f>0</f>
        <v>0</v>
      </c>
    </row>
    <row r="21" spans="1:17" ht="24.75" customHeight="1" x14ac:dyDescent="0.2">
      <c r="A21" s="20" t="s">
        <v>79</v>
      </c>
      <c r="B21" s="21">
        <f>5412228.01</f>
        <v>5412228.0099999998</v>
      </c>
      <c r="C21" s="21">
        <f>5412228.01</f>
        <v>5412228.0099999998</v>
      </c>
      <c r="D21" s="21">
        <f>5045795.96</f>
        <v>5045795.96</v>
      </c>
      <c r="E21" s="21">
        <f>4708643.38</f>
        <v>4708643.38</v>
      </c>
      <c r="F21" s="21">
        <f>24973.75</f>
        <v>24973.75</v>
      </c>
      <c r="G21" s="21">
        <f>310536.31</f>
        <v>310536.31</v>
      </c>
      <c r="H21" s="21">
        <f>1642.52</f>
        <v>1642.52</v>
      </c>
      <c r="I21" s="21">
        <f>0</f>
        <v>0</v>
      </c>
      <c r="J21" s="21">
        <f>0</f>
        <v>0</v>
      </c>
      <c r="K21" s="21">
        <f>0</f>
        <v>0</v>
      </c>
      <c r="L21" s="21">
        <f>268614.94</f>
        <v>268614.94</v>
      </c>
      <c r="M21" s="21">
        <f>97817.11</f>
        <v>97817.11</v>
      </c>
      <c r="N21" s="21">
        <f>0</f>
        <v>0</v>
      </c>
      <c r="O21" s="21">
        <f>0</f>
        <v>0</v>
      </c>
      <c r="P21" s="21">
        <f>0</f>
        <v>0</v>
      </c>
      <c r="Q21" s="21">
        <f>0</f>
        <v>0</v>
      </c>
    </row>
    <row r="22" spans="1:17" ht="22.5" x14ac:dyDescent="0.2">
      <c r="A22" s="17" t="s">
        <v>51</v>
      </c>
      <c r="B22" s="22">
        <f>344403.4</f>
        <v>344403.4</v>
      </c>
      <c r="C22" s="22">
        <f>344403.4</f>
        <v>344403.4</v>
      </c>
      <c r="D22" s="22">
        <f>144076.91</f>
        <v>144076.91</v>
      </c>
      <c r="E22" s="22">
        <f>0</f>
        <v>0</v>
      </c>
      <c r="F22" s="22">
        <f>0</f>
        <v>0</v>
      </c>
      <c r="G22" s="22">
        <f>144076.91</f>
        <v>144076.91</v>
      </c>
      <c r="H22" s="22">
        <f>0</f>
        <v>0</v>
      </c>
      <c r="I22" s="22">
        <f>0</f>
        <v>0</v>
      </c>
      <c r="J22" s="22">
        <f>0</f>
        <v>0</v>
      </c>
      <c r="K22" s="22">
        <f>0</f>
        <v>0</v>
      </c>
      <c r="L22" s="22">
        <f>199326.49</f>
        <v>199326.49</v>
      </c>
      <c r="M22" s="22">
        <f>1000</f>
        <v>1000</v>
      </c>
      <c r="N22" s="22">
        <f>0</f>
        <v>0</v>
      </c>
      <c r="O22" s="22">
        <f>0</f>
        <v>0</v>
      </c>
      <c r="P22" s="22">
        <f>0</f>
        <v>0</v>
      </c>
      <c r="Q22" s="22">
        <f>0</f>
        <v>0</v>
      </c>
    </row>
    <row r="23" spans="1:17" ht="23.25" customHeight="1" x14ac:dyDescent="0.2">
      <c r="A23" s="17" t="s">
        <v>52</v>
      </c>
      <c r="B23" s="22">
        <f>5067824.61</f>
        <v>5067824.6100000003</v>
      </c>
      <c r="C23" s="22">
        <f>5067824.61</f>
        <v>5067824.6100000003</v>
      </c>
      <c r="D23" s="22">
        <f>4901719.05</f>
        <v>4901719.05</v>
      </c>
      <c r="E23" s="22">
        <f>4708643.38</f>
        <v>4708643.38</v>
      </c>
      <c r="F23" s="22">
        <f>24973.75</f>
        <v>24973.75</v>
      </c>
      <c r="G23" s="22">
        <f>166459.4</f>
        <v>166459.4</v>
      </c>
      <c r="H23" s="22">
        <f>1642.52</f>
        <v>1642.52</v>
      </c>
      <c r="I23" s="22">
        <f>0</f>
        <v>0</v>
      </c>
      <c r="J23" s="22">
        <f>0</f>
        <v>0</v>
      </c>
      <c r="K23" s="22">
        <f>0</f>
        <v>0</v>
      </c>
      <c r="L23" s="22">
        <f>69288.45</f>
        <v>69288.45</v>
      </c>
      <c r="M23" s="22">
        <f>96817.11</f>
        <v>96817.11</v>
      </c>
      <c r="N23" s="22">
        <f>0</f>
        <v>0</v>
      </c>
      <c r="O23" s="22">
        <f>0</f>
        <v>0</v>
      </c>
      <c r="P23" s="22">
        <f>0</f>
        <v>0</v>
      </c>
      <c r="Q23" s="22">
        <f>0</f>
        <v>0</v>
      </c>
    </row>
    <row r="24" spans="1:17" ht="19.5" customHeight="1" x14ac:dyDescent="0.2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9.5" customHeight="1" x14ac:dyDescent="0.2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19.5" customHeight="1" x14ac:dyDescent="0.2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45.75" customHeight="1" x14ac:dyDescent="0.2">
      <c r="A27" s="31" t="str">
        <f>CONCATENATE("Informacja z wykonania budżetów powiatów za   ",$C$90," ",$B$91," roku    ",$B$93,"")</f>
        <v xml:space="preserve">Informacja z wykonania budżetów powiatów za   I Kwartał 2023 roku    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9" spans="1:17" ht="13.5" customHeight="1" x14ac:dyDescent="0.2">
      <c r="A29" s="41" t="s">
        <v>11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</row>
    <row r="31" spans="1:17" ht="13.5" customHeight="1" x14ac:dyDescent="0.2">
      <c r="A31" s="72" t="s">
        <v>0</v>
      </c>
      <c r="B31" s="32" t="s">
        <v>12</v>
      </c>
      <c r="C31" s="75" t="s">
        <v>14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7"/>
      <c r="O31" s="75" t="s">
        <v>24</v>
      </c>
      <c r="P31" s="76"/>
      <c r="Q31" s="77"/>
    </row>
    <row r="32" spans="1:17" ht="13.5" customHeight="1" x14ac:dyDescent="0.2">
      <c r="A32" s="73"/>
      <c r="B32" s="33"/>
      <c r="C32" s="33" t="s">
        <v>13</v>
      </c>
      <c r="D32" s="30" t="s">
        <v>15</v>
      </c>
      <c r="E32" s="30" t="s">
        <v>25</v>
      </c>
      <c r="F32" s="30" t="s">
        <v>26</v>
      </c>
      <c r="G32" s="30" t="s">
        <v>70</v>
      </c>
      <c r="H32" s="30" t="s">
        <v>28</v>
      </c>
      <c r="I32" s="30" t="s">
        <v>1</v>
      </c>
      <c r="J32" s="30" t="s">
        <v>16</v>
      </c>
      <c r="K32" s="30" t="s">
        <v>17</v>
      </c>
      <c r="L32" s="30" t="s">
        <v>18</v>
      </c>
      <c r="M32" s="30" t="s">
        <v>19</v>
      </c>
      <c r="N32" s="35" t="s">
        <v>20</v>
      </c>
      <c r="O32" s="30" t="s">
        <v>21</v>
      </c>
      <c r="P32" s="30" t="s">
        <v>22</v>
      </c>
      <c r="Q32" s="32" t="s">
        <v>23</v>
      </c>
    </row>
    <row r="33" spans="1:17" ht="13.5" customHeight="1" x14ac:dyDescent="0.2">
      <c r="A33" s="73"/>
      <c r="B33" s="33"/>
      <c r="C33" s="33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5"/>
      <c r="O33" s="30"/>
      <c r="P33" s="30"/>
      <c r="Q33" s="33"/>
    </row>
    <row r="34" spans="1:17" ht="11.25" customHeight="1" x14ac:dyDescent="0.2">
      <c r="A34" s="73"/>
      <c r="B34" s="33"/>
      <c r="C34" s="33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5"/>
      <c r="O34" s="30"/>
      <c r="P34" s="30"/>
      <c r="Q34" s="33"/>
    </row>
    <row r="35" spans="1:17" ht="41.25" customHeight="1" x14ac:dyDescent="0.2">
      <c r="A35" s="74"/>
      <c r="B35" s="34"/>
      <c r="C35" s="34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5"/>
      <c r="O35" s="30"/>
      <c r="P35" s="30"/>
      <c r="Q35" s="34"/>
    </row>
    <row r="36" spans="1:17" ht="15.75" customHeight="1" x14ac:dyDescent="0.2">
      <c r="A36" s="13">
        <v>1</v>
      </c>
      <c r="B36" s="13">
        <v>2</v>
      </c>
      <c r="C36" s="13">
        <v>3</v>
      </c>
      <c r="D36" s="13">
        <v>4</v>
      </c>
      <c r="E36" s="13">
        <v>5</v>
      </c>
      <c r="F36" s="13">
        <v>6</v>
      </c>
      <c r="G36" s="13">
        <v>7</v>
      </c>
      <c r="H36" s="13">
        <v>8</v>
      </c>
      <c r="I36" s="13">
        <v>9</v>
      </c>
      <c r="J36" s="13">
        <v>10</v>
      </c>
      <c r="K36" s="13">
        <v>11</v>
      </c>
      <c r="L36" s="13">
        <v>12</v>
      </c>
      <c r="M36" s="13">
        <v>13</v>
      </c>
      <c r="N36" s="13">
        <v>14</v>
      </c>
      <c r="O36" s="13">
        <v>15</v>
      </c>
      <c r="P36" s="13">
        <v>16</v>
      </c>
      <c r="Q36" s="13">
        <v>17</v>
      </c>
    </row>
    <row r="37" spans="1:17" ht="12" customHeight="1" x14ac:dyDescent="0.2">
      <c r="A37" s="13"/>
      <c r="B37" s="80" t="s">
        <v>76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9"/>
    </row>
    <row r="38" spans="1:17" ht="30" customHeight="1" x14ac:dyDescent="0.2">
      <c r="A38" s="25" t="s">
        <v>40</v>
      </c>
      <c r="B38" s="23">
        <f>357122.43</f>
        <v>357122.43</v>
      </c>
      <c r="C38" s="23">
        <f>357122.43</f>
        <v>357122.43</v>
      </c>
      <c r="D38" s="23">
        <f>50000</f>
        <v>50000</v>
      </c>
      <c r="E38" s="23">
        <f>50000</f>
        <v>50000</v>
      </c>
      <c r="F38" s="23">
        <f>0</f>
        <v>0</v>
      </c>
      <c r="G38" s="23">
        <f>0</f>
        <v>0</v>
      </c>
      <c r="H38" s="23">
        <f>0</f>
        <v>0</v>
      </c>
      <c r="I38" s="23">
        <f>0</f>
        <v>0</v>
      </c>
      <c r="J38" s="23">
        <f>0</f>
        <v>0</v>
      </c>
      <c r="K38" s="23">
        <f>0</f>
        <v>0</v>
      </c>
      <c r="L38" s="23">
        <f>87968.58</f>
        <v>87968.58</v>
      </c>
      <c r="M38" s="23">
        <f>219153.85</f>
        <v>219153.85</v>
      </c>
      <c r="N38" s="23">
        <f>0</f>
        <v>0</v>
      </c>
      <c r="O38" s="23">
        <f>0</f>
        <v>0</v>
      </c>
      <c r="P38" s="23">
        <f>0</f>
        <v>0</v>
      </c>
      <c r="Q38" s="23">
        <f>0</f>
        <v>0</v>
      </c>
    </row>
    <row r="39" spans="1:17" ht="25.5" customHeight="1" x14ac:dyDescent="0.2">
      <c r="A39" s="18" t="s">
        <v>29</v>
      </c>
      <c r="B39" s="24">
        <f>112258.61</f>
        <v>112258.61</v>
      </c>
      <c r="C39" s="24">
        <f>112258.61</f>
        <v>112258.61</v>
      </c>
      <c r="D39" s="24">
        <f>0</f>
        <v>0</v>
      </c>
      <c r="E39" s="24">
        <f>0</f>
        <v>0</v>
      </c>
      <c r="F39" s="24">
        <f>0</f>
        <v>0</v>
      </c>
      <c r="G39" s="24">
        <f>0</f>
        <v>0</v>
      </c>
      <c r="H39" s="24">
        <f>0</f>
        <v>0</v>
      </c>
      <c r="I39" s="24">
        <f>0</f>
        <v>0</v>
      </c>
      <c r="J39" s="24">
        <f>0</f>
        <v>0</v>
      </c>
      <c r="K39" s="24">
        <f>0</f>
        <v>0</v>
      </c>
      <c r="L39" s="24">
        <f>55436.08</f>
        <v>55436.08</v>
      </c>
      <c r="M39" s="24">
        <f>56822.53</f>
        <v>56822.53</v>
      </c>
      <c r="N39" s="24">
        <f>0</f>
        <v>0</v>
      </c>
      <c r="O39" s="24">
        <f>0</f>
        <v>0</v>
      </c>
      <c r="P39" s="24">
        <f>0</f>
        <v>0</v>
      </c>
      <c r="Q39" s="24">
        <f>0</f>
        <v>0</v>
      </c>
    </row>
    <row r="40" spans="1:17" ht="25.5" customHeight="1" x14ac:dyDescent="0.2">
      <c r="A40" s="18" t="s">
        <v>30</v>
      </c>
      <c r="B40" s="24">
        <f>244863.82</f>
        <v>244863.82</v>
      </c>
      <c r="C40" s="24">
        <f>244863.82</f>
        <v>244863.82</v>
      </c>
      <c r="D40" s="24">
        <f>50000</f>
        <v>50000</v>
      </c>
      <c r="E40" s="24">
        <f>50000</f>
        <v>50000</v>
      </c>
      <c r="F40" s="24">
        <f>0</f>
        <v>0</v>
      </c>
      <c r="G40" s="24">
        <f>0</f>
        <v>0</v>
      </c>
      <c r="H40" s="24">
        <f>0</f>
        <v>0</v>
      </c>
      <c r="I40" s="24">
        <f>0</f>
        <v>0</v>
      </c>
      <c r="J40" s="24">
        <f>0</f>
        <v>0</v>
      </c>
      <c r="K40" s="24">
        <f>0</f>
        <v>0</v>
      </c>
      <c r="L40" s="24">
        <f>32532.5</f>
        <v>32532.5</v>
      </c>
      <c r="M40" s="24">
        <f>162331.32</f>
        <v>162331.32</v>
      </c>
      <c r="N40" s="24">
        <f>0</f>
        <v>0</v>
      </c>
      <c r="O40" s="24">
        <f>0</f>
        <v>0</v>
      </c>
      <c r="P40" s="24">
        <f>0</f>
        <v>0</v>
      </c>
      <c r="Q40" s="24">
        <f>0</f>
        <v>0</v>
      </c>
    </row>
    <row r="41" spans="1:17" ht="30" customHeight="1" x14ac:dyDescent="0.2">
      <c r="A41" s="25" t="s">
        <v>41</v>
      </c>
      <c r="B41" s="23">
        <f>176703441.81</f>
        <v>176703441.81</v>
      </c>
      <c r="C41" s="23">
        <f>176703441.81</f>
        <v>176703441.81</v>
      </c>
      <c r="D41" s="23">
        <f>117613498.09</f>
        <v>117613498.09</v>
      </c>
      <c r="E41" s="23">
        <f>95952.61</f>
        <v>95952.61</v>
      </c>
      <c r="F41" s="23">
        <f>4303566.2</f>
        <v>4303566.2</v>
      </c>
      <c r="G41" s="23">
        <f>113213979.28</f>
        <v>113213979.28</v>
      </c>
      <c r="H41" s="23">
        <f>0</f>
        <v>0</v>
      </c>
      <c r="I41" s="23">
        <f>0</f>
        <v>0</v>
      </c>
      <c r="J41" s="23">
        <f>0</f>
        <v>0</v>
      </c>
      <c r="K41" s="23">
        <f>0</f>
        <v>0</v>
      </c>
      <c r="L41" s="23">
        <f>44864408.68</f>
        <v>44864408.68</v>
      </c>
      <c r="M41" s="23">
        <f>12756647.07</f>
        <v>12756647.07</v>
      </c>
      <c r="N41" s="23">
        <f>1468887.97</f>
        <v>1468887.97</v>
      </c>
      <c r="O41" s="23">
        <f>0</f>
        <v>0</v>
      </c>
      <c r="P41" s="23">
        <f>0</f>
        <v>0</v>
      </c>
      <c r="Q41" s="23">
        <f>0</f>
        <v>0</v>
      </c>
    </row>
    <row r="42" spans="1:17" ht="25.5" customHeight="1" x14ac:dyDescent="0.2">
      <c r="A42" s="18" t="s">
        <v>31</v>
      </c>
      <c r="B42" s="24">
        <f>46112936.82</f>
        <v>46112936.82</v>
      </c>
      <c r="C42" s="24">
        <f>46112936.82</f>
        <v>46112936.82</v>
      </c>
      <c r="D42" s="24">
        <f>31020798.98</f>
        <v>31020798.98</v>
      </c>
      <c r="E42" s="24">
        <f>0</f>
        <v>0</v>
      </c>
      <c r="F42" s="24">
        <f>3250000</f>
        <v>3250000</v>
      </c>
      <c r="G42" s="24">
        <f>27770798.98</f>
        <v>27770798.98</v>
      </c>
      <c r="H42" s="24">
        <f>0</f>
        <v>0</v>
      </c>
      <c r="I42" s="24">
        <f>0</f>
        <v>0</v>
      </c>
      <c r="J42" s="24">
        <f>0</f>
        <v>0</v>
      </c>
      <c r="K42" s="24">
        <f>0</f>
        <v>0</v>
      </c>
      <c r="L42" s="24">
        <f>12764472.92</f>
        <v>12764472.92</v>
      </c>
      <c r="M42" s="24">
        <f>1777664.92</f>
        <v>1777664.92</v>
      </c>
      <c r="N42" s="24">
        <f>550000</f>
        <v>550000</v>
      </c>
      <c r="O42" s="24">
        <f>0</f>
        <v>0</v>
      </c>
      <c r="P42" s="24">
        <f>0</f>
        <v>0</v>
      </c>
      <c r="Q42" s="24">
        <f>0</f>
        <v>0</v>
      </c>
    </row>
    <row r="43" spans="1:17" ht="25.5" customHeight="1" x14ac:dyDescent="0.2">
      <c r="A43" s="18" t="s">
        <v>32</v>
      </c>
      <c r="B43" s="24">
        <f>130590504.99</f>
        <v>130590504.98999999</v>
      </c>
      <c r="C43" s="24">
        <f>130590504.99</f>
        <v>130590504.98999999</v>
      </c>
      <c r="D43" s="24">
        <f>86592699.11</f>
        <v>86592699.109999999</v>
      </c>
      <c r="E43" s="24">
        <f>95952.61</f>
        <v>95952.61</v>
      </c>
      <c r="F43" s="24">
        <f>1053566.2</f>
        <v>1053566.2</v>
      </c>
      <c r="G43" s="24">
        <f>85443180.3</f>
        <v>85443180.299999997</v>
      </c>
      <c r="H43" s="24">
        <f>0</f>
        <v>0</v>
      </c>
      <c r="I43" s="24">
        <f>0</f>
        <v>0</v>
      </c>
      <c r="J43" s="24">
        <f>0</f>
        <v>0</v>
      </c>
      <c r="K43" s="24">
        <f>0</f>
        <v>0</v>
      </c>
      <c r="L43" s="24">
        <f>32099935.76</f>
        <v>32099935.760000002</v>
      </c>
      <c r="M43" s="24">
        <f>10978982.15</f>
        <v>10978982.15</v>
      </c>
      <c r="N43" s="24">
        <f>918887.97</f>
        <v>918887.97</v>
      </c>
      <c r="O43" s="24">
        <f>0</f>
        <v>0</v>
      </c>
      <c r="P43" s="24">
        <f>0</f>
        <v>0</v>
      </c>
      <c r="Q43" s="24">
        <f>0</f>
        <v>0</v>
      </c>
    </row>
    <row r="44" spans="1:17" ht="30" customHeight="1" x14ac:dyDescent="0.2">
      <c r="A44" s="25" t="s">
        <v>42</v>
      </c>
      <c r="B44" s="23">
        <f>7943989351.25</f>
        <v>7943989351.25</v>
      </c>
      <c r="C44" s="23">
        <f>7943989351.25</f>
        <v>7943989351.25</v>
      </c>
      <c r="D44" s="23">
        <f>3172786.27</f>
        <v>3172786.27</v>
      </c>
      <c r="E44" s="23">
        <f>19874.76</f>
        <v>19874.759999999998</v>
      </c>
      <c r="F44" s="23">
        <f>263</f>
        <v>263</v>
      </c>
      <c r="G44" s="23">
        <f>3152648.51</f>
        <v>3152648.51</v>
      </c>
      <c r="H44" s="23">
        <f>0</f>
        <v>0</v>
      </c>
      <c r="I44" s="23">
        <f>5530610.66</f>
        <v>5530610.6600000001</v>
      </c>
      <c r="J44" s="23">
        <f>7935072734.09</f>
        <v>7935072734.0900002</v>
      </c>
      <c r="K44" s="23">
        <f>73157.18</f>
        <v>73157.179999999993</v>
      </c>
      <c r="L44" s="23">
        <f>43779.93</f>
        <v>43779.93</v>
      </c>
      <c r="M44" s="23">
        <f>2000</f>
        <v>2000</v>
      </c>
      <c r="N44" s="23">
        <f>94283.12</f>
        <v>94283.12</v>
      </c>
      <c r="O44" s="23">
        <f>0</f>
        <v>0</v>
      </c>
      <c r="P44" s="23">
        <f>0</f>
        <v>0</v>
      </c>
      <c r="Q44" s="23">
        <f>0</f>
        <v>0</v>
      </c>
    </row>
    <row r="45" spans="1:17" ht="25.5" customHeight="1" x14ac:dyDescent="0.2">
      <c r="A45" s="18" t="s">
        <v>33</v>
      </c>
      <c r="B45" s="24">
        <f>2479385.17</f>
        <v>2479385.17</v>
      </c>
      <c r="C45" s="24">
        <f>2479385.17</f>
        <v>2479385.17</v>
      </c>
      <c r="D45" s="24">
        <f>2479385.17</f>
        <v>2479385.17</v>
      </c>
      <c r="E45" s="24">
        <f>0</f>
        <v>0</v>
      </c>
      <c r="F45" s="24">
        <f>0</f>
        <v>0</v>
      </c>
      <c r="G45" s="24">
        <f>2479385.17</f>
        <v>2479385.17</v>
      </c>
      <c r="H45" s="24">
        <f>0</f>
        <v>0</v>
      </c>
      <c r="I45" s="24">
        <f>0</f>
        <v>0</v>
      </c>
      <c r="J45" s="24">
        <f>0</f>
        <v>0</v>
      </c>
      <c r="K45" s="24">
        <f>0</f>
        <v>0</v>
      </c>
      <c r="L45" s="24">
        <f>0</f>
        <v>0</v>
      </c>
      <c r="M45" s="24">
        <f>0</f>
        <v>0</v>
      </c>
      <c r="N45" s="24">
        <f>0</f>
        <v>0</v>
      </c>
      <c r="O45" s="24">
        <f>0</f>
        <v>0</v>
      </c>
      <c r="P45" s="24">
        <f>0</f>
        <v>0</v>
      </c>
      <c r="Q45" s="24">
        <f>0</f>
        <v>0</v>
      </c>
    </row>
    <row r="46" spans="1:17" ht="25.5" customHeight="1" x14ac:dyDescent="0.2">
      <c r="A46" s="18" t="s">
        <v>34</v>
      </c>
      <c r="B46" s="24">
        <f>6569420788.35</f>
        <v>6569420788.3500004</v>
      </c>
      <c r="C46" s="24">
        <f>6569420788.35</f>
        <v>6569420788.3500004</v>
      </c>
      <c r="D46" s="24">
        <f>672198.76</f>
        <v>672198.76</v>
      </c>
      <c r="E46" s="24">
        <f>536.23</f>
        <v>536.23</v>
      </c>
      <c r="F46" s="24">
        <f>263</f>
        <v>263</v>
      </c>
      <c r="G46" s="24">
        <f>671399.53</f>
        <v>671399.53</v>
      </c>
      <c r="H46" s="24">
        <f>0</f>
        <v>0</v>
      </c>
      <c r="I46" s="24">
        <f>5530610.66</f>
        <v>5530610.6600000001</v>
      </c>
      <c r="J46" s="24">
        <f>6563042930.67</f>
        <v>6563042930.6700001</v>
      </c>
      <c r="K46" s="24">
        <f>66747.48</f>
        <v>66747.48</v>
      </c>
      <c r="L46" s="24">
        <f>14017.66</f>
        <v>14017.66</v>
      </c>
      <c r="M46" s="24">
        <f>0</f>
        <v>0</v>
      </c>
      <c r="N46" s="24">
        <f>94283.12</f>
        <v>94283.12</v>
      </c>
      <c r="O46" s="24">
        <f>0</f>
        <v>0</v>
      </c>
      <c r="P46" s="24">
        <f>0</f>
        <v>0</v>
      </c>
      <c r="Q46" s="24">
        <f>0</f>
        <v>0</v>
      </c>
    </row>
    <row r="47" spans="1:17" ht="25.5" customHeight="1" x14ac:dyDescent="0.2">
      <c r="A47" s="18" t="s">
        <v>35</v>
      </c>
      <c r="B47" s="24">
        <f>1372089177.73</f>
        <v>1372089177.73</v>
      </c>
      <c r="C47" s="24">
        <f>1372089177.73</f>
        <v>1372089177.73</v>
      </c>
      <c r="D47" s="24">
        <f>21202.34</f>
        <v>21202.34</v>
      </c>
      <c r="E47" s="24">
        <f>19338.53</f>
        <v>19338.53</v>
      </c>
      <c r="F47" s="24">
        <f>0</f>
        <v>0</v>
      </c>
      <c r="G47" s="24">
        <f>1863.81</f>
        <v>1863.81</v>
      </c>
      <c r="H47" s="24">
        <f>0</f>
        <v>0</v>
      </c>
      <c r="I47" s="24">
        <f>0</f>
        <v>0</v>
      </c>
      <c r="J47" s="24">
        <f>1372029803.42</f>
        <v>1372029803.4200001</v>
      </c>
      <c r="K47" s="24">
        <f>6409.7</f>
        <v>6409.7</v>
      </c>
      <c r="L47" s="24">
        <f>29762.27</f>
        <v>29762.27</v>
      </c>
      <c r="M47" s="24">
        <f>2000</f>
        <v>2000</v>
      </c>
      <c r="N47" s="24">
        <f>0</f>
        <v>0</v>
      </c>
      <c r="O47" s="24">
        <f>0</f>
        <v>0</v>
      </c>
      <c r="P47" s="24">
        <f>0</f>
        <v>0</v>
      </c>
      <c r="Q47" s="24">
        <f>0</f>
        <v>0</v>
      </c>
    </row>
    <row r="48" spans="1:17" ht="30" customHeight="1" x14ac:dyDescent="0.2">
      <c r="A48" s="25" t="s">
        <v>43</v>
      </c>
      <c r="B48" s="23">
        <f>764897926.25</f>
        <v>764897926.25</v>
      </c>
      <c r="C48" s="23">
        <f>764029728.6</f>
        <v>764029728.60000002</v>
      </c>
      <c r="D48" s="23">
        <f>23289386.57</f>
        <v>23289386.57</v>
      </c>
      <c r="E48" s="23">
        <f>8015548.57</f>
        <v>8015548.5700000003</v>
      </c>
      <c r="F48" s="23">
        <f>369771.2</f>
        <v>369771.2</v>
      </c>
      <c r="G48" s="23">
        <f>14862823.9</f>
        <v>14862823.9</v>
      </c>
      <c r="H48" s="23">
        <f>41242.9</f>
        <v>41242.9</v>
      </c>
      <c r="I48" s="23">
        <f>0</f>
        <v>0</v>
      </c>
      <c r="J48" s="23">
        <f>3790909.17</f>
        <v>3790909.17</v>
      </c>
      <c r="K48" s="23">
        <f>1080852.47</f>
        <v>1080852.47</v>
      </c>
      <c r="L48" s="23">
        <f>221106555.87</f>
        <v>221106555.87</v>
      </c>
      <c r="M48" s="23">
        <f>510737052.07</f>
        <v>510737052.06999999</v>
      </c>
      <c r="N48" s="23">
        <f>4024972.45</f>
        <v>4024972.45</v>
      </c>
      <c r="O48" s="23">
        <f>868197.65</f>
        <v>868197.65</v>
      </c>
      <c r="P48" s="23">
        <f>292591.95</f>
        <v>292591.95</v>
      </c>
      <c r="Q48" s="23">
        <f>575605.7</f>
        <v>575605.69999999995</v>
      </c>
    </row>
    <row r="49" spans="1:17" ht="25.5" customHeight="1" x14ac:dyDescent="0.2">
      <c r="A49" s="18" t="s">
        <v>36</v>
      </c>
      <c r="B49" s="24">
        <f>160258805.58</f>
        <v>160258805.58000001</v>
      </c>
      <c r="C49" s="24">
        <f>160210576.42</f>
        <v>160210576.41999999</v>
      </c>
      <c r="D49" s="24">
        <f>2750716.32</f>
        <v>2750716.32</v>
      </c>
      <c r="E49" s="24">
        <f>29429.33</f>
        <v>29429.33</v>
      </c>
      <c r="F49" s="24">
        <f>334163.45</f>
        <v>334163.45</v>
      </c>
      <c r="G49" s="24">
        <f>2374890.58</f>
        <v>2374890.58</v>
      </c>
      <c r="H49" s="24">
        <f>12232.96</f>
        <v>12232.96</v>
      </c>
      <c r="I49" s="24">
        <f>0</f>
        <v>0</v>
      </c>
      <c r="J49" s="24">
        <f>750131.53</f>
        <v>750131.53</v>
      </c>
      <c r="K49" s="24">
        <f>876085.54</f>
        <v>876085.54</v>
      </c>
      <c r="L49" s="24">
        <f>65550928.46</f>
        <v>65550928.460000001</v>
      </c>
      <c r="M49" s="24">
        <f>89160080.9</f>
        <v>89160080.900000006</v>
      </c>
      <c r="N49" s="24">
        <f>1122633.67</f>
        <v>1122633.67</v>
      </c>
      <c r="O49" s="24">
        <f>48229.16</f>
        <v>48229.16</v>
      </c>
      <c r="P49" s="24">
        <f>48229.16</f>
        <v>48229.16</v>
      </c>
      <c r="Q49" s="24">
        <f>0</f>
        <v>0</v>
      </c>
    </row>
    <row r="50" spans="1:17" ht="25.5" customHeight="1" x14ac:dyDescent="0.2">
      <c r="A50" s="18" t="s">
        <v>37</v>
      </c>
      <c r="B50" s="24">
        <f>604639120.67</f>
        <v>604639120.66999996</v>
      </c>
      <c r="C50" s="24">
        <f>603819152.18</f>
        <v>603819152.17999995</v>
      </c>
      <c r="D50" s="24">
        <f>20538670.25</f>
        <v>20538670.25</v>
      </c>
      <c r="E50" s="24">
        <f>7986119.24</f>
        <v>7986119.2400000002</v>
      </c>
      <c r="F50" s="24">
        <f>35607.75</f>
        <v>35607.75</v>
      </c>
      <c r="G50" s="24">
        <f>12487933.32</f>
        <v>12487933.32</v>
      </c>
      <c r="H50" s="24">
        <f>29009.94</f>
        <v>29009.94</v>
      </c>
      <c r="I50" s="24">
        <f>0</f>
        <v>0</v>
      </c>
      <c r="J50" s="24">
        <f>3040777.64</f>
        <v>3040777.64</v>
      </c>
      <c r="K50" s="24">
        <f>204766.93</f>
        <v>204766.93</v>
      </c>
      <c r="L50" s="24">
        <f>155555627.41</f>
        <v>155555627.41</v>
      </c>
      <c r="M50" s="24">
        <f>421576971.17</f>
        <v>421576971.17000002</v>
      </c>
      <c r="N50" s="24">
        <f>2902338.78</f>
        <v>2902338.78</v>
      </c>
      <c r="O50" s="24">
        <f>819968.49</f>
        <v>819968.49</v>
      </c>
      <c r="P50" s="24">
        <f>244362.79</f>
        <v>244362.79</v>
      </c>
      <c r="Q50" s="24">
        <f>575605.7</f>
        <v>575605.69999999995</v>
      </c>
    </row>
    <row r="51" spans="1:17" ht="30" customHeight="1" x14ac:dyDescent="0.2">
      <c r="A51" s="25" t="s">
        <v>44</v>
      </c>
      <c r="B51" s="23">
        <f>762461165.82</f>
        <v>762461165.82000005</v>
      </c>
      <c r="C51" s="23">
        <f>762403092.73</f>
        <v>762403092.73000002</v>
      </c>
      <c r="D51" s="23">
        <f>245518509.09</f>
        <v>245518509.09</v>
      </c>
      <c r="E51" s="23">
        <f>32188662.73</f>
        <v>32188662.73</v>
      </c>
      <c r="F51" s="23">
        <f>1883095.86</f>
        <v>1883095.86</v>
      </c>
      <c r="G51" s="23">
        <f>200325482.31</f>
        <v>200325482.31</v>
      </c>
      <c r="H51" s="23">
        <f>11121268.19</f>
        <v>11121268.189999999</v>
      </c>
      <c r="I51" s="23">
        <f>0</f>
        <v>0</v>
      </c>
      <c r="J51" s="23">
        <f>644306.25</f>
        <v>644306.25</v>
      </c>
      <c r="K51" s="23">
        <f>9514002.95</f>
        <v>9514002.9499999993</v>
      </c>
      <c r="L51" s="23">
        <f>392946030.87</f>
        <v>392946030.87</v>
      </c>
      <c r="M51" s="23">
        <f>110675589.82</f>
        <v>110675589.81999999</v>
      </c>
      <c r="N51" s="23">
        <f>3104653.75</f>
        <v>3104653.75</v>
      </c>
      <c r="O51" s="23">
        <f>58073.09</f>
        <v>58073.09</v>
      </c>
      <c r="P51" s="23">
        <f>57352.14</f>
        <v>57352.14</v>
      </c>
      <c r="Q51" s="23">
        <f>720.95</f>
        <v>720.95</v>
      </c>
    </row>
    <row r="52" spans="1:17" ht="31.5" customHeight="1" x14ac:dyDescent="0.2">
      <c r="A52" s="18" t="s">
        <v>38</v>
      </c>
      <c r="B52" s="24">
        <f>114722409.93</f>
        <v>114722409.93000001</v>
      </c>
      <c r="C52" s="24">
        <f>114681707.52</f>
        <v>114681707.52</v>
      </c>
      <c r="D52" s="24">
        <f>47564642.07</f>
        <v>47564642.07</v>
      </c>
      <c r="E52" s="24">
        <f>876693.68</f>
        <v>876693.68</v>
      </c>
      <c r="F52" s="24">
        <f>381183.71</f>
        <v>381183.71</v>
      </c>
      <c r="G52" s="24">
        <f>42714736.03</f>
        <v>42714736.030000001</v>
      </c>
      <c r="H52" s="24">
        <f>3592028.65</f>
        <v>3592028.65</v>
      </c>
      <c r="I52" s="24">
        <f>0</f>
        <v>0</v>
      </c>
      <c r="J52" s="24">
        <f>166483.94</f>
        <v>166483.94</v>
      </c>
      <c r="K52" s="24">
        <f>286421.96</f>
        <v>286421.96000000002</v>
      </c>
      <c r="L52" s="24">
        <f>35645323.37</f>
        <v>35645323.369999997</v>
      </c>
      <c r="M52" s="24">
        <f>29527780.07</f>
        <v>29527780.07</v>
      </c>
      <c r="N52" s="24">
        <f>1491056.11</f>
        <v>1491056.11</v>
      </c>
      <c r="O52" s="24">
        <f>40702.41</f>
        <v>40702.410000000003</v>
      </c>
      <c r="P52" s="24">
        <f>40702.41</f>
        <v>40702.410000000003</v>
      </c>
      <c r="Q52" s="24">
        <f>0</f>
        <v>0</v>
      </c>
    </row>
    <row r="53" spans="1:17" ht="35.25" customHeight="1" x14ac:dyDescent="0.2">
      <c r="A53" s="18" t="s">
        <v>80</v>
      </c>
      <c r="B53" s="24">
        <f>1472775.69</f>
        <v>1472775.69</v>
      </c>
      <c r="C53" s="24">
        <f>1472775.69</f>
        <v>1472775.69</v>
      </c>
      <c r="D53" s="24">
        <f>1023108.64</f>
        <v>1023108.64</v>
      </c>
      <c r="E53" s="24">
        <f>442873.57</f>
        <v>442873.57</v>
      </c>
      <c r="F53" s="24">
        <f>73.39</f>
        <v>73.39</v>
      </c>
      <c r="G53" s="24">
        <f>342898.65</f>
        <v>342898.65</v>
      </c>
      <c r="H53" s="24">
        <f>237263.03</f>
        <v>237263.03</v>
      </c>
      <c r="I53" s="24">
        <f>0</f>
        <v>0</v>
      </c>
      <c r="J53" s="24">
        <f>0</f>
        <v>0</v>
      </c>
      <c r="K53" s="24">
        <f>47447.44</f>
        <v>47447.44</v>
      </c>
      <c r="L53" s="24">
        <f>10814.15</f>
        <v>10814.15</v>
      </c>
      <c r="M53" s="24">
        <f>109031.01</f>
        <v>109031.01</v>
      </c>
      <c r="N53" s="24">
        <f>282374.45</f>
        <v>282374.45</v>
      </c>
      <c r="O53" s="24">
        <f>0</f>
        <v>0</v>
      </c>
      <c r="P53" s="24">
        <f>0</f>
        <v>0</v>
      </c>
      <c r="Q53" s="24">
        <f>0</f>
        <v>0</v>
      </c>
    </row>
    <row r="54" spans="1:17" ht="31.5" customHeight="1" x14ac:dyDescent="0.2">
      <c r="A54" s="18" t="s">
        <v>39</v>
      </c>
      <c r="B54" s="24">
        <f>646265980.2</f>
        <v>646265980.20000005</v>
      </c>
      <c r="C54" s="24">
        <f>646248609.52</f>
        <v>646248609.51999998</v>
      </c>
      <c r="D54" s="24">
        <f>196930758.38</f>
        <v>196930758.38</v>
      </c>
      <c r="E54" s="24">
        <f>30869095.48</f>
        <v>30869095.48</v>
      </c>
      <c r="F54" s="24">
        <f>1501838.76</f>
        <v>1501838.76</v>
      </c>
      <c r="G54" s="24">
        <f>157267847.63</f>
        <v>157267847.63</v>
      </c>
      <c r="H54" s="24">
        <f>7291976.51</f>
        <v>7291976.5099999998</v>
      </c>
      <c r="I54" s="24">
        <f>0</f>
        <v>0</v>
      </c>
      <c r="J54" s="24">
        <f>477822.31</f>
        <v>477822.31</v>
      </c>
      <c r="K54" s="24">
        <f>9180133.55</f>
        <v>9180133.5500000007</v>
      </c>
      <c r="L54" s="24">
        <f>357289893.35</f>
        <v>357289893.35000002</v>
      </c>
      <c r="M54" s="24">
        <f>81038778.74</f>
        <v>81038778.739999995</v>
      </c>
      <c r="N54" s="24">
        <f>1331223.19</f>
        <v>1331223.19</v>
      </c>
      <c r="O54" s="24">
        <f>17370.68</f>
        <v>17370.68</v>
      </c>
      <c r="P54" s="24">
        <f>16649.73</f>
        <v>16649.73</v>
      </c>
      <c r="Q54" s="24">
        <f>720.95</f>
        <v>720.95</v>
      </c>
    </row>
    <row r="63" spans="1:17" ht="66" customHeight="1" x14ac:dyDescent="0.2">
      <c r="A63" s="31" t="str">
        <f>CONCATENATE("Informacja z wykonania budżetów powiatów za   ",$C$90," ",$B$91," roku    ",$B$93,"")</f>
        <v xml:space="preserve">Informacja z wykonania budżetów powiatów za   I Kwartał 2023 roku    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</row>
    <row r="64" spans="1:17" ht="13.5" customHeight="1" x14ac:dyDescent="0.2">
      <c r="B64" s="41" t="s">
        <v>2</v>
      </c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</row>
    <row r="66" spans="2:12" ht="13.5" customHeight="1" x14ac:dyDescent="0.2">
      <c r="B66" s="45" t="s">
        <v>0</v>
      </c>
      <c r="C66" s="46"/>
      <c r="D66" s="46"/>
      <c r="E66" s="47"/>
      <c r="F66" s="67" t="s">
        <v>68</v>
      </c>
      <c r="G66" s="42" t="s">
        <v>74</v>
      </c>
      <c r="H66" s="56"/>
      <c r="I66" s="56"/>
      <c r="J66" s="56"/>
      <c r="K66" s="56"/>
      <c r="L66" s="43"/>
    </row>
    <row r="67" spans="2:12" ht="13.5" customHeight="1" x14ac:dyDescent="0.2">
      <c r="B67" s="48"/>
      <c r="C67" s="49"/>
      <c r="D67" s="49"/>
      <c r="E67" s="50"/>
      <c r="F67" s="68"/>
      <c r="G67" s="70" t="s">
        <v>69</v>
      </c>
      <c r="H67" s="44" t="s">
        <v>66</v>
      </c>
      <c r="I67" s="44" t="s">
        <v>67</v>
      </c>
      <c r="J67" s="44" t="s">
        <v>70</v>
      </c>
      <c r="K67" s="44" t="s">
        <v>71</v>
      </c>
      <c r="L67" s="85" t="s">
        <v>72</v>
      </c>
    </row>
    <row r="68" spans="2:12" ht="13.5" customHeight="1" x14ac:dyDescent="0.2">
      <c r="B68" s="48"/>
      <c r="C68" s="49"/>
      <c r="D68" s="49"/>
      <c r="E68" s="50"/>
      <c r="F68" s="68"/>
      <c r="G68" s="70"/>
      <c r="H68" s="44"/>
      <c r="I68" s="44"/>
      <c r="J68" s="44"/>
      <c r="K68" s="44"/>
      <c r="L68" s="85"/>
    </row>
    <row r="69" spans="2:12" ht="11.25" customHeight="1" x14ac:dyDescent="0.2">
      <c r="B69" s="48"/>
      <c r="C69" s="49"/>
      <c r="D69" s="49"/>
      <c r="E69" s="50"/>
      <c r="F69" s="68"/>
      <c r="G69" s="70"/>
      <c r="H69" s="44"/>
      <c r="I69" s="44"/>
      <c r="J69" s="44"/>
      <c r="K69" s="44"/>
      <c r="L69" s="85"/>
    </row>
    <row r="70" spans="2:12" ht="11.25" customHeight="1" x14ac:dyDescent="0.2">
      <c r="B70" s="51"/>
      <c r="C70" s="52"/>
      <c r="D70" s="52"/>
      <c r="E70" s="53"/>
      <c r="F70" s="69"/>
      <c r="G70" s="70"/>
      <c r="H70" s="44"/>
      <c r="I70" s="44"/>
      <c r="J70" s="44"/>
      <c r="K70" s="44"/>
      <c r="L70" s="85"/>
    </row>
    <row r="71" spans="2:12" ht="11.25" customHeight="1" x14ac:dyDescent="0.2">
      <c r="B71" s="44">
        <v>1</v>
      </c>
      <c r="C71" s="44"/>
      <c r="D71" s="44"/>
      <c r="E71" s="44"/>
      <c r="F71" s="3">
        <v>2</v>
      </c>
      <c r="G71" s="3">
        <v>3</v>
      </c>
      <c r="H71" s="3">
        <v>4</v>
      </c>
      <c r="I71" s="3">
        <v>5</v>
      </c>
      <c r="J71" s="3">
        <v>6</v>
      </c>
      <c r="K71" s="3">
        <v>7</v>
      </c>
      <c r="L71" s="3">
        <v>8</v>
      </c>
    </row>
    <row r="72" spans="2:12" ht="12.75" customHeight="1" x14ac:dyDescent="0.2">
      <c r="B72" s="44"/>
      <c r="C72" s="44"/>
      <c r="D72" s="44"/>
      <c r="E72" s="44"/>
      <c r="F72" s="42" t="s">
        <v>76</v>
      </c>
      <c r="G72" s="83"/>
      <c r="H72" s="83"/>
      <c r="I72" s="83"/>
      <c r="J72" s="83"/>
      <c r="K72" s="83"/>
      <c r="L72" s="84"/>
    </row>
    <row r="73" spans="2:12" ht="33.75" customHeight="1" x14ac:dyDescent="0.2">
      <c r="B73" s="36" t="s">
        <v>53</v>
      </c>
      <c r="C73" s="37"/>
      <c r="D73" s="37"/>
      <c r="E73" s="38"/>
      <c r="F73" s="26">
        <f>534652904.33</f>
        <v>534652904.32999998</v>
      </c>
      <c r="G73" s="26">
        <f>300220356.88</f>
        <v>300220356.88</v>
      </c>
      <c r="H73" s="26">
        <f>20311247.77</f>
        <v>20311247.77</v>
      </c>
      <c r="I73" s="26">
        <f>34159625.74</f>
        <v>34159625.740000002</v>
      </c>
      <c r="J73" s="26">
        <f>241915857.57</f>
        <v>241915857.56999999</v>
      </c>
      <c r="K73" s="26">
        <f>3833625.8</f>
        <v>3833625.8</v>
      </c>
      <c r="L73" s="26">
        <f>234432547.45</f>
        <v>234432547.44999999</v>
      </c>
    </row>
    <row r="74" spans="2:12" ht="33.75" customHeight="1" x14ac:dyDescent="0.2">
      <c r="B74" s="36" t="s">
        <v>54</v>
      </c>
      <c r="C74" s="37"/>
      <c r="D74" s="37"/>
      <c r="E74" s="38"/>
      <c r="F74" s="26">
        <f>0</f>
        <v>0</v>
      </c>
      <c r="G74" s="26">
        <f>0</f>
        <v>0</v>
      </c>
      <c r="H74" s="26">
        <f>0</f>
        <v>0</v>
      </c>
      <c r="I74" s="26">
        <f>0</f>
        <v>0</v>
      </c>
      <c r="J74" s="26">
        <f>0</f>
        <v>0</v>
      </c>
      <c r="K74" s="26">
        <f>0</f>
        <v>0</v>
      </c>
      <c r="L74" s="26">
        <f>0</f>
        <v>0</v>
      </c>
    </row>
    <row r="75" spans="2:12" ht="33.75" customHeight="1" x14ac:dyDescent="0.2">
      <c r="B75" s="36" t="s">
        <v>55</v>
      </c>
      <c r="C75" s="37"/>
      <c r="D75" s="37"/>
      <c r="E75" s="38"/>
      <c r="F75" s="26">
        <f>11773224.94</f>
        <v>11773224.939999999</v>
      </c>
      <c r="G75" s="26">
        <f>3232336.09</f>
        <v>3232336.09</v>
      </c>
      <c r="H75" s="26">
        <f>0</f>
        <v>0</v>
      </c>
      <c r="I75" s="26">
        <f>0</f>
        <v>0</v>
      </c>
      <c r="J75" s="26">
        <f>3232336.09</f>
        <v>3232336.09</v>
      </c>
      <c r="K75" s="26">
        <f>0</f>
        <v>0</v>
      </c>
      <c r="L75" s="26">
        <f>8540888.85</f>
        <v>8540888.8499999996</v>
      </c>
    </row>
    <row r="76" spans="2:12" ht="22.5" customHeight="1" x14ac:dyDescent="0.2">
      <c r="B76" s="36" t="s">
        <v>56</v>
      </c>
      <c r="C76" s="37"/>
      <c r="D76" s="37"/>
      <c r="E76" s="38"/>
      <c r="F76" s="26">
        <f>39189528.06</f>
        <v>39189528.060000002</v>
      </c>
      <c r="G76" s="26">
        <f>16594790.12</f>
        <v>16594790.119999999</v>
      </c>
      <c r="H76" s="26">
        <f>0</f>
        <v>0</v>
      </c>
      <c r="I76" s="26">
        <f>0</f>
        <v>0</v>
      </c>
      <c r="J76" s="26">
        <f>16594790.12</f>
        <v>16594790.119999999</v>
      </c>
      <c r="K76" s="26">
        <f>0</f>
        <v>0</v>
      </c>
      <c r="L76" s="26">
        <f>22594737.94</f>
        <v>22594737.940000001</v>
      </c>
    </row>
    <row r="77" spans="2:12" ht="33.75" customHeight="1" x14ac:dyDescent="0.2">
      <c r="B77" s="36" t="s">
        <v>57</v>
      </c>
      <c r="C77" s="37"/>
      <c r="D77" s="37"/>
      <c r="E77" s="38"/>
      <c r="F77" s="26">
        <f>10205092.98</f>
        <v>10205092.98</v>
      </c>
      <c r="G77" s="26">
        <f>10205092.98</f>
        <v>10205092.98</v>
      </c>
      <c r="H77" s="26">
        <f>0</f>
        <v>0</v>
      </c>
      <c r="I77" s="26">
        <f>0</f>
        <v>0</v>
      </c>
      <c r="J77" s="26">
        <f>10205092.98</f>
        <v>10205092.98</v>
      </c>
      <c r="K77" s="26">
        <f>0</f>
        <v>0</v>
      </c>
      <c r="L77" s="26">
        <f>0</f>
        <v>0</v>
      </c>
    </row>
    <row r="78" spans="2:12" ht="33.75" customHeight="1" x14ac:dyDescent="0.2">
      <c r="B78" s="36" t="s">
        <v>58</v>
      </c>
      <c r="C78" s="37"/>
      <c r="D78" s="37"/>
      <c r="E78" s="38"/>
      <c r="F78" s="26">
        <f>162500</f>
        <v>162500</v>
      </c>
      <c r="G78" s="26">
        <f>62500</f>
        <v>62500</v>
      </c>
      <c r="H78" s="26">
        <f>0</f>
        <v>0</v>
      </c>
      <c r="I78" s="26">
        <f>0</f>
        <v>0</v>
      </c>
      <c r="J78" s="26">
        <f>62500</f>
        <v>62500</v>
      </c>
      <c r="K78" s="26">
        <f>0</f>
        <v>0</v>
      </c>
      <c r="L78" s="26">
        <f>100000</f>
        <v>100000</v>
      </c>
    </row>
    <row r="79" spans="2:12" ht="22.5" customHeight="1" x14ac:dyDescent="0.2">
      <c r="B79" s="36" t="s">
        <v>59</v>
      </c>
      <c r="C79" s="37"/>
      <c r="D79" s="37"/>
      <c r="E79" s="38"/>
      <c r="F79" s="26">
        <f>0</f>
        <v>0</v>
      </c>
      <c r="G79" s="26">
        <f>0</f>
        <v>0</v>
      </c>
      <c r="H79" s="26">
        <f>0</f>
        <v>0</v>
      </c>
      <c r="I79" s="26">
        <f>0</f>
        <v>0</v>
      </c>
      <c r="J79" s="26">
        <f>0</f>
        <v>0</v>
      </c>
      <c r="K79" s="26">
        <f>0</f>
        <v>0</v>
      </c>
      <c r="L79" s="26">
        <f>0</f>
        <v>0</v>
      </c>
    </row>
    <row r="82" spans="1:13" ht="75" customHeight="1" x14ac:dyDescent="0.2">
      <c r="A82" s="31" t="str">
        <f>CONCATENATE("Informacja z wykonania budżetów powiatów za   ",$C$90," ",$B$91," roku    ",$B$93,"")</f>
        <v xml:space="preserve">Informacja z wykonania budżetów powiatów za   I Kwartał 2023 roku    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ht="13.5" customHeight="1" x14ac:dyDescent="0.2">
      <c r="B83" s="4"/>
    </row>
    <row r="84" spans="1:13" ht="13.5" customHeight="1" x14ac:dyDescent="0.2">
      <c r="B84" s="5"/>
      <c r="C84" s="42"/>
      <c r="D84" s="56"/>
      <c r="E84" s="56"/>
      <c r="F84" s="43"/>
      <c r="G84" s="42" t="s">
        <v>3</v>
      </c>
      <c r="H84" s="43"/>
      <c r="I84" s="42" t="s">
        <v>4</v>
      </c>
      <c r="J84" s="43"/>
      <c r="K84" s="5"/>
    </row>
    <row r="85" spans="1:13" ht="13.5" customHeight="1" x14ac:dyDescent="0.2">
      <c r="B85" s="6"/>
      <c r="C85" s="57" t="s">
        <v>5</v>
      </c>
      <c r="D85" s="58"/>
      <c r="E85" s="58"/>
      <c r="F85" s="59"/>
      <c r="G85" s="54">
        <f>291</f>
        <v>291</v>
      </c>
      <c r="H85" s="55"/>
      <c r="I85" s="39">
        <f>1781575459.16</f>
        <v>1781575459.1600001</v>
      </c>
      <c r="J85" s="40"/>
      <c r="K85" s="7"/>
    </row>
    <row r="86" spans="1:13" ht="13.5" customHeight="1" x14ac:dyDescent="0.2">
      <c r="B86" s="6"/>
      <c r="C86" s="60" t="s">
        <v>6</v>
      </c>
      <c r="D86" s="61"/>
      <c r="E86" s="61"/>
      <c r="F86" s="62"/>
      <c r="G86" s="63">
        <f>23</f>
        <v>23</v>
      </c>
      <c r="H86" s="64"/>
      <c r="I86" s="65">
        <f>-30206809.02</f>
        <v>-30206809.02</v>
      </c>
      <c r="J86" s="66"/>
      <c r="K86" s="7"/>
    </row>
    <row r="87" spans="1:13" ht="13.5" customHeight="1" x14ac:dyDescent="0.2">
      <c r="B87" s="6"/>
      <c r="C87" s="57" t="s">
        <v>7</v>
      </c>
      <c r="D87" s="58"/>
      <c r="E87" s="58"/>
      <c r="F87" s="59"/>
      <c r="G87" s="54">
        <f>0</f>
        <v>0</v>
      </c>
      <c r="H87" s="55"/>
      <c r="I87" s="39">
        <f>0</f>
        <v>0</v>
      </c>
      <c r="J87" s="40"/>
      <c r="K87" s="7"/>
    </row>
    <row r="90" spans="1:13" ht="13.5" customHeight="1" x14ac:dyDescent="0.2">
      <c r="A90" s="8" t="s">
        <v>8</v>
      </c>
      <c r="B90" s="8">
        <f>1</f>
        <v>1</v>
      </c>
      <c r="C90" s="8" t="str">
        <f>IF(B90=1,"I Kwartał",IF(B90=2,"II Kwartały",IF(B90=3,"III Kwartały",IF(B90=4,"IV Kwartały","-"))))</f>
        <v>I Kwartał</v>
      </c>
    </row>
    <row r="91" spans="1:13" ht="13.5" customHeight="1" x14ac:dyDescent="0.2">
      <c r="A91" s="8" t="s">
        <v>9</v>
      </c>
      <c r="B91" s="8">
        <f>2023</f>
        <v>2023</v>
      </c>
      <c r="C91" s="9"/>
    </row>
    <row r="92" spans="1:13" ht="13.5" customHeight="1" x14ac:dyDescent="0.2">
      <c r="A92" s="8" t="s">
        <v>10</v>
      </c>
      <c r="B92" s="10" t="str">
        <f>"May 26 2023 12:00AM"</f>
        <v>May 26 2023 12:00AM</v>
      </c>
      <c r="C92" s="9"/>
    </row>
    <row r="93" spans="1:13" ht="13.5" customHeight="1" x14ac:dyDescent="0.2">
      <c r="A93" s="14" t="s">
        <v>75</v>
      </c>
      <c r="B93" s="10" t="str">
        <f>""</f>
        <v/>
      </c>
    </row>
  </sheetData>
  <mergeCells count="79">
    <mergeCell ref="B71:E71"/>
    <mergeCell ref="F72:L72"/>
    <mergeCell ref="L67:L70"/>
    <mergeCell ref="F32:F35"/>
    <mergeCell ref="G32:G35"/>
    <mergeCell ref="H32:H35"/>
    <mergeCell ref="K32:K35"/>
    <mergeCell ref="I32:I35"/>
    <mergeCell ref="J32:J35"/>
    <mergeCell ref="A31:A35"/>
    <mergeCell ref="C32:C35"/>
    <mergeCell ref="E32:E35"/>
    <mergeCell ref="B31:B35"/>
    <mergeCell ref="K67:K70"/>
    <mergeCell ref="H67:H70"/>
    <mergeCell ref="I67:I70"/>
    <mergeCell ref="J67:J70"/>
    <mergeCell ref="B37:Q37"/>
    <mergeCell ref="A29:M29"/>
    <mergeCell ref="G7:G10"/>
    <mergeCell ref="F7:F10"/>
    <mergeCell ref="I7:I10"/>
    <mergeCell ref="J7:J10"/>
    <mergeCell ref="B12:Q12"/>
    <mergeCell ref="A1:M1"/>
    <mergeCell ref="C5:M5"/>
    <mergeCell ref="A3:M3"/>
    <mergeCell ref="K7:K10"/>
    <mergeCell ref="C7:C10"/>
    <mergeCell ref="B6:B10"/>
    <mergeCell ref="A6:A10"/>
    <mergeCell ref="C6:N6"/>
    <mergeCell ref="D7:D10"/>
    <mergeCell ref="E7:E10"/>
    <mergeCell ref="L7:L10"/>
    <mergeCell ref="M7:M10"/>
    <mergeCell ref="N7:N10"/>
    <mergeCell ref="G87:H87"/>
    <mergeCell ref="I87:J87"/>
    <mergeCell ref="C84:F84"/>
    <mergeCell ref="C85:F85"/>
    <mergeCell ref="C86:F86"/>
    <mergeCell ref="C87:F87"/>
    <mergeCell ref="G85:H85"/>
    <mergeCell ref="G84:H84"/>
    <mergeCell ref="G86:H86"/>
    <mergeCell ref="I86:J86"/>
    <mergeCell ref="B78:E78"/>
    <mergeCell ref="I85:J85"/>
    <mergeCell ref="B64:M64"/>
    <mergeCell ref="I84:J84"/>
    <mergeCell ref="B72:E72"/>
    <mergeCell ref="B66:E70"/>
    <mergeCell ref="B79:E79"/>
    <mergeCell ref="A82:M82"/>
    <mergeCell ref="B75:E75"/>
    <mergeCell ref="B76:E76"/>
    <mergeCell ref="B77:E77"/>
    <mergeCell ref="B74:E74"/>
    <mergeCell ref="B73:E73"/>
    <mergeCell ref="F66:F70"/>
    <mergeCell ref="G67:G70"/>
    <mergeCell ref="G66:L66"/>
    <mergeCell ref="O6:Q6"/>
    <mergeCell ref="O7:O10"/>
    <mergeCell ref="A63:M63"/>
    <mergeCell ref="L32:L35"/>
    <mergeCell ref="P32:P35"/>
    <mergeCell ref="Q32:Q35"/>
    <mergeCell ref="N32:N35"/>
    <mergeCell ref="O32:O35"/>
    <mergeCell ref="D32:D35"/>
    <mergeCell ref="H7:H10"/>
    <mergeCell ref="M32:M35"/>
    <mergeCell ref="Q7:Q10"/>
    <mergeCell ref="C31:N31"/>
    <mergeCell ref="P7:P10"/>
    <mergeCell ref="A27:M27"/>
    <mergeCell ref="O31:Q31"/>
  </mergeCells>
  <phoneticPr fontId="4" type="noConversion"/>
  <pageMargins left="0.19685039370078741" right="0.19685039370078741" top="0.19685039370078741" bottom="0.19685039370078741" header="0" footer="0"/>
  <pageSetup paperSize="9" scale="69" orientation="landscape" useFirstPageNumber="1" horizontalDpi="300" verticalDpi="300" r:id="rId1"/>
  <headerFooter alignWithMargins="0">
    <oddFooter>&amp;L&amp;D&amp;Rstrona &amp;P z 3</oddFooter>
  </headerFooter>
  <rowBreaks count="2" manualBreakCount="2">
    <brk id="26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2009-11-20T13:10:55Z</cp:lastPrinted>
  <dcterms:created xsi:type="dcterms:W3CDTF">2001-05-17T08:58:03Z</dcterms:created>
  <dcterms:modified xsi:type="dcterms:W3CDTF">2023-06-01T13:56:28Z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UxC4dwLulzfINJ8nQH+xvX5LNGipWa4BRSZhPgxsCvkoSyW6oxOIkannjhetQWewJxpKYDbHrFlkYqkjpcojww==</vt:lpwstr>
  </property>
  <property fmtid="{D5CDD505-2E9C-101B-9397-08002B2CF9AE}" pid="4" name="MFClassificationDate">
    <vt:lpwstr>2023-06-01T15:41:35.2837933+02:00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GRN-a696d657-7fbf-4cdc-b72f-90caf3b3af87</vt:lpwstr>
  </property>
  <property fmtid="{D5CDD505-2E9C-101B-9397-08002B2CF9AE}" pid="7" name="MFHash">
    <vt:lpwstr>sVcVERR0I3GaE23aW16VhsPezyj8AJu+VNqYCQUzTo8=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