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T\ST7\BeSTi@\2022\III KWARTAŁ\www\MF\Zestawienia zbiorcze\"/>
    </mc:Choice>
  </mc:AlternateContent>
  <bookViews>
    <workbookView xWindow="0" yWindow="0" windowWidth="19200" windowHeight="7300"/>
  </bookViews>
  <sheets>
    <sheet name="zob_nal" sheetId="7" r:id="rId1"/>
  </sheets>
  <calcPr calcId="152511"/>
</workbook>
</file>

<file path=xl/calcChain.xml><?xml version="1.0" encoding="utf-8"?>
<calcChain xmlns="http://schemas.openxmlformats.org/spreadsheetml/2006/main">
  <c r="B96" i="7" l="1"/>
  <c r="B95" i="7"/>
  <c r="B94" i="7"/>
  <c r="B93" i="7"/>
  <c r="I90" i="7"/>
  <c r="G90" i="7"/>
  <c r="I89" i="7"/>
  <c r="G89" i="7"/>
  <c r="I88" i="7"/>
  <c r="G88" i="7"/>
  <c r="L82" i="7"/>
  <c r="K82" i="7"/>
  <c r="J82" i="7"/>
  <c r="I82" i="7"/>
  <c r="H82" i="7"/>
  <c r="G82" i="7"/>
  <c r="F82" i="7"/>
  <c r="L81" i="7"/>
  <c r="K81" i="7"/>
  <c r="J81" i="7"/>
  <c r="I81" i="7"/>
  <c r="H81" i="7"/>
  <c r="G81" i="7"/>
  <c r="F81" i="7"/>
  <c r="L80" i="7"/>
  <c r="K80" i="7"/>
  <c r="J80" i="7"/>
  <c r="I80" i="7"/>
  <c r="H80" i="7"/>
  <c r="G80" i="7"/>
  <c r="F80" i="7"/>
  <c r="L79" i="7"/>
  <c r="K79" i="7"/>
  <c r="J79" i="7"/>
  <c r="I79" i="7"/>
  <c r="H79" i="7"/>
  <c r="G79" i="7"/>
  <c r="F79" i="7"/>
  <c r="L78" i="7"/>
  <c r="K78" i="7"/>
  <c r="J78" i="7"/>
  <c r="I78" i="7"/>
  <c r="H78" i="7"/>
  <c r="G78" i="7"/>
  <c r="F78" i="7"/>
  <c r="L77" i="7"/>
  <c r="K77" i="7"/>
  <c r="J77" i="7"/>
  <c r="I77" i="7"/>
  <c r="H77" i="7"/>
  <c r="G77" i="7"/>
  <c r="F77" i="7"/>
  <c r="L76" i="7"/>
  <c r="K76" i="7"/>
  <c r="J76" i="7"/>
  <c r="I76" i="7"/>
  <c r="H76" i="7"/>
  <c r="G76" i="7"/>
  <c r="F7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C93" i="7"/>
  <c r="A85" i="7" s="1"/>
  <c r="A1" i="7" l="1"/>
  <c r="A29" i="7"/>
  <c r="A66" i="7"/>
</calcChain>
</file>

<file path=xl/sharedStrings.xml><?xml version="1.0" encoding="utf-8"?>
<sst xmlns="http://schemas.openxmlformats.org/spreadsheetml/2006/main" count="97" uniqueCount="81">
  <si>
    <t>Wyszczególnienie</t>
  </si>
  <si>
    <t>banku centralnego</t>
  </si>
  <si>
    <t>Poręczenia i gwarancje</t>
  </si>
  <si>
    <t>Liczba jednostek</t>
  </si>
  <si>
    <t>Wykonanie</t>
  </si>
  <si>
    <t>JST, których budżety zamknęły się nadwyżką</t>
  </si>
  <si>
    <t>JST, których budżety zamknęły się deficytem</t>
  </si>
  <si>
    <t>JST z budżetami zrównoważonymi</t>
  </si>
  <si>
    <t>kwartał</t>
  </si>
  <si>
    <t>rok</t>
  </si>
  <si>
    <t>stanNa</t>
  </si>
  <si>
    <t>A. Należności oraz wybrane aktywa finansowe</t>
  </si>
  <si>
    <t>kwota 
należności
ogółem
(kol. 3+15)</t>
  </si>
  <si>
    <t>ogółem 
(kol 4+9+10+11 +12+13+14)</t>
  </si>
  <si>
    <t>dłużnicy  krajowi</t>
  </si>
  <si>
    <t>sektor 
finansów 
publicznych 
ogółem 
(kol 5+6+7+8)</t>
  </si>
  <si>
    <t>banki</t>
  </si>
  <si>
    <t>pozostałe 
krajowe 
instytucje 
finansowe</t>
  </si>
  <si>
    <t>przedsiębiorstwa 
niefinansowe</t>
  </si>
  <si>
    <t>gospodarstwa 
domowe</t>
  </si>
  <si>
    <t>instytucje 
niekomercyjne 
działające
 na rzecz
gospodarstw
domowych</t>
  </si>
  <si>
    <t>ogółem
(kol. 16+17)</t>
  </si>
  <si>
    <t>podmioty 
należące 
do strefy 
euro</t>
  </si>
  <si>
    <t>pozostałe 
podmioty 
zagraniczne</t>
  </si>
  <si>
    <t xml:space="preserve">      dłużnicy zagraniczni</t>
  </si>
  <si>
    <t xml:space="preserve">grupa I </t>
  </si>
  <si>
    <t xml:space="preserve">grupa II </t>
  </si>
  <si>
    <t>grupa III</t>
  </si>
  <si>
    <t>grupa IV</t>
  </si>
  <si>
    <t>N1.1 krótkotermionowe</t>
  </si>
  <si>
    <t>N1.2  długoterminowe</t>
  </si>
  <si>
    <t>N2.1 krótkotermionowe</t>
  </si>
  <si>
    <t>N2.2 długoterminowe</t>
  </si>
  <si>
    <t>N3.1 gotówka</t>
  </si>
  <si>
    <t>N3.2 depozyty na żądanie</t>
  </si>
  <si>
    <t>N3.3 depozyty terminowe</t>
  </si>
  <si>
    <t>N4.1 z tytułu dostaw towarów i usług</t>
  </si>
  <si>
    <t>N4.2 pozostałe</t>
  </si>
  <si>
    <t>N5.1 z tytułu dostaw towarów i usług</t>
  </si>
  <si>
    <t>N5.3 z tytułu innych niż wymienione powyżej</t>
  </si>
  <si>
    <t>N1 papiery wartościowe (N1.1+N1.2)</t>
  </si>
  <si>
    <t>N2  pożyczki (N2.1+N2.2)</t>
  </si>
  <si>
    <t>N3 gotówka i depozyty (N3.1+N3.2+N3.3)</t>
  </si>
  <si>
    <t>N4 należności wymagalne (N4.1+N4.2)</t>
  </si>
  <si>
    <t>N5 pozostałe należności  (N5.1+N5.2+N5.3)</t>
  </si>
  <si>
    <t>E1 papiery wartościowe 
     (E1.1+E1.2)</t>
  </si>
  <si>
    <t>E1.1 krótkotermionowe</t>
  </si>
  <si>
    <t>E1.2 długoterminowe</t>
  </si>
  <si>
    <t>E2 kredyty i pożyczki 
     (E2.1+E2.2)</t>
  </si>
  <si>
    <t>E2.1 krótkotermionowe</t>
  </si>
  <si>
    <t>E2.2 długoterminowe</t>
  </si>
  <si>
    <t>E3 przyjęte depozyty</t>
  </si>
  <si>
    <t>E4  wymagalne zobowiązania 
     (E4.1+E4.2)</t>
  </si>
  <si>
    <t>E4.1 z tytułu dostaw towarów i usług</t>
  </si>
  <si>
    <t>E4.2 pozostałe</t>
  </si>
  <si>
    <t>F1 wartość nominalna niewymagalnych zobowiązań z tytułu udzielonych poręczeń i gwarancji na koniec okresu sprawozdawczego</t>
  </si>
  <si>
    <t>F2 wartość nominalna wymagalnych zobowiązań z tytułu udzielonych poręczeń i gwarancji na koniec okresu sprawozdawczego</t>
  </si>
  <si>
    <t>F3 wartość poręczeń i gwarancji udzielonych w okresie sprawozdawczym</t>
  </si>
  <si>
    <t>B1 należność główna z tytułu udzielonych gwarancji i poręczeń</t>
  </si>
  <si>
    <t>B2 odsetki ustawowe od nalezności głównej z tytułu udzielonych gwarancji i poręczeń</t>
  </si>
  <si>
    <t>B3 wartość spłat dokonanych w okresie sprawozdawczym za dłużników z tytułu udzielonych poręczeń i gwarancji (wydatki)</t>
  </si>
  <si>
    <t>B4 kwota odzyskanych wierzytelności w okresie sprawozdawczym od dłużników z tytułu poręczeń lub gwarancji (dochody)</t>
  </si>
  <si>
    <t>Zobowiązania według tytułów dłużnych (wg wartości nominalnej)</t>
  </si>
  <si>
    <t>kwota 
zadłużenia
ogółem
(kol. 3+15)</t>
  </si>
  <si>
    <t>ogółem 
(kol. 4+9+10+11 +12+13+14)</t>
  </si>
  <si>
    <t>bank 
centralny</t>
  </si>
  <si>
    <t xml:space="preserve">      wierzyciele zagraniczni</t>
  </si>
  <si>
    <t>wierzyciele krajowi</t>
  </si>
  <si>
    <t>grupa I</t>
  </si>
  <si>
    <t>grupa II</t>
  </si>
  <si>
    <t>kwota 
zadłużenia
ogółem
(kol. 3+8)</t>
  </si>
  <si>
    <t>podmioty 
sektora finansów 
publicznych 
(kol.4+5+6+7)</t>
  </si>
  <si>
    <t xml:space="preserve">grupa III </t>
  </si>
  <si>
    <t xml:space="preserve">grupa IV </t>
  </si>
  <si>
    <t>pozostałe
podmioty</t>
  </si>
  <si>
    <t>sektora finansów publicznych (kol.5+6+7+8)</t>
  </si>
  <si>
    <t>wierzyciele i dłużnicy</t>
  </si>
  <si>
    <t>tytul</t>
  </si>
  <si>
    <t>w złotych</t>
  </si>
  <si>
    <t>E  ZOBOWIĄZANIA WG TYTUŁÓW DŁUŻNYCH (E1+E2+E3+E4)</t>
  </si>
  <si>
    <t>N5.2 z tytułu podatków i składek na ubezpieczenia społ.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</si>
</sst>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33" x14ac:knownFonts="1">
    <font>
      <sz val="10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6"/>
      <name val="Arial"/>
      <family val="2"/>
      <charset val="238"/>
    </font>
    <font>
      <sz val="10"/>
      <name val="Arial"/>
      <charset val="238"/>
    </font>
    <font>
      <sz val="8"/>
      <name val="Arial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6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charset val="238"/>
    </font>
    <font>
      <b/>
      <sz val="8"/>
      <name val="Arial CE"/>
      <charset val="238"/>
    </font>
    <font>
      <sz val="8"/>
      <name val="Arial CE"/>
      <charset val="238"/>
    </font>
    <font>
      <sz val="14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1" applyNumberFormat="0" applyAlignment="0" applyProtection="0"/>
    <xf numFmtId="0" fontId="21" fillId="0" borderId="7" applyNumberFormat="0" applyFill="0" applyAlignment="0" applyProtection="0"/>
    <xf numFmtId="0" fontId="22" fillId="8" borderId="0" applyNumberFormat="0" applyBorder="0" applyAlignment="0" applyProtection="0"/>
    <xf numFmtId="0" fontId="4" fillId="0" borderId="0"/>
    <xf numFmtId="0" fontId="1" fillId="4" borderId="8" applyNumberFormat="0" applyFont="0" applyAlignment="0" applyProtection="0"/>
    <xf numFmtId="0" fontId="23" fillId="16" borderId="3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</cellStyleXfs>
  <cellXfs count="75">
    <xf numFmtId="0" fontId="0" fillId="0" borderId="0" xfId="0"/>
    <xf numFmtId="0" fontId="3" fillId="0" borderId="0" xfId="37" applyFont="1" applyAlignment="1">
      <alignment horizontal="center" vertical="center" wrapText="1"/>
    </xf>
    <xf numFmtId="0" fontId="4" fillId="0" borderId="0" xfId="37" applyAlignment="1">
      <alignment horizontal="center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4" fillId="0" borderId="0" xfId="37" applyFill="1" applyBorder="1" applyAlignment="1">
      <alignment horizontal="center" vertical="center" wrapText="1"/>
    </xf>
    <xf numFmtId="0" fontId="5" fillId="0" borderId="0" xfId="37" applyFont="1" applyFill="1" applyBorder="1" applyAlignment="1">
      <alignment horizontal="center" vertical="center" wrapText="1"/>
    </xf>
    <xf numFmtId="0" fontId="2" fillId="0" borderId="0" xfId="37" applyFont="1" applyFill="1" applyBorder="1" applyAlignment="1">
      <alignment horizontal="left" vertical="center" wrapText="1"/>
    </xf>
    <xf numFmtId="0" fontId="2" fillId="0" borderId="0" xfId="37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0" xfId="0" applyFont="1"/>
    <xf numFmtId="164" fontId="9" fillId="0" borderId="10" xfId="0" applyNumberFormat="1" applyFont="1" applyBorder="1"/>
    <xf numFmtId="0" fontId="27" fillId="0" borderId="0" xfId="37" applyFont="1" applyAlignment="1">
      <alignment horizontal="center" vertical="center" wrapText="1"/>
    </xf>
    <xf numFmtId="0" fontId="27" fillId="0" borderId="0" xfId="37" applyFont="1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4" fillId="0" borderId="10" xfId="37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indent="1"/>
    </xf>
    <xf numFmtId="4" fontId="7" fillId="0" borderId="0" xfId="37" applyNumberFormat="1" applyFont="1" applyBorder="1" applyAlignment="1">
      <alignment horizontal="right" vertical="center" wrapText="1"/>
    </xf>
    <xf numFmtId="0" fontId="2" fillId="0" borderId="10" xfId="37" applyFont="1" applyBorder="1" applyAlignment="1">
      <alignment horizontal="left" vertical="center" wrapText="1"/>
    </xf>
    <xf numFmtId="0" fontId="31" fillId="0" borderId="17" xfId="0" applyFont="1" applyFill="1" applyBorder="1" applyAlignment="1">
      <alignment vertical="center" wrapText="1"/>
    </xf>
    <xf numFmtId="0" fontId="8" fillId="20" borderId="10" xfId="37" applyFont="1" applyFill="1" applyBorder="1" applyAlignment="1">
      <alignment horizontal="left" vertical="center" wrapText="1"/>
    </xf>
    <xf numFmtId="4" fontId="2" fillId="20" borderId="10" xfId="37" applyNumberFormat="1" applyFont="1" applyFill="1" applyBorder="1" applyAlignment="1">
      <alignment horizontal="right" vertical="center" wrapText="1"/>
    </xf>
    <xf numFmtId="4" fontId="2" fillId="0" borderId="10" xfId="37" applyNumberFormat="1" applyFont="1" applyBorder="1" applyAlignment="1">
      <alignment horizontal="right" vertical="center" wrapText="1"/>
    </xf>
    <xf numFmtId="4" fontId="2" fillId="20" borderId="10" xfId="37" applyNumberFormat="1" applyFont="1" applyFill="1" applyBorder="1" applyAlignment="1">
      <alignment vertical="center" wrapText="1"/>
    </xf>
    <xf numFmtId="4" fontId="2" fillId="0" borderId="10" xfId="37" applyNumberFormat="1" applyFont="1" applyFill="1" applyBorder="1" applyAlignment="1">
      <alignment vertical="center" wrapText="1"/>
    </xf>
    <xf numFmtId="0" fontId="30" fillId="21" borderId="17" xfId="0" applyFont="1" applyFill="1" applyBorder="1" applyAlignment="1">
      <alignment vertical="center" wrapText="1"/>
    </xf>
    <xf numFmtId="4" fontId="2" fillId="0" borderId="10" xfId="37" applyNumberFormat="1" applyFont="1" applyFill="1" applyBorder="1" applyAlignment="1">
      <alignment horizontal="right" vertical="center" wrapText="1"/>
    </xf>
    <xf numFmtId="0" fontId="7" fillId="19" borderId="15" xfId="37" applyFont="1" applyFill="1" applyBorder="1" applyAlignment="1">
      <alignment horizontal="center" vertical="center" wrapText="1"/>
    </xf>
    <xf numFmtId="0" fontId="7" fillId="19" borderId="14" xfId="37" applyFont="1" applyFill="1" applyBorder="1" applyAlignment="1">
      <alignment horizontal="center" vertical="center" wrapText="1"/>
    </xf>
    <xf numFmtId="0" fontId="7" fillId="19" borderId="11" xfId="37" applyFont="1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32" fillId="0" borderId="0" xfId="37" applyFont="1" applyAlignment="1">
      <alignment horizontal="center" vertical="center" wrapText="1"/>
    </xf>
    <xf numFmtId="0" fontId="7" fillId="19" borderId="19" xfId="37" applyFont="1" applyFill="1" applyBorder="1" applyAlignment="1">
      <alignment horizontal="center" vertical="center" wrapText="1"/>
    </xf>
    <xf numFmtId="0" fontId="7" fillId="19" borderId="20" xfId="37" applyFont="1" applyFill="1" applyBorder="1" applyAlignment="1">
      <alignment horizontal="center" vertical="center" wrapText="1"/>
    </xf>
    <xf numFmtId="0" fontId="7" fillId="19" borderId="12" xfId="37" applyFont="1" applyFill="1" applyBorder="1" applyAlignment="1">
      <alignment horizontal="center" vertical="center" wrapText="1"/>
    </xf>
    <xf numFmtId="0" fontId="29" fillId="19" borderId="10" xfId="37" applyNumberFormat="1" applyFont="1" applyFill="1" applyBorder="1" applyAlignment="1">
      <alignment horizontal="center" vertical="center" wrapText="1"/>
    </xf>
    <xf numFmtId="0" fontId="2" fillId="0" borderId="15" xfId="37" applyFont="1" applyFill="1" applyBorder="1" applyAlignment="1">
      <alignment horizontal="left" vertical="center" wrapText="1"/>
    </xf>
    <xf numFmtId="0" fontId="2" fillId="0" borderId="14" xfId="37" applyFont="1" applyFill="1" applyBorder="1" applyAlignment="1">
      <alignment horizontal="left" vertical="center" wrapText="1"/>
    </xf>
    <xf numFmtId="0" fontId="2" fillId="0" borderId="11" xfId="37" applyFont="1" applyFill="1" applyBorder="1" applyAlignment="1">
      <alignment horizontal="left" vertical="center" wrapText="1"/>
    </xf>
    <xf numFmtId="4" fontId="2" fillId="0" borderId="15" xfId="37" applyNumberFormat="1" applyFont="1" applyFill="1" applyBorder="1" applyAlignment="1">
      <alignment horizontal="right" vertical="center" wrapText="1"/>
    </xf>
    <xf numFmtId="4" fontId="2" fillId="0" borderId="11" xfId="37" applyNumberFormat="1" applyFont="1" applyFill="1" applyBorder="1" applyAlignment="1">
      <alignment horizontal="right" vertical="center" wrapText="1"/>
    </xf>
    <xf numFmtId="0" fontId="6" fillId="0" borderId="0" xfId="37" applyFont="1" applyAlignment="1">
      <alignment horizontal="left" vertical="center" wrapText="1"/>
    </xf>
    <xf numFmtId="0" fontId="5" fillId="19" borderId="15" xfId="37" applyFont="1" applyFill="1" applyBorder="1" applyAlignment="1">
      <alignment horizontal="center" vertical="center" wrapText="1"/>
    </xf>
    <xf numFmtId="0" fontId="5" fillId="19" borderId="11" xfId="37" applyFont="1" applyFill="1" applyBorder="1" applyAlignment="1">
      <alignment horizontal="center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8" fillId="19" borderId="21" xfId="37" applyFont="1" applyFill="1" applyBorder="1" applyAlignment="1">
      <alignment horizontal="center" vertical="center" wrapText="1"/>
    </xf>
    <xf numFmtId="0" fontId="8" fillId="19" borderId="18" xfId="37" applyFont="1" applyFill="1" applyBorder="1" applyAlignment="1">
      <alignment horizontal="center" vertical="center" wrapText="1"/>
    </xf>
    <xf numFmtId="0" fontId="8" fillId="19" borderId="22" xfId="37" applyFont="1" applyFill="1" applyBorder="1" applyAlignment="1">
      <alignment horizontal="center" vertical="center" wrapText="1"/>
    </xf>
    <xf numFmtId="0" fontId="8" fillId="19" borderId="23" xfId="37" applyFont="1" applyFill="1" applyBorder="1" applyAlignment="1">
      <alignment horizontal="center" vertical="center" wrapText="1"/>
    </xf>
    <xf numFmtId="0" fontId="8" fillId="19" borderId="0" xfId="37" applyFont="1" applyFill="1" applyBorder="1" applyAlignment="1">
      <alignment horizontal="center" vertical="center" wrapText="1"/>
    </xf>
    <xf numFmtId="0" fontId="8" fillId="19" borderId="24" xfId="37" applyFont="1" applyFill="1" applyBorder="1" applyAlignment="1">
      <alignment horizontal="center" vertical="center" wrapText="1"/>
    </xf>
    <xf numFmtId="0" fontId="8" fillId="19" borderId="13" xfId="37" applyFont="1" applyFill="1" applyBorder="1" applyAlignment="1">
      <alignment horizontal="center" vertical="center" wrapText="1"/>
    </xf>
    <xf numFmtId="0" fontId="8" fillId="19" borderId="25" xfId="37" applyFont="1" applyFill="1" applyBorder="1" applyAlignment="1">
      <alignment horizontal="center" vertical="center" wrapText="1"/>
    </xf>
    <xf numFmtId="0" fontId="8" fillId="19" borderId="16" xfId="37" applyFont="1" applyFill="1" applyBorder="1" applyAlignment="1">
      <alignment horizontal="center" vertical="center" wrapText="1"/>
    </xf>
    <xf numFmtId="3" fontId="2" fillId="0" borderId="15" xfId="37" applyNumberFormat="1" applyFont="1" applyFill="1" applyBorder="1" applyAlignment="1">
      <alignment horizontal="right" vertical="center" wrapText="1"/>
    </xf>
    <xf numFmtId="3" fontId="2" fillId="0" borderId="11" xfId="37" applyNumberFormat="1" applyFont="1" applyFill="1" applyBorder="1" applyAlignment="1">
      <alignment horizontal="right" vertical="center" wrapText="1"/>
    </xf>
    <xf numFmtId="0" fontId="5" fillId="19" borderId="14" xfId="37" applyFont="1" applyFill="1" applyBorder="1" applyAlignment="1">
      <alignment horizontal="center" vertical="center" wrapText="1"/>
    </xf>
    <xf numFmtId="0" fontId="5" fillId="19" borderId="21" xfId="37" applyFont="1" applyFill="1" applyBorder="1" applyAlignment="1">
      <alignment horizontal="center" vertical="center" wrapText="1"/>
    </xf>
    <xf numFmtId="0" fontId="5" fillId="19" borderId="23" xfId="37" applyFont="1" applyFill="1" applyBorder="1" applyAlignment="1">
      <alignment horizontal="center" vertical="center" wrapText="1"/>
    </xf>
    <xf numFmtId="0" fontId="5" fillId="19" borderId="13" xfId="37" applyFont="1" applyFill="1" applyBorder="1" applyAlignment="1">
      <alignment horizontal="center" vertical="center" wrapText="1"/>
    </xf>
    <xf numFmtId="0" fontId="29" fillId="19" borderId="10" xfId="37" applyFont="1" applyFill="1" applyBorder="1" applyAlignment="1">
      <alignment horizontal="center" vertical="center" wrapText="1"/>
    </xf>
    <xf numFmtId="0" fontId="27" fillId="0" borderId="0" xfId="37" applyFont="1" applyFill="1" applyBorder="1" applyAlignment="1">
      <alignment horizontal="center" vertical="center" wrapText="1"/>
    </xf>
    <xf numFmtId="0" fontId="28" fillId="19" borderId="19" xfId="37" applyFont="1" applyFill="1" applyBorder="1" applyAlignment="1">
      <alignment horizontal="center" vertical="center" wrapText="1"/>
    </xf>
    <xf numFmtId="0" fontId="28" fillId="19" borderId="20" xfId="37" applyFont="1" applyFill="1" applyBorder="1" applyAlignment="1">
      <alignment horizontal="center" vertical="center" wrapText="1"/>
    </xf>
    <xf numFmtId="0" fontId="28" fillId="19" borderId="12" xfId="37" applyFont="1" applyFill="1" applyBorder="1" applyAlignment="1">
      <alignment horizontal="center" vertical="center" wrapText="1"/>
    </xf>
    <xf numFmtId="0" fontId="7" fillId="19" borderId="23" xfId="37" applyFont="1" applyFill="1" applyBorder="1" applyAlignment="1">
      <alignment horizontal="center" vertical="center" wrapText="1"/>
    </xf>
    <xf numFmtId="0" fontId="7" fillId="19" borderId="13" xfId="37" applyFont="1" applyFill="1" applyBorder="1" applyAlignment="1">
      <alignment horizontal="center" vertical="center" wrapText="1"/>
    </xf>
    <xf numFmtId="0" fontId="28" fillId="19" borderId="15" xfId="37" applyFont="1" applyFill="1" applyBorder="1" applyAlignment="1">
      <alignment horizontal="center" vertical="center" wrapText="1"/>
    </xf>
    <xf numFmtId="0" fontId="28" fillId="19" borderId="14" xfId="37" applyFont="1" applyFill="1" applyBorder="1" applyAlignment="1">
      <alignment horizontal="center" vertical="center" wrapText="1"/>
    </xf>
    <xf numFmtId="0" fontId="28" fillId="19" borderId="11" xfId="37" applyFont="1" applyFill="1" applyBorder="1" applyAlignment="1">
      <alignment horizontal="center" vertical="center" wrapText="1"/>
    </xf>
    <xf numFmtId="0" fontId="2" fillId="19" borderId="15" xfId="37" applyFont="1" applyFill="1" applyBorder="1" applyAlignment="1">
      <alignment horizontal="center" vertical="center" wrapText="1"/>
    </xf>
    <xf numFmtId="0" fontId="2" fillId="19" borderId="14" xfId="37" applyFont="1" applyFill="1" applyBorder="1" applyAlignment="1">
      <alignment horizontal="center" vertical="center" wrapText="1"/>
    </xf>
    <xf numFmtId="0" fontId="2" fillId="19" borderId="11" xfId="37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19" borderId="10" xfId="37" applyNumberFormat="1" applyFont="1" applyFill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y" xfId="0" builtinId="0"/>
    <cellStyle name="Normalny_Zeszyt1" xfId="37"/>
    <cellStyle name="Note" xfId="38"/>
    <cellStyle name="Output" xfId="39"/>
    <cellStyle name="Title" xfId="40"/>
    <cellStyle name="Total" xfId="41"/>
    <cellStyle name="Warning Text" xfId="4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Q96"/>
  <sheetViews>
    <sheetView tabSelected="1" zoomScaleNormal="100" zoomScaleSheetLayoutView="50" workbookViewId="0">
      <selection activeCell="A6" sqref="A6:A10"/>
    </sheetView>
  </sheetViews>
  <sheetFormatPr defaultColWidth="9.1796875" defaultRowHeight="13.5" customHeight="1" x14ac:dyDescent="0.25"/>
  <cols>
    <col min="1" max="1" width="22.54296875" style="2" customWidth="1"/>
    <col min="2" max="3" width="13.7265625" style="2" customWidth="1"/>
    <col min="4" max="6" width="11.453125" style="2" customWidth="1"/>
    <col min="7" max="7" width="12.1796875" style="2" customWidth="1"/>
    <col min="8" max="8" width="12" style="2" customWidth="1"/>
    <col min="9" max="9" width="11.7265625" style="2" customWidth="1"/>
    <col min="10" max="10" width="12.81640625" style="2" customWidth="1"/>
    <col min="11" max="11" width="12.1796875" style="2" customWidth="1"/>
    <col min="12" max="12" width="11.453125" style="2" customWidth="1"/>
    <col min="13" max="13" width="10" style="2" customWidth="1"/>
    <col min="14" max="14" width="10.26953125" style="2" customWidth="1"/>
    <col min="15" max="16" width="11.1796875" style="2" customWidth="1"/>
    <col min="17" max="16384" width="9.1796875" style="2"/>
  </cols>
  <sheetData>
    <row r="1" spans="1:17" ht="75" customHeight="1" x14ac:dyDescent="0.25">
      <c r="A1" s="30" t="str">
        <f>CONCATENATE("Informacja z wykonania budżetów województw za  ",$C$93," ",$B$94," roku    ",$B$96,"")</f>
        <v xml:space="preserve">Informacja z wykonania budżetów województw za  III Kwartały 2022 roku    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7" ht="13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3.5" customHeight="1" x14ac:dyDescent="0.25">
      <c r="A3" s="40" t="s">
        <v>62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5" spans="1:17" ht="13.5" customHeight="1" x14ac:dyDescent="0.25">
      <c r="B5" s="12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11"/>
      <c r="O5" s="11"/>
      <c r="P5" s="11"/>
      <c r="Q5" s="11"/>
    </row>
    <row r="6" spans="1:17" ht="13.5" customHeight="1" x14ac:dyDescent="0.25">
      <c r="A6" s="61" t="s">
        <v>0</v>
      </c>
      <c r="B6" s="31" t="s">
        <v>63</v>
      </c>
      <c r="C6" s="26" t="s">
        <v>67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8"/>
      <c r="O6" s="26" t="s">
        <v>66</v>
      </c>
      <c r="P6" s="27"/>
      <c r="Q6" s="28"/>
    </row>
    <row r="7" spans="1:17" ht="13.5" customHeight="1" x14ac:dyDescent="0.25">
      <c r="A7" s="62"/>
      <c r="B7" s="32"/>
      <c r="C7" s="33" t="s">
        <v>64</v>
      </c>
      <c r="D7" s="33" t="s">
        <v>75</v>
      </c>
      <c r="E7" s="33" t="s">
        <v>68</v>
      </c>
      <c r="F7" s="33" t="s">
        <v>69</v>
      </c>
      <c r="G7" s="33" t="s">
        <v>27</v>
      </c>
      <c r="H7" s="33" t="s">
        <v>28</v>
      </c>
      <c r="I7" s="64" t="s">
        <v>65</v>
      </c>
      <c r="J7" s="33" t="s">
        <v>16</v>
      </c>
      <c r="K7" s="33" t="s">
        <v>17</v>
      </c>
      <c r="L7" s="33" t="s">
        <v>18</v>
      </c>
      <c r="M7" s="33" t="s">
        <v>19</v>
      </c>
      <c r="N7" s="32" t="s">
        <v>20</v>
      </c>
      <c r="O7" s="29" t="s">
        <v>21</v>
      </c>
      <c r="P7" s="29" t="s">
        <v>22</v>
      </c>
      <c r="Q7" s="29" t="s">
        <v>23</v>
      </c>
    </row>
    <row r="8" spans="1:17" ht="13.5" customHeight="1" x14ac:dyDescent="0.25">
      <c r="A8" s="62"/>
      <c r="B8" s="32"/>
      <c r="C8" s="29"/>
      <c r="D8" s="29"/>
      <c r="E8" s="29"/>
      <c r="F8" s="29"/>
      <c r="G8" s="29"/>
      <c r="H8" s="29"/>
      <c r="I8" s="64"/>
      <c r="J8" s="29"/>
      <c r="K8" s="29"/>
      <c r="L8" s="29"/>
      <c r="M8" s="29"/>
      <c r="N8" s="32"/>
      <c r="O8" s="29"/>
      <c r="P8" s="29"/>
      <c r="Q8" s="29"/>
    </row>
    <row r="9" spans="1:17" ht="11.25" customHeight="1" x14ac:dyDescent="0.25">
      <c r="A9" s="62"/>
      <c r="B9" s="32"/>
      <c r="C9" s="29"/>
      <c r="D9" s="29"/>
      <c r="E9" s="29"/>
      <c r="F9" s="29"/>
      <c r="G9" s="29"/>
      <c r="H9" s="29"/>
      <c r="I9" s="64"/>
      <c r="J9" s="29"/>
      <c r="K9" s="29"/>
      <c r="L9" s="29"/>
      <c r="M9" s="29"/>
      <c r="N9" s="32"/>
      <c r="O9" s="29"/>
      <c r="P9" s="29"/>
      <c r="Q9" s="29"/>
    </row>
    <row r="10" spans="1:17" ht="27.75" customHeight="1" x14ac:dyDescent="0.25">
      <c r="A10" s="63"/>
      <c r="B10" s="33"/>
      <c r="C10" s="29"/>
      <c r="D10" s="29"/>
      <c r="E10" s="29"/>
      <c r="F10" s="29"/>
      <c r="G10" s="29"/>
      <c r="H10" s="29"/>
      <c r="I10" s="65"/>
      <c r="J10" s="29"/>
      <c r="K10" s="29"/>
      <c r="L10" s="29"/>
      <c r="M10" s="29"/>
      <c r="N10" s="33"/>
      <c r="O10" s="29"/>
      <c r="P10" s="29"/>
      <c r="Q10" s="29"/>
    </row>
    <row r="11" spans="1:17" ht="15" customHeight="1" x14ac:dyDescent="0.25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  <c r="H11" s="13">
        <v>8</v>
      </c>
      <c r="I11" s="13">
        <v>9</v>
      </c>
      <c r="J11" s="13">
        <v>10</v>
      </c>
      <c r="K11" s="13">
        <v>11</v>
      </c>
      <c r="L11" s="13">
        <v>12</v>
      </c>
      <c r="M11" s="13">
        <v>13</v>
      </c>
      <c r="N11" s="13">
        <v>14</v>
      </c>
      <c r="O11" s="13">
        <v>15</v>
      </c>
      <c r="P11" s="13">
        <v>16</v>
      </c>
      <c r="Q11" s="13">
        <v>17</v>
      </c>
    </row>
    <row r="12" spans="1:17" ht="13.5" customHeight="1" x14ac:dyDescent="0.25">
      <c r="A12" s="13"/>
      <c r="B12" s="69" t="s">
        <v>78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1"/>
    </row>
    <row r="13" spans="1:17" ht="43.5" customHeight="1" x14ac:dyDescent="0.25">
      <c r="A13" s="19" t="s">
        <v>79</v>
      </c>
      <c r="B13" s="20">
        <f>5250943453.67</f>
        <v>5250943453.6700001</v>
      </c>
      <c r="C13" s="20">
        <f>3105309080.9</f>
        <v>3105309080.9000001</v>
      </c>
      <c r="D13" s="20">
        <f>185012859.9</f>
        <v>185012859.90000001</v>
      </c>
      <c r="E13" s="20">
        <f>182000000</f>
        <v>182000000</v>
      </c>
      <c r="F13" s="20">
        <f>0</f>
        <v>0</v>
      </c>
      <c r="G13" s="20">
        <f>3012859.9</f>
        <v>3012859.9</v>
      </c>
      <c r="H13" s="20">
        <f>0</f>
        <v>0</v>
      </c>
      <c r="I13" s="20">
        <f>0</f>
        <v>0</v>
      </c>
      <c r="J13" s="20">
        <f>2692956885.65</f>
        <v>2692956885.6500001</v>
      </c>
      <c r="K13" s="20">
        <f>0</f>
        <v>0</v>
      </c>
      <c r="L13" s="20">
        <f>227042446.65</f>
        <v>227042446.65000001</v>
      </c>
      <c r="M13" s="20">
        <f>294834.6</f>
        <v>294834.59999999998</v>
      </c>
      <c r="N13" s="20">
        <f>2054.1</f>
        <v>2054.1</v>
      </c>
      <c r="O13" s="20">
        <f>2145634372.77</f>
        <v>2145634372.77</v>
      </c>
      <c r="P13" s="20">
        <f>2145634372.77</f>
        <v>2145634372.77</v>
      </c>
      <c r="Q13" s="20">
        <f>0</f>
        <v>0</v>
      </c>
    </row>
    <row r="14" spans="1:17" ht="28.5" customHeight="1" x14ac:dyDescent="0.25">
      <c r="A14" s="19" t="s">
        <v>45</v>
      </c>
      <c r="B14" s="20">
        <f>232750000</f>
        <v>232750000</v>
      </c>
      <c r="C14" s="20">
        <f>232750000</f>
        <v>232750000</v>
      </c>
      <c r="D14" s="20">
        <f>0</f>
        <v>0</v>
      </c>
      <c r="E14" s="20">
        <f>0</f>
        <v>0</v>
      </c>
      <c r="F14" s="20">
        <f>0</f>
        <v>0</v>
      </c>
      <c r="G14" s="20">
        <f>0</f>
        <v>0</v>
      </c>
      <c r="H14" s="20">
        <f>0</f>
        <v>0</v>
      </c>
      <c r="I14" s="20">
        <f>0</f>
        <v>0</v>
      </c>
      <c r="J14" s="20">
        <f>232750000</f>
        <v>232750000</v>
      </c>
      <c r="K14" s="20">
        <f>0</f>
        <v>0</v>
      </c>
      <c r="L14" s="20">
        <f>0</f>
        <v>0</v>
      </c>
      <c r="M14" s="20">
        <f>0</f>
        <v>0</v>
      </c>
      <c r="N14" s="20">
        <f>0</f>
        <v>0</v>
      </c>
      <c r="O14" s="20">
        <f>0</f>
        <v>0</v>
      </c>
      <c r="P14" s="20">
        <f>0</f>
        <v>0</v>
      </c>
      <c r="Q14" s="20">
        <f>0</f>
        <v>0</v>
      </c>
    </row>
    <row r="15" spans="1:17" ht="22.5" customHeight="1" x14ac:dyDescent="0.25">
      <c r="A15" s="17" t="s">
        <v>46</v>
      </c>
      <c r="B15" s="21">
        <f>0</f>
        <v>0</v>
      </c>
      <c r="C15" s="21">
        <f>0</f>
        <v>0</v>
      </c>
      <c r="D15" s="21">
        <f>0</f>
        <v>0</v>
      </c>
      <c r="E15" s="21">
        <f>0</f>
        <v>0</v>
      </c>
      <c r="F15" s="21">
        <f>0</f>
        <v>0</v>
      </c>
      <c r="G15" s="21">
        <f>0</f>
        <v>0</v>
      </c>
      <c r="H15" s="21">
        <f>0</f>
        <v>0</v>
      </c>
      <c r="I15" s="21">
        <f>0</f>
        <v>0</v>
      </c>
      <c r="J15" s="21">
        <f>0</f>
        <v>0</v>
      </c>
      <c r="K15" s="21">
        <f>0</f>
        <v>0</v>
      </c>
      <c r="L15" s="21">
        <f>0</f>
        <v>0</v>
      </c>
      <c r="M15" s="21">
        <f>0</f>
        <v>0</v>
      </c>
      <c r="N15" s="21">
        <f>0</f>
        <v>0</v>
      </c>
      <c r="O15" s="21">
        <f>0</f>
        <v>0</v>
      </c>
      <c r="P15" s="21">
        <f>0</f>
        <v>0</v>
      </c>
      <c r="Q15" s="21">
        <f>0</f>
        <v>0</v>
      </c>
    </row>
    <row r="16" spans="1:17" ht="22.5" customHeight="1" x14ac:dyDescent="0.25">
      <c r="A16" s="17" t="s">
        <v>47</v>
      </c>
      <c r="B16" s="21">
        <f>232750000</f>
        <v>232750000</v>
      </c>
      <c r="C16" s="21">
        <f>232750000</f>
        <v>232750000</v>
      </c>
      <c r="D16" s="21">
        <f>0</f>
        <v>0</v>
      </c>
      <c r="E16" s="21">
        <f>0</f>
        <v>0</v>
      </c>
      <c r="F16" s="21">
        <f>0</f>
        <v>0</v>
      </c>
      <c r="G16" s="21">
        <f>0</f>
        <v>0</v>
      </c>
      <c r="H16" s="21">
        <f>0</f>
        <v>0</v>
      </c>
      <c r="I16" s="21">
        <f>0</f>
        <v>0</v>
      </c>
      <c r="J16" s="21">
        <f>232750000</f>
        <v>232750000</v>
      </c>
      <c r="K16" s="21">
        <f>0</f>
        <v>0</v>
      </c>
      <c r="L16" s="21">
        <f>0</f>
        <v>0</v>
      </c>
      <c r="M16" s="21">
        <f>0</f>
        <v>0</v>
      </c>
      <c r="N16" s="21">
        <f>0</f>
        <v>0</v>
      </c>
      <c r="O16" s="21">
        <f>0</f>
        <v>0</v>
      </c>
      <c r="P16" s="21">
        <f>0</f>
        <v>0</v>
      </c>
      <c r="Q16" s="21">
        <f>0</f>
        <v>0</v>
      </c>
    </row>
    <row r="17" spans="1:17" ht="36" customHeight="1" x14ac:dyDescent="0.25">
      <c r="A17" s="19" t="s">
        <v>48</v>
      </c>
      <c r="B17" s="20">
        <f>5017085304.63</f>
        <v>5017085304.6300001</v>
      </c>
      <c r="C17" s="20">
        <f>2871450931.86</f>
        <v>2871450931.8600001</v>
      </c>
      <c r="D17" s="20">
        <f>184957160.21</f>
        <v>184957160.21000001</v>
      </c>
      <c r="E17" s="20">
        <f>182000000</f>
        <v>182000000</v>
      </c>
      <c r="F17" s="20">
        <f>0</f>
        <v>0</v>
      </c>
      <c r="G17" s="20">
        <f>2957160.21</f>
        <v>2957160.21</v>
      </c>
      <c r="H17" s="20">
        <f>0</f>
        <v>0</v>
      </c>
      <c r="I17" s="20">
        <f>0</f>
        <v>0</v>
      </c>
      <c r="J17" s="20">
        <f>2460195621.65</f>
        <v>2460195621.6500001</v>
      </c>
      <c r="K17" s="20">
        <f>0</f>
        <v>0</v>
      </c>
      <c r="L17" s="20">
        <f>226298150</f>
        <v>226298150</v>
      </c>
      <c r="M17" s="20">
        <f>0</f>
        <v>0</v>
      </c>
      <c r="N17" s="20">
        <f>0</f>
        <v>0</v>
      </c>
      <c r="O17" s="20">
        <f>2145634372.77</f>
        <v>2145634372.77</v>
      </c>
      <c r="P17" s="20">
        <f>2145634372.77</f>
        <v>2145634372.77</v>
      </c>
      <c r="Q17" s="20">
        <f>0</f>
        <v>0</v>
      </c>
    </row>
    <row r="18" spans="1:17" ht="22.5" customHeight="1" x14ac:dyDescent="0.25">
      <c r="A18" s="17" t="s">
        <v>49</v>
      </c>
      <c r="B18" s="21">
        <f>0</f>
        <v>0</v>
      </c>
      <c r="C18" s="21">
        <f>0</f>
        <v>0</v>
      </c>
      <c r="D18" s="21">
        <f>0</f>
        <v>0</v>
      </c>
      <c r="E18" s="21">
        <f>0</f>
        <v>0</v>
      </c>
      <c r="F18" s="21">
        <f>0</f>
        <v>0</v>
      </c>
      <c r="G18" s="21">
        <f>0</f>
        <v>0</v>
      </c>
      <c r="H18" s="21">
        <f>0</f>
        <v>0</v>
      </c>
      <c r="I18" s="21">
        <f>0</f>
        <v>0</v>
      </c>
      <c r="J18" s="21">
        <f>0</f>
        <v>0</v>
      </c>
      <c r="K18" s="21">
        <f>0</f>
        <v>0</v>
      </c>
      <c r="L18" s="21">
        <f>0</f>
        <v>0</v>
      </c>
      <c r="M18" s="21">
        <f>0</f>
        <v>0</v>
      </c>
      <c r="N18" s="21">
        <f>0</f>
        <v>0</v>
      </c>
      <c r="O18" s="21">
        <f>0</f>
        <v>0</v>
      </c>
      <c r="P18" s="21">
        <f>0</f>
        <v>0</v>
      </c>
      <c r="Q18" s="21">
        <f>0</f>
        <v>0</v>
      </c>
    </row>
    <row r="19" spans="1:17" ht="22.5" customHeight="1" x14ac:dyDescent="0.25">
      <c r="A19" s="17" t="s">
        <v>50</v>
      </c>
      <c r="B19" s="21">
        <f>5017085304.63</f>
        <v>5017085304.6300001</v>
      </c>
      <c r="C19" s="21">
        <f>2871450931.86</f>
        <v>2871450931.8600001</v>
      </c>
      <c r="D19" s="21">
        <f>184957160.21</f>
        <v>184957160.21000001</v>
      </c>
      <c r="E19" s="21">
        <f>182000000</f>
        <v>182000000</v>
      </c>
      <c r="F19" s="21">
        <f>0</f>
        <v>0</v>
      </c>
      <c r="G19" s="21">
        <f>2957160.21</f>
        <v>2957160.21</v>
      </c>
      <c r="H19" s="21">
        <f>0</f>
        <v>0</v>
      </c>
      <c r="I19" s="21">
        <f>0</f>
        <v>0</v>
      </c>
      <c r="J19" s="21">
        <f>2460195621.65</f>
        <v>2460195621.6500001</v>
      </c>
      <c r="K19" s="21">
        <f>0</f>
        <v>0</v>
      </c>
      <c r="L19" s="21">
        <f>226298150</f>
        <v>226298150</v>
      </c>
      <c r="M19" s="21">
        <f>0</f>
        <v>0</v>
      </c>
      <c r="N19" s="21">
        <f>0</f>
        <v>0</v>
      </c>
      <c r="O19" s="21">
        <f>2145634372.77</f>
        <v>2145634372.77</v>
      </c>
      <c r="P19" s="21">
        <f>2145634372.77</f>
        <v>2145634372.77</v>
      </c>
      <c r="Q19" s="21">
        <f>0</f>
        <v>0</v>
      </c>
    </row>
    <row r="20" spans="1:17" ht="36" customHeight="1" x14ac:dyDescent="0.25">
      <c r="A20" s="19" t="s">
        <v>51</v>
      </c>
      <c r="B20" s="20">
        <f>0</f>
        <v>0</v>
      </c>
      <c r="C20" s="20">
        <f>0</f>
        <v>0</v>
      </c>
      <c r="D20" s="20">
        <f>0</f>
        <v>0</v>
      </c>
      <c r="E20" s="20">
        <f>0</f>
        <v>0</v>
      </c>
      <c r="F20" s="20">
        <f>0</f>
        <v>0</v>
      </c>
      <c r="G20" s="20">
        <f>0</f>
        <v>0</v>
      </c>
      <c r="H20" s="20">
        <f>0</f>
        <v>0</v>
      </c>
      <c r="I20" s="20">
        <f>0</f>
        <v>0</v>
      </c>
      <c r="J20" s="20">
        <f>0</f>
        <v>0</v>
      </c>
      <c r="K20" s="20">
        <f>0</f>
        <v>0</v>
      </c>
      <c r="L20" s="20">
        <f>0</f>
        <v>0</v>
      </c>
      <c r="M20" s="20">
        <f>0</f>
        <v>0</v>
      </c>
      <c r="N20" s="20">
        <f>0</f>
        <v>0</v>
      </c>
      <c r="O20" s="20">
        <f>0</f>
        <v>0</v>
      </c>
      <c r="P20" s="20">
        <f>0</f>
        <v>0</v>
      </c>
      <c r="Q20" s="20">
        <f>0</f>
        <v>0</v>
      </c>
    </row>
    <row r="21" spans="1:17" ht="36" customHeight="1" x14ac:dyDescent="0.25">
      <c r="A21" s="19" t="s">
        <v>52</v>
      </c>
      <c r="B21" s="20">
        <f>1108149.04</f>
        <v>1108149.04</v>
      </c>
      <c r="C21" s="20">
        <f>1108149.04</f>
        <v>1108149.04</v>
      </c>
      <c r="D21" s="20">
        <f>55699.69</f>
        <v>55699.69</v>
      </c>
      <c r="E21" s="20">
        <f>0</f>
        <v>0</v>
      </c>
      <c r="F21" s="20">
        <f>0</f>
        <v>0</v>
      </c>
      <c r="G21" s="20">
        <f>55699.69</f>
        <v>55699.69</v>
      </c>
      <c r="H21" s="20">
        <f>0</f>
        <v>0</v>
      </c>
      <c r="I21" s="20">
        <f>0</f>
        <v>0</v>
      </c>
      <c r="J21" s="20">
        <f>11264</f>
        <v>11264</v>
      </c>
      <c r="K21" s="20">
        <f>0</f>
        <v>0</v>
      </c>
      <c r="L21" s="20">
        <f>744296.65</f>
        <v>744296.65</v>
      </c>
      <c r="M21" s="20">
        <f>294834.6</f>
        <v>294834.59999999998</v>
      </c>
      <c r="N21" s="20">
        <f>2054.1</f>
        <v>2054.1</v>
      </c>
      <c r="O21" s="20">
        <f>0</f>
        <v>0</v>
      </c>
      <c r="P21" s="20">
        <f>0</f>
        <v>0</v>
      </c>
      <c r="Q21" s="20">
        <f>0</f>
        <v>0</v>
      </c>
    </row>
    <row r="22" spans="1:17" ht="30" customHeight="1" x14ac:dyDescent="0.25">
      <c r="A22" s="17" t="s">
        <v>53</v>
      </c>
      <c r="B22" s="21">
        <f>790502.86</f>
        <v>790502.86</v>
      </c>
      <c r="C22" s="21">
        <f>790502.86</f>
        <v>790502.86</v>
      </c>
      <c r="D22" s="21">
        <f>55699.69</f>
        <v>55699.69</v>
      </c>
      <c r="E22" s="21">
        <f>0</f>
        <v>0</v>
      </c>
      <c r="F22" s="21">
        <f>0</f>
        <v>0</v>
      </c>
      <c r="G22" s="21">
        <f>55699.69</f>
        <v>55699.69</v>
      </c>
      <c r="H22" s="21">
        <f>0</f>
        <v>0</v>
      </c>
      <c r="I22" s="21">
        <f>0</f>
        <v>0</v>
      </c>
      <c r="J22" s="21">
        <f>0</f>
        <v>0</v>
      </c>
      <c r="K22" s="21">
        <f>0</f>
        <v>0</v>
      </c>
      <c r="L22" s="21">
        <f>710964.65</f>
        <v>710964.65</v>
      </c>
      <c r="M22" s="21">
        <f>21784.42</f>
        <v>21784.42</v>
      </c>
      <c r="N22" s="21">
        <f>2054.1</f>
        <v>2054.1</v>
      </c>
      <c r="O22" s="21">
        <f>0</f>
        <v>0</v>
      </c>
      <c r="P22" s="21">
        <f>0</f>
        <v>0</v>
      </c>
      <c r="Q22" s="21">
        <f>0</f>
        <v>0</v>
      </c>
    </row>
    <row r="23" spans="1:17" ht="28.5" customHeight="1" x14ac:dyDescent="0.25">
      <c r="A23" s="17" t="s">
        <v>54</v>
      </c>
      <c r="B23" s="21">
        <f>317646.18</f>
        <v>317646.18</v>
      </c>
      <c r="C23" s="21">
        <f>317646.18</f>
        <v>317646.18</v>
      </c>
      <c r="D23" s="21">
        <f>0</f>
        <v>0</v>
      </c>
      <c r="E23" s="21">
        <f>0</f>
        <v>0</v>
      </c>
      <c r="F23" s="21">
        <f>0</f>
        <v>0</v>
      </c>
      <c r="G23" s="21">
        <f>0</f>
        <v>0</v>
      </c>
      <c r="H23" s="21">
        <f>0</f>
        <v>0</v>
      </c>
      <c r="I23" s="21">
        <f>0</f>
        <v>0</v>
      </c>
      <c r="J23" s="21">
        <f>11264</f>
        <v>11264</v>
      </c>
      <c r="K23" s="21">
        <f>0</f>
        <v>0</v>
      </c>
      <c r="L23" s="21">
        <f>33332</f>
        <v>33332</v>
      </c>
      <c r="M23" s="21">
        <f>273050.18</f>
        <v>273050.18</v>
      </c>
      <c r="N23" s="21">
        <f>0</f>
        <v>0</v>
      </c>
      <c r="O23" s="21">
        <f>0</f>
        <v>0</v>
      </c>
      <c r="P23" s="21">
        <f>0</f>
        <v>0</v>
      </c>
      <c r="Q23" s="21">
        <f>0</f>
        <v>0</v>
      </c>
    </row>
    <row r="24" spans="1:17" ht="19.5" customHeight="1" x14ac:dyDescent="0.2">
      <c r="A24" s="15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ht="19.5" customHeight="1" x14ac:dyDescent="0.2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ht="19.5" customHeight="1" x14ac:dyDescent="0.2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7" ht="19.5" customHeight="1" x14ac:dyDescent="0.2">
      <c r="A27" s="15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19.5" customHeight="1" x14ac:dyDescent="0.2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ht="45.75" customHeight="1" x14ac:dyDescent="0.25">
      <c r="A29" s="30" t="str">
        <f>CONCATENATE("Informacja z wykonania budżetów województw za  ",$C$93," ",$B$94," roku    ",$B$96,"")</f>
        <v xml:space="preserve">Informacja z wykonania budżetów województw za  III Kwartały 2022 roku    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</row>
    <row r="31" spans="1:17" ht="13.5" customHeight="1" x14ac:dyDescent="0.25">
      <c r="A31" s="40" t="s">
        <v>11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</row>
    <row r="33" spans="1:17" ht="13.5" customHeight="1" x14ac:dyDescent="0.25">
      <c r="A33" s="61" t="s">
        <v>0</v>
      </c>
      <c r="B33" s="31" t="s">
        <v>12</v>
      </c>
      <c r="C33" s="66" t="s">
        <v>14</v>
      </c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8"/>
      <c r="O33" s="66" t="s">
        <v>24</v>
      </c>
      <c r="P33" s="67"/>
      <c r="Q33" s="68"/>
    </row>
    <row r="34" spans="1:17" ht="13.5" customHeight="1" x14ac:dyDescent="0.25">
      <c r="A34" s="62"/>
      <c r="B34" s="32"/>
      <c r="C34" s="32" t="s">
        <v>13</v>
      </c>
      <c r="D34" s="29" t="s">
        <v>15</v>
      </c>
      <c r="E34" s="29" t="s">
        <v>25</v>
      </c>
      <c r="F34" s="29" t="s">
        <v>26</v>
      </c>
      <c r="G34" s="29" t="s">
        <v>72</v>
      </c>
      <c r="H34" s="29" t="s">
        <v>28</v>
      </c>
      <c r="I34" s="29" t="s">
        <v>1</v>
      </c>
      <c r="J34" s="29" t="s">
        <v>16</v>
      </c>
      <c r="K34" s="29" t="s">
        <v>17</v>
      </c>
      <c r="L34" s="29" t="s">
        <v>18</v>
      </c>
      <c r="M34" s="29" t="s">
        <v>19</v>
      </c>
      <c r="N34" s="34" t="s">
        <v>20</v>
      </c>
      <c r="O34" s="29" t="s">
        <v>21</v>
      </c>
      <c r="P34" s="29" t="s">
        <v>22</v>
      </c>
      <c r="Q34" s="31" t="s">
        <v>23</v>
      </c>
    </row>
    <row r="35" spans="1:17" ht="13.5" customHeight="1" x14ac:dyDescent="0.25">
      <c r="A35" s="62"/>
      <c r="B35" s="32"/>
      <c r="C35" s="32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34"/>
      <c r="O35" s="29"/>
      <c r="P35" s="29"/>
      <c r="Q35" s="32"/>
    </row>
    <row r="36" spans="1:17" ht="11.25" customHeight="1" x14ac:dyDescent="0.25">
      <c r="A36" s="62"/>
      <c r="B36" s="32"/>
      <c r="C36" s="32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34"/>
      <c r="O36" s="29"/>
      <c r="P36" s="29"/>
      <c r="Q36" s="32"/>
    </row>
    <row r="37" spans="1:17" ht="11.25" customHeight="1" x14ac:dyDescent="0.25">
      <c r="A37" s="63"/>
      <c r="B37" s="33"/>
      <c r="C37" s="33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4"/>
      <c r="O37" s="29"/>
      <c r="P37" s="29"/>
      <c r="Q37" s="33"/>
    </row>
    <row r="38" spans="1:17" ht="11.25" customHeight="1" x14ac:dyDescent="0.25">
      <c r="A38" s="13">
        <v>1</v>
      </c>
      <c r="B38" s="13">
        <v>2</v>
      </c>
      <c r="C38" s="13">
        <v>3</v>
      </c>
      <c r="D38" s="13">
        <v>4</v>
      </c>
      <c r="E38" s="13">
        <v>5</v>
      </c>
      <c r="F38" s="13">
        <v>6</v>
      </c>
      <c r="G38" s="13">
        <v>7</v>
      </c>
      <c r="H38" s="13">
        <v>8</v>
      </c>
      <c r="I38" s="13">
        <v>9</v>
      </c>
      <c r="J38" s="13">
        <v>10</v>
      </c>
      <c r="K38" s="13">
        <v>11</v>
      </c>
      <c r="L38" s="13">
        <v>12</v>
      </c>
      <c r="M38" s="13">
        <v>13</v>
      </c>
      <c r="N38" s="13">
        <v>14</v>
      </c>
      <c r="O38" s="13">
        <v>15</v>
      </c>
      <c r="P38" s="13">
        <v>16</v>
      </c>
      <c r="Q38" s="13">
        <v>17</v>
      </c>
    </row>
    <row r="39" spans="1:17" ht="13.5" customHeight="1" x14ac:dyDescent="0.25">
      <c r="A39" s="13"/>
      <c r="B39" s="69" t="s">
        <v>78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1"/>
    </row>
    <row r="40" spans="1:17" ht="30.75" customHeight="1" x14ac:dyDescent="0.25">
      <c r="A40" s="24" t="s">
        <v>40</v>
      </c>
      <c r="B40" s="22">
        <f>0</f>
        <v>0</v>
      </c>
      <c r="C40" s="22">
        <f>0</f>
        <v>0</v>
      </c>
      <c r="D40" s="22">
        <f>0</f>
        <v>0</v>
      </c>
      <c r="E40" s="22">
        <f>0</f>
        <v>0</v>
      </c>
      <c r="F40" s="22">
        <f>0</f>
        <v>0</v>
      </c>
      <c r="G40" s="22">
        <f>0</f>
        <v>0</v>
      </c>
      <c r="H40" s="22">
        <f>0</f>
        <v>0</v>
      </c>
      <c r="I40" s="22">
        <f>0</f>
        <v>0</v>
      </c>
      <c r="J40" s="22">
        <f>0</f>
        <v>0</v>
      </c>
      <c r="K40" s="22">
        <f>0</f>
        <v>0</v>
      </c>
      <c r="L40" s="22">
        <f>0</f>
        <v>0</v>
      </c>
      <c r="M40" s="22">
        <f>0</f>
        <v>0</v>
      </c>
      <c r="N40" s="22">
        <f>0</f>
        <v>0</v>
      </c>
      <c r="O40" s="22">
        <f>0</f>
        <v>0</v>
      </c>
      <c r="P40" s="22">
        <f>0</f>
        <v>0</v>
      </c>
      <c r="Q40" s="22">
        <f>0</f>
        <v>0</v>
      </c>
    </row>
    <row r="41" spans="1:17" ht="24" customHeight="1" x14ac:dyDescent="0.25">
      <c r="A41" s="18" t="s">
        <v>29</v>
      </c>
      <c r="B41" s="23">
        <f>0</f>
        <v>0</v>
      </c>
      <c r="C41" s="23">
        <f>0</f>
        <v>0</v>
      </c>
      <c r="D41" s="23">
        <f>0</f>
        <v>0</v>
      </c>
      <c r="E41" s="23">
        <f>0</f>
        <v>0</v>
      </c>
      <c r="F41" s="23">
        <f>0</f>
        <v>0</v>
      </c>
      <c r="G41" s="23">
        <f>0</f>
        <v>0</v>
      </c>
      <c r="H41" s="23">
        <f>0</f>
        <v>0</v>
      </c>
      <c r="I41" s="23">
        <f>0</f>
        <v>0</v>
      </c>
      <c r="J41" s="23">
        <f>0</f>
        <v>0</v>
      </c>
      <c r="K41" s="23">
        <f>0</f>
        <v>0</v>
      </c>
      <c r="L41" s="23">
        <f>0</f>
        <v>0</v>
      </c>
      <c r="M41" s="23">
        <f>0</f>
        <v>0</v>
      </c>
      <c r="N41" s="23">
        <f>0</f>
        <v>0</v>
      </c>
      <c r="O41" s="23">
        <f>0</f>
        <v>0</v>
      </c>
      <c r="P41" s="23">
        <f>0</f>
        <v>0</v>
      </c>
      <c r="Q41" s="23">
        <f>0</f>
        <v>0</v>
      </c>
    </row>
    <row r="42" spans="1:17" ht="24" customHeight="1" x14ac:dyDescent="0.25">
      <c r="A42" s="18" t="s">
        <v>30</v>
      </c>
      <c r="B42" s="23">
        <f>0</f>
        <v>0</v>
      </c>
      <c r="C42" s="23">
        <f>0</f>
        <v>0</v>
      </c>
      <c r="D42" s="23">
        <f>0</f>
        <v>0</v>
      </c>
      <c r="E42" s="23">
        <f>0</f>
        <v>0</v>
      </c>
      <c r="F42" s="23">
        <f>0</f>
        <v>0</v>
      </c>
      <c r="G42" s="23">
        <f>0</f>
        <v>0</v>
      </c>
      <c r="H42" s="23">
        <f>0</f>
        <v>0</v>
      </c>
      <c r="I42" s="23">
        <f>0</f>
        <v>0</v>
      </c>
      <c r="J42" s="23">
        <f>0</f>
        <v>0</v>
      </c>
      <c r="K42" s="23">
        <f>0</f>
        <v>0</v>
      </c>
      <c r="L42" s="23">
        <f>0</f>
        <v>0</v>
      </c>
      <c r="M42" s="23">
        <f>0</f>
        <v>0</v>
      </c>
      <c r="N42" s="23">
        <f>0</f>
        <v>0</v>
      </c>
      <c r="O42" s="23">
        <f>0</f>
        <v>0</v>
      </c>
      <c r="P42" s="23">
        <f>0</f>
        <v>0</v>
      </c>
      <c r="Q42" s="23">
        <f>0</f>
        <v>0</v>
      </c>
    </row>
    <row r="43" spans="1:17" ht="30.75" customHeight="1" x14ac:dyDescent="0.25">
      <c r="A43" s="24" t="s">
        <v>41</v>
      </c>
      <c r="B43" s="22">
        <f>465305159.2</f>
        <v>465305159.19999999</v>
      </c>
      <c r="C43" s="22">
        <f>465305159.2</f>
        <v>465305159.19999999</v>
      </c>
      <c r="D43" s="22">
        <f>418801836.51</f>
        <v>418801836.50999999</v>
      </c>
      <c r="E43" s="22">
        <f>42162.9</f>
        <v>42162.9</v>
      </c>
      <c r="F43" s="22">
        <f>11415.52</f>
        <v>11415.52</v>
      </c>
      <c r="G43" s="22">
        <f>418748258.09</f>
        <v>418748258.08999997</v>
      </c>
      <c r="H43" s="22">
        <f>0</f>
        <v>0</v>
      </c>
      <c r="I43" s="22">
        <f>0</f>
        <v>0</v>
      </c>
      <c r="J43" s="22">
        <f>0</f>
        <v>0</v>
      </c>
      <c r="K43" s="22">
        <f>0</f>
        <v>0</v>
      </c>
      <c r="L43" s="22">
        <f>42934791.96</f>
        <v>42934791.960000001</v>
      </c>
      <c r="M43" s="22">
        <f>3378594.67</f>
        <v>3378594.67</v>
      </c>
      <c r="N43" s="22">
        <f>189936.06</f>
        <v>189936.06</v>
      </c>
      <c r="O43" s="22">
        <f>0</f>
        <v>0</v>
      </c>
      <c r="P43" s="22">
        <f>0</f>
        <v>0</v>
      </c>
      <c r="Q43" s="22">
        <f>0</f>
        <v>0</v>
      </c>
    </row>
    <row r="44" spans="1:17" ht="24" customHeight="1" x14ac:dyDescent="0.25">
      <c r="A44" s="18" t="s">
        <v>31</v>
      </c>
      <c r="B44" s="23">
        <f>42278021.62</f>
        <v>42278021.619999997</v>
      </c>
      <c r="C44" s="23">
        <f>42278021.62</f>
        <v>42278021.619999997</v>
      </c>
      <c r="D44" s="23">
        <f>42195000</f>
        <v>42195000</v>
      </c>
      <c r="E44" s="23">
        <f>0</f>
        <v>0</v>
      </c>
      <c r="F44" s="23">
        <f>0</f>
        <v>0</v>
      </c>
      <c r="G44" s="23">
        <f>42195000</f>
        <v>42195000</v>
      </c>
      <c r="H44" s="23">
        <f>0</f>
        <v>0</v>
      </c>
      <c r="I44" s="23">
        <f>0</f>
        <v>0</v>
      </c>
      <c r="J44" s="23">
        <f>0</f>
        <v>0</v>
      </c>
      <c r="K44" s="23">
        <f>0</f>
        <v>0</v>
      </c>
      <c r="L44" s="23">
        <f>83021.62</f>
        <v>83021.62</v>
      </c>
      <c r="M44" s="23">
        <f>0</f>
        <v>0</v>
      </c>
      <c r="N44" s="23">
        <f>0</f>
        <v>0</v>
      </c>
      <c r="O44" s="23">
        <f>0</f>
        <v>0</v>
      </c>
      <c r="P44" s="23">
        <f>0</f>
        <v>0</v>
      </c>
      <c r="Q44" s="23">
        <f>0</f>
        <v>0</v>
      </c>
    </row>
    <row r="45" spans="1:17" ht="24" customHeight="1" x14ac:dyDescent="0.25">
      <c r="A45" s="18" t="s">
        <v>32</v>
      </c>
      <c r="B45" s="23">
        <f>423027137.58</f>
        <v>423027137.57999998</v>
      </c>
      <c r="C45" s="23">
        <f>423027137.58</f>
        <v>423027137.57999998</v>
      </c>
      <c r="D45" s="23">
        <f>376606836.51</f>
        <v>376606836.50999999</v>
      </c>
      <c r="E45" s="23">
        <f>42162.9</f>
        <v>42162.9</v>
      </c>
      <c r="F45" s="23">
        <f>11415.52</f>
        <v>11415.52</v>
      </c>
      <c r="G45" s="23">
        <f>376553258.09</f>
        <v>376553258.08999997</v>
      </c>
      <c r="H45" s="23">
        <f>0</f>
        <v>0</v>
      </c>
      <c r="I45" s="23">
        <f>0</f>
        <v>0</v>
      </c>
      <c r="J45" s="23">
        <f>0</f>
        <v>0</v>
      </c>
      <c r="K45" s="23">
        <f>0</f>
        <v>0</v>
      </c>
      <c r="L45" s="23">
        <f>42851770.34</f>
        <v>42851770.340000004</v>
      </c>
      <c r="M45" s="23">
        <f>3378594.67</f>
        <v>3378594.67</v>
      </c>
      <c r="N45" s="23">
        <f>189936.06</f>
        <v>189936.06</v>
      </c>
      <c r="O45" s="23">
        <f>0</f>
        <v>0</v>
      </c>
      <c r="P45" s="23">
        <f>0</f>
        <v>0</v>
      </c>
      <c r="Q45" s="23">
        <f>0</f>
        <v>0</v>
      </c>
    </row>
    <row r="46" spans="1:17" ht="30.75" customHeight="1" x14ac:dyDescent="0.25">
      <c r="A46" s="24" t="s">
        <v>42</v>
      </c>
      <c r="B46" s="22">
        <f>7269684705.65</f>
        <v>7269684705.6499996</v>
      </c>
      <c r="C46" s="22">
        <f>7269494254.74</f>
        <v>7269494254.7399998</v>
      </c>
      <c r="D46" s="22">
        <f>434413.63</f>
        <v>434413.63</v>
      </c>
      <c r="E46" s="22">
        <f>960</f>
        <v>960</v>
      </c>
      <c r="F46" s="22">
        <f>16265.52</f>
        <v>16265.52</v>
      </c>
      <c r="G46" s="22">
        <f>417188.11</f>
        <v>417188.11</v>
      </c>
      <c r="H46" s="22">
        <f>0</f>
        <v>0</v>
      </c>
      <c r="I46" s="22">
        <f>0</f>
        <v>0</v>
      </c>
      <c r="J46" s="22">
        <f>7268655797.34</f>
        <v>7268655797.3400002</v>
      </c>
      <c r="K46" s="22">
        <f>1926</f>
        <v>1926</v>
      </c>
      <c r="L46" s="22">
        <f>393654.14</f>
        <v>393654.14</v>
      </c>
      <c r="M46" s="22">
        <f>8463.63</f>
        <v>8463.6299999999992</v>
      </c>
      <c r="N46" s="22">
        <f>0</f>
        <v>0</v>
      </c>
      <c r="O46" s="22">
        <f>190450.91</f>
        <v>190450.91</v>
      </c>
      <c r="P46" s="22">
        <f>190450.91</f>
        <v>190450.91</v>
      </c>
      <c r="Q46" s="22">
        <f>0</f>
        <v>0</v>
      </c>
    </row>
    <row r="47" spans="1:17" ht="24" customHeight="1" x14ac:dyDescent="0.25">
      <c r="A47" s="18" t="s">
        <v>33</v>
      </c>
      <c r="B47" s="23">
        <f>417164.11</f>
        <v>417164.11</v>
      </c>
      <c r="C47" s="23">
        <f>417164.11</f>
        <v>417164.11</v>
      </c>
      <c r="D47" s="23">
        <f>417164.11</f>
        <v>417164.11</v>
      </c>
      <c r="E47" s="23">
        <f>0</f>
        <v>0</v>
      </c>
      <c r="F47" s="23">
        <f>0</f>
        <v>0</v>
      </c>
      <c r="G47" s="23">
        <f>417164.11</f>
        <v>417164.11</v>
      </c>
      <c r="H47" s="23">
        <f>0</f>
        <v>0</v>
      </c>
      <c r="I47" s="23">
        <f>0</f>
        <v>0</v>
      </c>
      <c r="J47" s="23">
        <f>0</f>
        <v>0</v>
      </c>
      <c r="K47" s="23">
        <f>0</f>
        <v>0</v>
      </c>
      <c r="L47" s="23">
        <f>0</f>
        <v>0</v>
      </c>
      <c r="M47" s="23">
        <f>0</f>
        <v>0</v>
      </c>
      <c r="N47" s="23">
        <f>0</f>
        <v>0</v>
      </c>
      <c r="O47" s="23">
        <f>0</f>
        <v>0</v>
      </c>
      <c r="P47" s="23">
        <f>0</f>
        <v>0</v>
      </c>
      <c r="Q47" s="23">
        <f>0</f>
        <v>0</v>
      </c>
    </row>
    <row r="48" spans="1:17" ht="24" customHeight="1" x14ac:dyDescent="0.25">
      <c r="A48" s="18" t="s">
        <v>34</v>
      </c>
      <c r="B48" s="23">
        <f>4969657725.3</f>
        <v>4969657725.3000002</v>
      </c>
      <c r="C48" s="23">
        <f>4969657725.3</f>
        <v>4969657725.3000002</v>
      </c>
      <c r="D48" s="23">
        <f>984</f>
        <v>984</v>
      </c>
      <c r="E48" s="23">
        <f>960</f>
        <v>960</v>
      </c>
      <c r="F48" s="23">
        <f>0</f>
        <v>0</v>
      </c>
      <c r="G48" s="23">
        <f>24</f>
        <v>24</v>
      </c>
      <c r="H48" s="23">
        <f>0</f>
        <v>0</v>
      </c>
      <c r="I48" s="23">
        <f>0</f>
        <v>0</v>
      </c>
      <c r="J48" s="23">
        <f>4969259065.77</f>
        <v>4969259065.7700005</v>
      </c>
      <c r="K48" s="23">
        <f>1926</f>
        <v>1926</v>
      </c>
      <c r="L48" s="23">
        <f>387285.9</f>
        <v>387285.9</v>
      </c>
      <c r="M48" s="23">
        <f>8463.63</f>
        <v>8463.6299999999992</v>
      </c>
      <c r="N48" s="23">
        <f>0</f>
        <v>0</v>
      </c>
      <c r="O48" s="23">
        <f>0</f>
        <v>0</v>
      </c>
      <c r="P48" s="23">
        <f>0</f>
        <v>0</v>
      </c>
      <c r="Q48" s="23">
        <f>0</f>
        <v>0</v>
      </c>
    </row>
    <row r="49" spans="1:17" ht="24" customHeight="1" x14ac:dyDescent="0.25">
      <c r="A49" s="18" t="s">
        <v>35</v>
      </c>
      <c r="B49" s="23">
        <f>2299609816.24</f>
        <v>2299609816.2399998</v>
      </c>
      <c r="C49" s="23">
        <f>2299419365.33</f>
        <v>2299419365.3299999</v>
      </c>
      <c r="D49" s="23">
        <f>16265.52</f>
        <v>16265.52</v>
      </c>
      <c r="E49" s="23">
        <f>0</f>
        <v>0</v>
      </c>
      <c r="F49" s="23">
        <f>16265.52</f>
        <v>16265.52</v>
      </c>
      <c r="G49" s="23">
        <f>0</f>
        <v>0</v>
      </c>
      <c r="H49" s="23">
        <f>0</f>
        <v>0</v>
      </c>
      <c r="I49" s="23">
        <f>0</f>
        <v>0</v>
      </c>
      <c r="J49" s="23">
        <f>2299396731.57</f>
        <v>2299396731.5700002</v>
      </c>
      <c r="K49" s="23">
        <f>0</f>
        <v>0</v>
      </c>
      <c r="L49" s="23">
        <f>6368.24</f>
        <v>6368.24</v>
      </c>
      <c r="M49" s="23">
        <f>0</f>
        <v>0</v>
      </c>
      <c r="N49" s="23">
        <f>0</f>
        <v>0</v>
      </c>
      <c r="O49" s="23">
        <f>190450.91</f>
        <v>190450.91</v>
      </c>
      <c r="P49" s="23">
        <f>190450.91</f>
        <v>190450.91</v>
      </c>
      <c r="Q49" s="23">
        <f>0</f>
        <v>0</v>
      </c>
    </row>
    <row r="50" spans="1:17" ht="30.75" customHeight="1" x14ac:dyDescent="0.25">
      <c r="A50" s="24" t="s">
        <v>43</v>
      </c>
      <c r="B50" s="22">
        <f>2048772689.9</f>
        <v>2048772689.9000001</v>
      </c>
      <c r="C50" s="22">
        <f>2046391026.49</f>
        <v>2046391026.49</v>
      </c>
      <c r="D50" s="22">
        <f>17661833.03</f>
        <v>17661833.030000001</v>
      </c>
      <c r="E50" s="22">
        <f>30816.98</f>
        <v>30816.98</v>
      </c>
      <c r="F50" s="22">
        <f>563587.94</f>
        <v>563587.93999999994</v>
      </c>
      <c r="G50" s="22">
        <f>17067428.11</f>
        <v>17067428.109999999</v>
      </c>
      <c r="H50" s="22">
        <f>0</f>
        <v>0</v>
      </c>
      <c r="I50" s="22">
        <f>0</f>
        <v>0</v>
      </c>
      <c r="J50" s="22">
        <f>24220.77</f>
        <v>24220.77</v>
      </c>
      <c r="K50" s="22">
        <f>17071808.81</f>
        <v>17071808.809999999</v>
      </c>
      <c r="L50" s="22">
        <f>1692203689.43</f>
        <v>1692203689.4300001</v>
      </c>
      <c r="M50" s="22">
        <f>301834854.94</f>
        <v>301834854.94</v>
      </c>
      <c r="N50" s="22">
        <f>17594619.51</f>
        <v>17594619.510000002</v>
      </c>
      <c r="O50" s="22">
        <f>2381663.41</f>
        <v>2381663.41</v>
      </c>
      <c r="P50" s="22">
        <f>1810119.55</f>
        <v>1810119.55</v>
      </c>
      <c r="Q50" s="22">
        <f>571543.86</f>
        <v>571543.86</v>
      </c>
    </row>
    <row r="51" spans="1:17" ht="30" customHeight="1" x14ac:dyDescent="0.25">
      <c r="A51" s="18" t="s">
        <v>36</v>
      </c>
      <c r="B51" s="23">
        <f>55433194.94</f>
        <v>55433194.939999998</v>
      </c>
      <c r="C51" s="23">
        <f>55425887.32</f>
        <v>55425887.32</v>
      </c>
      <c r="D51" s="23">
        <f>141916.18</f>
        <v>141916.18</v>
      </c>
      <c r="E51" s="23">
        <f>0</f>
        <v>0</v>
      </c>
      <c r="F51" s="23">
        <f>2.28</f>
        <v>2.2799999999999998</v>
      </c>
      <c r="G51" s="23">
        <f>141913.9</f>
        <v>141913.9</v>
      </c>
      <c r="H51" s="23">
        <f>0</f>
        <v>0</v>
      </c>
      <c r="I51" s="23">
        <f>0</f>
        <v>0</v>
      </c>
      <c r="J51" s="23">
        <f>0</f>
        <v>0</v>
      </c>
      <c r="K51" s="23">
        <f>9069.54</f>
        <v>9069.5400000000009</v>
      </c>
      <c r="L51" s="23">
        <f>47622291.01</f>
        <v>47622291.009999998</v>
      </c>
      <c r="M51" s="23">
        <f>7012789.1</f>
        <v>7012789.0999999996</v>
      </c>
      <c r="N51" s="23">
        <f>639821.49</f>
        <v>639821.49</v>
      </c>
      <c r="O51" s="23">
        <f>7307.62</f>
        <v>7307.62</v>
      </c>
      <c r="P51" s="23">
        <f>7307.62</f>
        <v>7307.62</v>
      </c>
      <c r="Q51" s="23">
        <f>0</f>
        <v>0</v>
      </c>
    </row>
    <row r="52" spans="1:17" ht="24" customHeight="1" x14ac:dyDescent="0.25">
      <c r="A52" s="18" t="s">
        <v>37</v>
      </c>
      <c r="B52" s="23">
        <f>1993339494.96</f>
        <v>1993339494.96</v>
      </c>
      <c r="C52" s="23">
        <f>1990965139.17</f>
        <v>1990965139.1700001</v>
      </c>
      <c r="D52" s="23">
        <f>17519916.85</f>
        <v>17519916.850000001</v>
      </c>
      <c r="E52" s="23">
        <f>30816.98</f>
        <v>30816.98</v>
      </c>
      <c r="F52" s="23">
        <f>563585.66</f>
        <v>563585.66</v>
      </c>
      <c r="G52" s="23">
        <f>16925514.21</f>
        <v>16925514.210000001</v>
      </c>
      <c r="H52" s="23">
        <f>0</f>
        <v>0</v>
      </c>
      <c r="I52" s="23">
        <f>0</f>
        <v>0</v>
      </c>
      <c r="J52" s="23">
        <f>24220.77</f>
        <v>24220.77</v>
      </c>
      <c r="K52" s="23">
        <f>17062739.27</f>
        <v>17062739.27</v>
      </c>
      <c r="L52" s="23">
        <f>1644581398.42</f>
        <v>1644581398.4200001</v>
      </c>
      <c r="M52" s="23">
        <f>294822065.84</f>
        <v>294822065.83999997</v>
      </c>
      <c r="N52" s="23">
        <f>16954798.02</f>
        <v>16954798.02</v>
      </c>
      <c r="O52" s="23">
        <f>2374355.79</f>
        <v>2374355.79</v>
      </c>
      <c r="P52" s="23">
        <f>1802811.93</f>
        <v>1802811.93</v>
      </c>
      <c r="Q52" s="23">
        <f>571543.86</f>
        <v>571543.86</v>
      </c>
    </row>
    <row r="53" spans="1:17" ht="30.75" customHeight="1" x14ac:dyDescent="0.25">
      <c r="A53" s="24" t="s">
        <v>44</v>
      </c>
      <c r="B53" s="22">
        <f>1068778160.49</f>
        <v>1068778160.49</v>
      </c>
      <c r="C53" s="22">
        <f>1065180189.18</f>
        <v>1065180189.1799999</v>
      </c>
      <c r="D53" s="22">
        <f>123000729.37</f>
        <v>123000729.37</v>
      </c>
      <c r="E53" s="22">
        <f>8392603.21</f>
        <v>8392603.2100000009</v>
      </c>
      <c r="F53" s="22">
        <f>879053.11</f>
        <v>879053.11</v>
      </c>
      <c r="G53" s="22">
        <f>113202920.12</f>
        <v>113202920.12</v>
      </c>
      <c r="H53" s="22">
        <f>526152.93</f>
        <v>526152.93000000005</v>
      </c>
      <c r="I53" s="22">
        <f>0</f>
        <v>0</v>
      </c>
      <c r="J53" s="22">
        <f>203549.57</f>
        <v>203549.57</v>
      </c>
      <c r="K53" s="22">
        <f>189100.74</f>
        <v>189100.74</v>
      </c>
      <c r="L53" s="22">
        <f>738554589.77</f>
        <v>738554589.76999998</v>
      </c>
      <c r="M53" s="22">
        <f>174482052.9</f>
        <v>174482052.90000001</v>
      </c>
      <c r="N53" s="22">
        <f>28750166.83</f>
        <v>28750166.829999998</v>
      </c>
      <c r="O53" s="22">
        <f>3597971.31</f>
        <v>3597971.31</v>
      </c>
      <c r="P53" s="22">
        <f>3517625.76</f>
        <v>3517625.76</v>
      </c>
      <c r="Q53" s="22">
        <f>80345.55</f>
        <v>80345.55</v>
      </c>
    </row>
    <row r="54" spans="1:17" ht="30" customHeight="1" x14ac:dyDescent="0.25">
      <c r="A54" s="18" t="s">
        <v>38</v>
      </c>
      <c r="B54" s="23">
        <f>118059595.45</f>
        <v>118059595.45</v>
      </c>
      <c r="C54" s="23">
        <f>117960745.82</f>
        <v>117960745.81999999</v>
      </c>
      <c r="D54" s="23">
        <f>9351355.24</f>
        <v>9351355.2400000002</v>
      </c>
      <c r="E54" s="23">
        <f>4875513.25</f>
        <v>4875513.25</v>
      </c>
      <c r="F54" s="23">
        <f>161552.41</f>
        <v>161552.41</v>
      </c>
      <c r="G54" s="23">
        <f>4308791.45</f>
        <v>4308791.45</v>
      </c>
      <c r="H54" s="23">
        <f>5498.13</f>
        <v>5498.13</v>
      </c>
      <c r="I54" s="23">
        <f>0</f>
        <v>0</v>
      </c>
      <c r="J54" s="23">
        <f>800</f>
        <v>800</v>
      </c>
      <c r="K54" s="23">
        <f>30</f>
        <v>30</v>
      </c>
      <c r="L54" s="23">
        <f>105164715.64</f>
        <v>105164715.64</v>
      </c>
      <c r="M54" s="23">
        <f>2864577.82</f>
        <v>2864577.82</v>
      </c>
      <c r="N54" s="23">
        <f>579267.12</f>
        <v>579267.12</v>
      </c>
      <c r="O54" s="23">
        <f>98849.63</f>
        <v>98849.63</v>
      </c>
      <c r="P54" s="23">
        <f>20984.08</f>
        <v>20984.080000000002</v>
      </c>
      <c r="Q54" s="23">
        <f>77865.55</f>
        <v>77865.55</v>
      </c>
    </row>
    <row r="55" spans="1:17" ht="33" customHeight="1" x14ac:dyDescent="0.25">
      <c r="A55" s="18" t="s">
        <v>80</v>
      </c>
      <c r="B55" s="23">
        <f>12.73</f>
        <v>12.73</v>
      </c>
      <c r="C55" s="23">
        <f>12.73</f>
        <v>12.73</v>
      </c>
      <c r="D55" s="23">
        <f>12.73</f>
        <v>12.73</v>
      </c>
      <c r="E55" s="23">
        <f>0</f>
        <v>0</v>
      </c>
      <c r="F55" s="23">
        <f>0</f>
        <v>0</v>
      </c>
      <c r="G55" s="23">
        <f>0</f>
        <v>0</v>
      </c>
      <c r="H55" s="23">
        <f>12.73</f>
        <v>12.73</v>
      </c>
      <c r="I55" s="23">
        <f>0</f>
        <v>0</v>
      </c>
      <c r="J55" s="23">
        <f>0</f>
        <v>0</v>
      </c>
      <c r="K55" s="23">
        <f>0</f>
        <v>0</v>
      </c>
      <c r="L55" s="23">
        <f>0</f>
        <v>0</v>
      </c>
      <c r="M55" s="23">
        <f>0</f>
        <v>0</v>
      </c>
      <c r="N55" s="23">
        <f>0</f>
        <v>0</v>
      </c>
      <c r="O55" s="23">
        <f>0</f>
        <v>0</v>
      </c>
      <c r="P55" s="23">
        <f>0</f>
        <v>0</v>
      </c>
      <c r="Q55" s="23">
        <f>0</f>
        <v>0</v>
      </c>
    </row>
    <row r="56" spans="1:17" ht="33" customHeight="1" x14ac:dyDescent="0.25">
      <c r="A56" s="18" t="s">
        <v>39</v>
      </c>
      <c r="B56" s="23">
        <f>950718552.31</f>
        <v>950718552.30999994</v>
      </c>
      <c r="C56" s="23">
        <f>947219430.63</f>
        <v>947219430.63</v>
      </c>
      <c r="D56" s="23">
        <f>113649361.4</f>
        <v>113649361.40000001</v>
      </c>
      <c r="E56" s="23">
        <f>3517089.96</f>
        <v>3517089.96</v>
      </c>
      <c r="F56" s="23">
        <f>717500.7</f>
        <v>717500.7</v>
      </c>
      <c r="G56" s="23">
        <f>108894128.67</f>
        <v>108894128.67</v>
      </c>
      <c r="H56" s="23">
        <f>520642.07</f>
        <v>520642.07</v>
      </c>
      <c r="I56" s="23">
        <f>0</f>
        <v>0</v>
      </c>
      <c r="J56" s="23">
        <f>202749.57</f>
        <v>202749.57</v>
      </c>
      <c r="K56" s="23">
        <f>189070.74</f>
        <v>189070.74</v>
      </c>
      <c r="L56" s="23">
        <f>633389874.13</f>
        <v>633389874.13</v>
      </c>
      <c r="M56" s="23">
        <f>171617475.08</f>
        <v>171617475.08000001</v>
      </c>
      <c r="N56" s="23">
        <f>28170899.71</f>
        <v>28170899.710000001</v>
      </c>
      <c r="O56" s="23">
        <f>3499121.68</f>
        <v>3499121.68</v>
      </c>
      <c r="P56" s="23">
        <f>3496641.68</f>
        <v>3496641.68</v>
      </c>
      <c r="Q56" s="23">
        <f>2480</f>
        <v>2480</v>
      </c>
    </row>
    <row r="66" spans="1:13" ht="67.5" customHeight="1" x14ac:dyDescent="0.25">
      <c r="A66" s="30" t="str">
        <f>CONCATENATE("Informacja z wykonania budżetów województw za  ",$C$93," ",$B$94," roku    ",$B$96,"")</f>
        <v xml:space="preserve">Informacja z wykonania budżetów województw za  III Kwartały 2022 roku    </v>
      </c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</row>
    <row r="67" spans="1:13" ht="13.5" customHeight="1" x14ac:dyDescent="0.25">
      <c r="B67" s="40" t="s">
        <v>2</v>
      </c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</row>
    <row r="69" spans="1:13" ht="13.5" customHeight="1" x14ac:dyDescent="0.25">
      <c r="B69" s="44" t="s">
        <v>0</v>
      </c>
      <c r="C69" s="45"/>
      <c r="D69" s="45"/>
      <c r="E69" s="46"/>
      <c r="F69" s="56" t="s">
        <v>70</v>
      </c>
      <c r="G69" s="41" t="s">
        <v>76</v>
      </c>
      <c r="H69" s="55"/>
      <c r="I69" s="55"/>
      <c r="J69" s="55"/>
      <c r="K69" s="55"/>
      <c r="L69" s="42"/>
    </row>
    <row r="70" spans="1:13" ht="13.5" customHeight="1" x14ac:dyDescent="0.25">
      <c r="B70" s="47"/>
      <c r="C70" s="48"/>
      <c r="D70" s="48"/>
      <c r="E70" s="49"/>
      <c r="F70" s="57"/>
      <c r="G70" s="59" t="s">
        <v>71</v>
      </c>
      <c r="H70" s="43" t="s">
        <v>68</v>
      </c>
      <c r="I70" s="43" t="s">
        <v>69</v>
      </c>
      <c r="J70" s="43" t="s">
        <v>72</v>
      </c>
      <c r="K70" s="43" t="s">
        <v>73</v>
      </c>
      <c r="L70" s="74" t="s">
        <v>74</v>
      </c>
    </row>
    <row r="71" spans="1:13" ht="13.5" customHeight="1" x14ac:dyDescent="0.25">
      <c r="B71" s="47"/>
      <c r="C71" s="48"/>
      <c r="D71" s="48"/>
      <c r="E71" s="49"/>
      <c r="F71" s="57"/>
      <c r="G71" s="59"/>
      <c r="H71" s="43"/>
      <c r="I71" s="43"/>
      <c r="J71" s="43"/>
      <c r="K71" s="43"/>
      <c r="L71" s="74"/>
    </row>
    <row r="72" spans="1:13" ht="11.25" customHeight="1" x14ac:dyDescent="0.25">
      <c r="B72" s="47"/>
      <c r="C72" s="48"/>
      <c r="D72" s="48"/>
      <c r="E72" s="49"/>
      <c r="F72" s="57"/>
      <c r="G72" s="59"/>
      <c r="H72" s="43"/>
      <c r="I72" s="43"/>
      <c r="J72" s="43"/>
      <c r="K72" s="43"/>
      <c r="L72" s="74"/>
    </row>
    <row r="73" spans="1:13" ht="11.25" customHeight="1" x14ac:dyDescent="0.25">
      <c r="B73" s="50"/>
      <c r="C73" s="51"/>
      <c r="D73" s="51"/>
      <c r="E73" s="52"/>
      <c r="F73" s="58"/>
      <c r="G73" s="59"/>
      <c r="H73" s="43"/>
      <c r="I73" s="43"/>
      <c r="J73" s="43"/>
      <c r="K73" s="43"/>
      <c r="L73" s="74"/>
    </row>
    <row r="74" spans="1:13" ht="11.25" customHeight="1" x14ac:dyDescent="0.25">
      <c r="B74" s="43">
        <v>1</v>
      </c>
      <c r="C74" s="43"/>
      <c r="D74" s="43"/>
      <c r="E74" s="43"/>
      <c r="F74" s="3">
        <v>2</v>
      </c>
      <c r="G74" s="3">
        <v>3</v>
      </c>
      <c r="H74" s="3">
        <v>4</v>
      </c>
      <c r="I74" s="3">
        <v>5</v>
      </c>
      <c r="J74" s="3">
        <v>6</v>
      </c>
      <c r="K74" s="3">
        <v>7</v>
      </c>
      <c r="L74" s="3">
        <v>8</v>
      </c>
    </row>
    <row r="75" spans="1:13" ht="13.5" customHeight="1" x14ac:dyDescent="0.25">
      <c r="B75" s="43"/>
      <c r="C75" s="43"/>
      <c r="D75" s="43"/>
      <c r="E75" s="43"/>
      <c r="F75" s="41" t="s">
        <v>78</v>
      </c>
      <c r="G75" s="72"/>
      <c r="H75" s="72"/>
      <c r="I75" s="72"/>
      <c r="J75" s="72"/>
      <c r="K75" s="72"/>
      <c r="L75" s="73"/>
    </row>
    <row r="76" spans="1:13" ht="33.75" customHeight="1" x14ac:dyDescent="0.25">
      <c r="B76" s="35" t="s">
        <v>55</v>
      </c>
      <c r="C76" s="36"/>
      <c r="D76" s="36"/>
      <c r="E76" s="37"/>
      <c r="F76" s="25">
        <f>1293678526.52</f>
        <v>1293678526.52</v>
      </c>
      <c r="G76" s="25">
        <f>192101461.55</f>
        <v>192101461.55000001</v>
      </c>
      <c r="H76" s="25">
        <f>0</f>
        <v>0</v>
      </c>
      <c r="I76" s="25">
        <f>37404.56</f>
        <v>37404.559999999998</v>
      </c>
      <c r="J76" s="25">
        <f>192064056.99</f>
        <v>192064056.99000001</v>
      </c>
      <c r="K76" s="25">
        <f>0</f>
        <v>0</v>
      </c>
      <c r="L76" s="25">
        <f>1101577064.97</f>
        <v>1101577064.97</v>
      </c>
    </row>
    <row r="77" spans="1:13" ht="33.75" customHeight="1" x14ac:dyDescent="0.25">
      <c r="B77" s="35" t="s">
        <v>56</v>
      </c>
      <c r="C77" s="36"/>
      <c r="D77" s="36"/>
      <c r="E77" s="37"/>
      <c r="F77" s="25">
        <f>0</f>
        <v>0</v>
      </c>
      <c r="G77" s="25">
        <f>0</f>
        <v>0</v>
      </c>
      <c r="H77" s="25">
        <f>0</f>
        <v>0</v>
      </c>
      <c r="I77" s="25">
        <f>0</f>
        <v>0</v>
      </c>
      <c r="J77" s="25">
        <f>0</f>
        <v>0</v>
      </c>
      <c r="K77" s="25">
        <f>0</f>
        <v>0</v>
      </c>
      <c r="L77" s="25">
        <f>0</f>
        <v>0</v>
      </c>
    </row>
    <row r="78" spans="1:13" ht="33.75" customHeight="1" x14ac:dyDescent="0.25">
      <c r="B78" s="35" t="s">
        <v>57</v>
      </c>
      <c r="C78" s="36"/>
      <c r="D78" s="36"/>
      <c r="E78" s="37"/>
      <c r="F78" s="25">
        <f>89290000</f>
        <v>89290000</v>
      </c>
      <c r="G78" s="25">
        <f>0</f>
        <v>0</v>
      </c>
      <c r="H78" s="25">
        <f>0</f>
        <v>0</v>
      </c>
      <c r="I78" s="25">
        <f>0</f>
        <v>0</v>
      </c>
      <c r="J78" s="25">
        <f>0</f>
        <v>0</v>
      </c>
      <c r="K78" s="25">
        <f>0</f>
        <v>0</v>
      </c>
      <c r="L78" s="25">
        <f>89290000</f>
        <v>89290000</v>
      </c>
    </row>
    <row r="79" spans="1:13" ht="22.5" customHeight="1" x14ac:dyDescent="0.25">
      <c r="B79" s="35" t="s">
        <v>58</v>
      </c>
      <c r="C79" s="36"/>
      <c r="D79" s="36"/>
      <c r="E79" s="37"/>
      <c r="F79" s="25">
        <f>27851664.81</f>
        <v>27851664.809999999</v>
      </c>
      <c r="G79" s="25">
        <f>21830600.45</f>
        <v>21830600.449999999</v>
      </c>
      <c r="H79" s="25">
        <f>0</f>
        <v>0</v>
      </c>
      <c r="I79" s="25">
        <f>0</f>
        <v>0</v>
      </c>
      <c r="J79" s="25">
        <f>21830600.45</f>
        <v>21830600.449999999</v>
      </c>
      <c r="K79" s="25">
        <f>0</f>
        <v>0</v>
      </c>
      <c r="L79" s="25">
        <f>6021064.36</f>
        <v>6021064.3600000003</v>
      </c>
    </row>
    <row r="80" spans="1:13" ht="33.75" customHeight="1" x14ac:dyDescent="0.25">
      <c r="B80" s="35" t="s">
        <v>59</v>
      </c>
      <c r="C80" s="36"/>
      <c r="D80" s="36"/>
      <c r="E80" s="37"/>
      <c r="F80" s="25">
        <f>2316513.6</f>
        <v>2316513.6</v>
      </c>
      <c r="G80" s="25">
        <f>2097532.56</f>
        <v>2097532.56</v>
      </c>
      <c r="H80" s="25">
        <f>0</f>
        <v>0</v>
      </c>
      <c r="I80" s="25">
        <f>0</f>
        <v>0</v>
      </c>
      <c r="J80" s="25">
        <f>2097532.56</f>
        <v>2097532.56</v>
      </c>
      <c r="K80" s="25">
        <f>0</f>
        <v>0</v>
      </c>
      <c r="L80" s="25">
        <f>218981.04</f>
        <v>218981.04</v>
      </c>
    </row>
    <row r="81" spans="1:13" ht="33.75" customHeight="1" x14ac:dyDescent="0.25">
      <c r="B81" s="35" t="s">
        <v>60</v>
      </c>
      <c r="C81" s="36"/>
      <c r="D81" s="36"/>
      <c r="E81" s="37"/>
      <c r="F81" s="25">
        <f>13615958.72</f>
        <v>13615958.720000001</v>
      </c>
      <c r="G81" s="25">
        <f>9216608.78</f>
        <v>9216608.7799999993</v>
      </c>
      <c r="H81" s="25">
        <f>0</f>
        <v>0</v>
      </c>
      <c r="I81" s="25">
        <f>0</f>
        <v>0</v>
      </c>
      <c r="J81" s="25">
        <f>9216608.78</f>
        <v>9216608.7799999993</v>
      </c>
      <c r="K81" s="25">
        <f>0</f>
        <v>0</v>
      </c>
      <c r="L81" s="25">
        <f>4399349.94</f>
        <v>4399349.9400000004</v>
      </c>
    </row>
    <row r="82" spans="1:13" ht="33" customHeight="1" x14ac:dyDescent="0.25">
      <c r="B82" s="35" t="s">
        <v>61</v>
      </c>
      <c r="C82" s="36"/>
      <c r="D82" s="36"/>
      <c r="E82" s="37"/>
      <c r="F82" s="25">
        <f>0</f>
        <v>0</v>
      </c>
      <c r="G82" s="25">
        <f>0</f>
        <v>0</v>
      </c>
      <c r="H82" s="25">
        <f>0</f>
        <v>0</v>
      </c>
      <c r="I82" s="25">
        <f>0</f>
        <v>0</v>
      </c>
      <c r="J82" s="25">
        <f>0</f>
        <v>0</v>
      </c>
      <c r="K82" s="25">
        <f>0</f>
        <v>0</v>
      </c>
      <c r="L82" s="25">
        <f>0</f>
        <v>0</v>
      </c>
    </row>
    <row r="85" spans="1:13" ht="60" customHeight="1" x14ac:dyDescent="0.25">
      <c r="A85" s="30" t="str">
        <f>CONCATENATE("Informacja z wykonania budżetów województw za  ",$C$93," ",$B$94," roku    ",$B$96,"")</f>
        <v xml:space="preserve">Informacja z wykonania budżetów województw za  III Kwartały 2022 roku    </v>
      </c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</row>
    <row r="86" spans="1:13" ht="13.5" customHeight="1" x14ac:dyDescent="0.25">
      <c r="B86" s="4"/>
    </row>
    <row r="87" spans="1:13" ht="13.5" customHeight="1" x14ac:dyDescent="0.25">
      <c r="B87" s="5"/>
      <c r="C87" s="41"/>
      <c r="D87" s="55"/>
      <c r="E87" s="55"/>
      <c r="F87" s="42"/>
      <c r="G87" s="41" t="s">
        <v>3</v>
      </c>
      <c r="H87" s="42"/>
      <c r="I87" s="41" t="s">
        <v>4</v>
      </c>
      <c r="J87" s="42"/>
      <c r="K87" s="5"/>
    </row>
    <row r="88" spans="1:13" ht="18" customHeight="1" x14ac:dyDescent="0.25">
      <c r="B88" s="6"/>
      <c r="C88" s="35" t="s">
        <v>5</v>
      </c>
      <c r="D88" s="36"/>
      <c r="E88" s="36"/>
      <c r="F88" s="37"/>
      <c r="G88" s="53">
        <f>16</f>
        <v>16</v>
      </c>
      <c r="H88" s="54"/>
      <c r="I88" s="38">
        <f>3247870067.41</f>
        <v>3247870067.4099998</v>
      </c>
      <c r="J88" s="39"/>
      <c r="K88" s="7"/>
    </row>
    <row r="89" spans="1:13" ht="22.5" customHeight="1" x14ac:dyDescent="0.25">
      <c r="B89" s="6"/>
      <c r="C89" s="35" t="s">
        <v>6</v>
      </c>
      <c r="D89" s="36"/>
      <c r="E89" s="36"/>
      <c r="F89" s="37"/>
      <c r="G89" s="53">
        <f>0</f>
        <v>0</v>
      </c>
      <c r="H89" s="54"/>
      <c r="I89" s="38">
        <f>0</f>
        <v>0</v>
      </c>
      <c r="J89" s="39"/>
      <c r="K89" s="7"/>
    </row>
    <row r="90" spans="1:13" ht="21" customHeight="1" x14ac:dyDescent="0.25">
      <c r="B90" s="6"/>
      <c r="C90" s="35" t="s">
        <v>7</v>
      </c>
      <c r="D90" s="36"/>
      <c r="E90" s="36"/>
      <c r="F90" s="37"/>
      <c r="G90" s="53">
        <f>0</f>
        <v>0</v>
      </c>
      <c r="H90" s="54"/>
      <c r="I90" s="38">
        <f>0</f>
        <v>0</v>
      </c>
      <c r="J90" s="39"/>
      <c r="K90" s="7"/>
    </row>
    <row r="93" spans="1:13" ht="13.5" customHeight="1" x14ac:dyDescent="0.25">
      <c r="A93" s="8" t="s">
        <v>8</v>
      </c>
      <c r="B93" s="8">
        <f>3</f>
        <v>3</v>
      </c>
      <c r="C93" s="8" t="str">
        <f>IF(B93=1,"I Kwartał",IF(B93=2,"II Kwartały",IF(B93=3,"III Kwartały",IF(B93=4,"IV Kwartały","-"))))</f>
        <v>III Kwartały</v>
      </c>
    </row>
    <row r="94" spans="1:13" ht="13.5" customHeight="1" x14ac:dyDescent="0.25">
      <c r="A94" s="8" t="s">
        <v>9</v>
      </c>
      <c r="B94" s="8">
        <f>2022</f>
        <v>2022</v>
      </c>
      <c r="C94" s="9"/>
    </row>
    <row r="95" spans="1:13" ht="13.5" customHeight="1" x14ac:dyDescent="0.25">
      <c r="A95" s="8" t="s">
        <v>10</v>
      </c>
      <c r="B95" s="10" t="str">
        <f>"Nov 18 2022 12:00AM"</f>
        <v>Nov 18 2022 12:00AM</v>
      </c>
      <c r="C95" s="9"/>
    </row>
    <row r="96" spans="1:13" ht="13.5" customHeight="1" x14ac:dyDescent="0.25">
      <c r="A96" s="14" t="s">
        <v>77</v>
      </c>
      <c r="B96" s="10" t="str">
        <f>""</f>
        <v/>
      </c>
    </row>
  </sheetData>
  <mergeCells count="79">
    <mergeCell ref="B75:E75"/>
    <mergeCell ref="F75:L75"/>
    <mergeCell ref="L70:L73"/>
    <mergeCell ref="F34:F37"/>
    <mergeCell ref="G34:G37"/>
    <mergeCell ref="H34:H37"/>
    <mergeCell ref="K34:K37"/>
    <mergeCell ref="I34:I37"/>
    <mergeCell ref="K70:K73"/>
    <mergeCell ref="Q7:Q10"/>
    <mergeCell ref="C33:N33"/>
    <mergeCell ref="L7:L10"/>
    <mergeCell ref="M7:M10"/>
    <mergeCell ref="N7:N10"/>
    <mergeCell ref="P7:P10"/>
    <mergeCell ref="A29:M29"/>
    <mergeCell ref="O33:Q33"/>
    <mergeCell ref="A31:M31"/>
    <mergeCell ref="J34:J37"/>
    <mergeCell ref="A33:A37"/>
    <mergeCell ref="C34:C37"/>
    <mergeCell ref="E34:E37"/>
    <mergeCell ref="B33:B37"/>
    <mergeCell ref="B12:Q12"/>
    <mergeCell ref="H70:H73"/>
    <mergeCell ref="I70:I73"/>
    <mergeCell ref="J70:J73"/>
    <mergeCell ref="A1:M1"/>
    <mergeCell ref="C5:M5"/>
    <mergeCell ref="A3:M3"/>
    <mergeCell ref="K7:K10"/>
    <mergeCell ref="C7:C10"/>
    <mergeCell ref="B6:B10"/>
    <mergeCell ref="A6:A10"/>
    <mergeCell ref="C6:N6"/>
    <mergeCell ref="D7:D10"/>
    <mergeCell ref="E7:E10"/>
    <mergeCell ref="G7:G10"/>
    <mergeCell ref="F7:F10"/>
    <mergeCell ref="I7:I10"/>
    <mergeCell ref="G90:H90"/>
    <mergeCell ref="I90:J90"/>
    <mergeCell ref="C87:F87"/>
    <mergeCell ref="C88:F88"/>
    <mergeCell ref="C89:F89"/>
    <mergeCell ref="C90:F90"/>
    <mergeCell ref="G88:H88"/>
    <mergeCell ref="G87:H87"/>
    <mergeCell ref="G89:H89"/>
    <mergeCell ref="I89:J89"/>
    <mergeCell ref="B81:E81"/>
    <mergeCell ref="I88:J88"/>
    <mergeCell ref="B67:M67"/>
    <mergeCell ref="I87:J87"/>
    <mergeCell ref="B74:E74"/>
    <mergeCell ref="B69:E73"/>
    <mergeCell ref="B82:E82"/>
    <mergeCell ref="A85:M85"/>
    <mergeCell ref="B78:E78"/>
    <mergeCell ref="B79:E79"/>
    <mergeCell ref="B80:E80"/>
    <mergeCell ref="B77:E77"/>
    <mergeCell ref="B76:E76"/>
    <mergeCell ref="F69:F73"/>
    <mergeCell ref="G70:G73"/>
    <mergeCell ref="G69:L69"/>
    <mergeCell ref="O6:Q6"/>
    <mergeCell ref="O7:O10"/>
    <mergeCell ref="A66:M66"/>
    <mergeCell ref="L34:L37"/>
    <mergeCell ref="P34:P37"/>
    <mergeCell ref="Q34:Q37"/>
    <mergeCell ref="N34:N37"/>
    <mergeCell ref="O34:O37"/>
    <mergeCell ref="D34:D37"/>
    <mergeCell ref="H7:H10"/>
    <mergeCell ref="M34:M37"/>
    <mergeCell ref="J7:J10"/>
    <mergeCell ref="B39:Q39"/>
  </mergeCells>
  <phoneticPr fontId="4" type="noConversion"/>
  <pageMargins left="0.19685039370078741" right="0.19685039370078741" top="0.19685039370078741" bottom="0.19685039370078741" header="0" footer="0"/>
  <pageSetup paperSize="9" scale="69" orientation="landscape" useFirstPageNumber="1" horizontalDpi="300" verticalDpi="300" r:id="rId1"/>
  <headerFooter alignWithMargins="0">
    <oddFooter>&amp;L&amp;D&amp;Rstrona &amp;P z 3</oddFooter>
  </headerFooter>
  <rowBreaks count="2" manualBreakCount="2">
    <brk id="28" max="1638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zob_nal</vt:lpstr>
    </vt:vector>
  </TitlesOfParts>
  <Company>Min. Fin.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2009-11-20T13:14:31Z</cp:lastPrinted>
  <dcterms:created xsi:type="dcterms:W3CDTF">2001-05-17T08:58:03Z</dcterms:created>
  <dcterms:modified xsi:type="dcterms:W3CDTF">2022-11-29T15:19:15Z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MF\hhcy;Kołacz Bernard</vt:lpwstr>
  </property>
  <property fmtid="{D5CDD505-2E9C-101B-9397-08002B2CF9AE}" pid="4" name="MFClassificationDate">
    <vt:lpwstr>2022-11-29T16:19:11.7240147+01:00</vt:lpwstr>
  </property>
  <property fmtid="{D5CDD505-2E9C-101B-9397-08002B2CF9AE}" pid="5" name="MFClassifiedBySID">
    <vt:lpwstr>MF\S-1-5-21-1525952054-1005573771-2909822258-435687</vt:lpwstr>
  </property>
  <property fmtid="{D5CDD505-2E9C-101B-9397-08002B2CF9AE}" pid="6" name="MFGRNItemId">
    <vt:lpwstr>GRN-3a02fbe4-441c-44e3-a8f3-9d8db2ca3372</vt:lpwstr>
  </property>
  <property fmtid="{D5CDD505-2E9C-101B-9397-08002B2CF9AE}" pid="7" name="MFHash">
    <vt:lpwstr>z+lUIie8PMw/H8GHuDni78X7ptyvORLLk+ZfXHV9B24=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