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<sst xmlns="http://schemas.openxmlformats.org/spreadsheetml/2006/main" count="98" uniqueCount="79">
  <si>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</si>
  <si>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</si>
  <si>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</si>
  <si>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</si>
  <si>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</si>
  <si>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</si>
  <si>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</si>
  <si>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</si>
  <si>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</si>
  <si>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</si>
  <si>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</si>
  <si>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</si>
  <si>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</si>
  <si>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</si>
  <si>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</si>
  <si>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</si>
  <si>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</si>
  <si>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</si>
  <si>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</si>
  <si>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</si>
  <si>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</si>
  <si>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</si>
  <si>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</si>
  <si>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</si>
  <si>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</si>
  <si>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</si>
  <si>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</si>
  <si>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</si>
  <si>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</si>
  <si>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</si>
  <si>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</si>
  <si>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</si>
  <si>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</si>
  <si>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</si>
  <si>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</si>
  <si>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</si>
  <si>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</si>
  <si>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</si>
  <si>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</si>
  <si>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</si>
  <si>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</si>
  <si>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</si>
  <si>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</si>
  <si>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</si>
  <si>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</si>
  <si>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</si>
  <si>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</si>
  <si>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</si>
  <si>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</si>
  <si>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</si>
  <si>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</si>
  <si>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</si>
  <si>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</si>
  <si>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</si>
  <si>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</si>
  <si>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</si>
  <si>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</si>
  <si>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</si>
  <si>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</si>
  <si>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</si>
  <si>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</si>
  <si>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</si>
  <si>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</si>
  <si>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</si>
  <si>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</si>
  <si>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</si>
  <si>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</si>
  <si>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</si>
  <si>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</si>
  <si>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</si>
  <si>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</si>
  <si>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</si>
  <si>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</si>
  <si>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</si>
  <si>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</si>
  <si>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</si>
  <si>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</si>
  <si>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</si>
  <si>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 xml:space="preserve">Informacja z wykonania budżetów gmin za III Kwartały 2021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</si>
</sst>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4.75390625" style="2" customWidth="1"/>
    <col min="4" max="4" width="13.25390625" style="2" customWidth="1"/>
    <col min="5" max="5" width="12.25390625" style="2" customWidth="1"/>
    <col min="6" max="6" width="11.875" style="2" customWidth="1"/>
    <col min="7" max="7" width="11.00390625" style="2" customWidth="1"/>
    <col min="8" max="8" width="11.125" style="2" customWidth="1"/>
    <col min="9" max="9" width="12.25390625" style="2" customWidth="1"/>
    <col min="10" max="10" width="13.625" style="2" customWidth="1"/>
    <col min="11" max="11" width="12.125" style="2" customWidth="1"/>
    <col min="12" max="12" width="13.25390625" style="2" customWidth="1"/>
    <col min="13" max="13" width="11.125" style="2" bestFit="1" customWidth="1"/>
    <col min="14" max="14" width="11.25390625" style="2" bestFit="1" customWidth="1"/>
    <col min="15" max="15" width="9.25390625" style="2" bestFit="1" customWidth="1"/>
    <col min="16" max="16" width="7.625" style="2" bestFit="1" customWidth="1"/>
    <col min="17" max="17" width="9.875" style="2" bestFit="1" customWidth="1"/>
    <col min="18" max="16384" width="9.125" style="2" customWidth="1"/>
  </cols>
  <sheetData>
    <row r="1" spans="1:13" ht="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7" ht="13.5" customHeight="1"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"/>
      <c r="O5" s="8"/>
      <c r="P5" s="8"/>
      <c r="Q5" s="8"/>
    </row>
    <row r="6" spans="1:17" ht="13.5" customHeight="1">
      <c r="A6" s="56" t="s">
        <v>0</v>
      </c>
      <c r="B6" s="55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94" t="s">
        <v>66</v>
      </c>
      <c r="P6" s="95"/>
      <c r="Q6" s="96"/>
    </row>
    <row r="7" spans="1:17" ht="13.5" customHeight="1">
      <c r="A7" s="57"/>
      <c r="B7" s="42"/>
      <c r="C7" s="43" t="s">
        <v>64</v>
      </c>
      <c r="D7" s="43" t="s">
        <v>75</v>
      </c>
      <c r="E7" s="43" t="s">
        <v>68</v>
      </c>
      <c r="F7" s="43" t="s">
        <v>69</v>
      </c>
      <c r="G7" s="43" t="s">
        <v>24</v>
      </c>
      <c r="H7" s="43" t="s">
        <v>25</v>
      </c>
      <c r="I7" s="59" t="s">
        <v>65</v>
      </c>
      <c r="J7" s="43" t="s">
        <v>13</v>
      </c>
      <c r="K7" s="43" t="s">
        <v>14</v>
      </c>
      <c r="L7" s="43" t="s">
        <v>15</v>
      </c>
      <c r="M7" s="43" t="s">
        <v>16</v>
      </c>
      <c r="N7" s="42" t="s">
        <v>17</v>
      </c>
      <c r="O7" s="46" t="s">
        <v>18</v>
      </c>
      <c r="P7" s="46" t="s">
        <v>19</v>
      </c>
      <c r="Q7" s="46" t="s">
        <v>20</v>
      </c>
    </row>
    <row r="8" spans="1:17" ht="13.5" customHeight="1">
      <c r="A8" s="57"/>
      <c r="B8" s="42"/>
      <c r="C8" s="44"/>
      <c r="D8" s="44"/>
      <c r="E8" s="44"/>
      <c r="F8" s="44"/>
      <c r="G8" s="44"/>
      <c r="H8" s="44"/>
      <c r="I8" s="59"/>
      <c r="J8" s="44"/>
      <c r="K8" s="44"/>
      <c r="L8" s="44"/>
      <c r="M8" s="44"/>
      <c r="N8" s="42"/>
      <c r="O8" s="46"/>
      <c r="P8" s="46"/>
      <c r="Q8" s="46"/>
    </row>
    <row r="9" spans="1:17" ht="11.25" customHeight="1">
      <c r="A9" s="57"/>
      <c r="B9" s="42"/>
      <c r="C9" s="44"/>
      <c r="D9" s="44"/>
      <c r="E9" s="44"/>
      <c r="F9" s="44"/>
      <c r="G9" s="44"/>
      <c r="H9" s="44"/>
      <c r="I9" s="59"/>
      <c r="J9" s="44"/>
      <c r="K9" s="44"/>
      <c r="L9" s="44"/>
      <c r="M9" s="44"/>
      <c r="N9" s="42"/>
      <c r="O9" s="46"/>
      <c r="P9" s="46"/>
      <c r="Q9" s="46"/>
    </row>
    <row r="10" spans="1:17" ht="16.5" customHeight="1">
      <c r="A10" s="58"/>
      <c r="B10" s="43"/>
      <c r="C10" s="44"/>
      <c r="D10" s="44"/>
      <c r="E10" s="44"/>
      <c r="F10" s="44"/>
      <c r="G10" s="44"/>
      <c r="H10" s="44"/>
      <c r="I10" s="60"/>
      <c r="J10" s="44"/>
      <c r="K10" s="44"/>
      <c r="L10" s="44"/>
      <c r="M10" s="44"/>
      <c r="N10" s="43"/>
      <c r="O10" s="46"/>
      <c r="P10" s="46"/>
      <c r="Q10" s="46"/>
    </row>
    <row r="11" spans="1:17" ht="16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8"/>
    </row>
    <row r="13" spans="1:17" ht="48">
      <c r="A13" s="26" t="s">
        <v>44</v>
      </c>
      <c r="B13" s="27">
        <f>32703846855.8</f>
        <v>32703846855.8</v>
      </c>
      <c r="C13" s="27">
        <f>32703846371.2</f>
        <v>32703846371.2</v>
      </c>
      <c r="D13" s="27">
        <f>2518836113.44</f>
        <v>2518836113.44</v>
      </c>
      <c r="E13" s="27">
        <f>233377224.49</f>
        <v>233377224.49</v>
      </c>
      <c r="F13" s="27">
        <f>335889948.32</f>
        <v>335889948.32</v>
      </c>
      <c r="G13" s="27">
        <f>1946190599.89</f>
        <v>1946190599.89</v>
      </c>
      <c r="H13" s="27">
        <f>3378340.74</f>
        <v>3378340.74</v>
      </c>
      <c r="I13" s="27">
        <f>0</f>
        <v>0</v>
      </c>
      <c r="J13" s="27">
        <f>28657210957.19</f>
        <v>28657210957.19</v>
      </c>
      <c r="K13" s="27">
        <f>1237427968.65</f>
        <v>1237427968.65</v>
      </c>
      <c r="L13" s="27">
        <f>263196205.76</f>
        <v>263196205.76</v>
      </c>
      <c r="M13" s="27">
        <f>17707201.27</f>
        <v>17707201.27</v>
      </c>
      <c r="N13" s="27">
        <f>9467924.89</f>
        <v>9467924.89</v>
      </c>
      <c r="O13" s="27">
        <f>484.6</f>
        <v>484.6</v>
      </c>
      <c r="P13" s="27">
        <f>0</f>
        <v>0</v>
      </c>
      <c r="Q13" s="27">
        <f>484.6</f>
        <v>484.6</v>
      </c>
    </row>
    <row r="14" spans="1:17" ht="26.25" customHeight="1">
      <c r="A14" s="28" t="s">
        <v>45</v>
      </c>
      <c r="B14" s="27">
        <f>716822690.3</f>
        <v>716822690.3</v>
      </c>
      <c r="C14" s="27">
        <f>716822690.3</f>
        <v>716822690.3</v>
      </c>
      <c r="D14" s="27">
        <f>858690.3</f>
        <v>858690.3</v>
      </c>
      <c r="E14" s="27">
        <f>0</f>
        <v>0</v>
      </c>
      <c r="F14" s="27">
        <f>0</f>
        <v>0</v>
      </c>
      <c r="G14" s="27">
        <f>858690.3</f>
        <v>858690.3</v>
      </c>
      <c r="H14" s="27">
        <f>0</f>
        <v>0</v>
      </c>
      <c r="I14" s="27">
        <f>0</f>
        <v>0</v>
      </c>
      <c r="J14" s="27">
        <f>653774000</f>
        <v>653774000</v>
      </c>
      <c r="K14" s="27">
        <f>60950000</f>
        <v>60950000</v>
      </c>
      <c r="L14" s="27">
        <f>1240000</f>
        <v>1240000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</row>
    <row r="15" spans="1:17" ht="27" customHeight="1">
      <c r="A15" s="18" t="s">
        <v>46</v>
      </c>
      <c r="B15" s="32">
        <f>0</f>
        <v>0</v>
      </c>
      <c r="C15" s="32">
        <f>0</f>
        <v>0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0</f>
        <v>0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</row>
    <row r="16" spans="1:17" ht="24" customHeight="1">
      <c r="A16" s="18" t="s">
        <v>47</v>
      </c>
      <c r="B16" s="32">
        <f>716822690.3</f>
        <v>716822690.3</v>
      </c>
      <c r="C16" s="32">
        <f>716822690.3</f>
        <v>716822690.3</v>
      </c>
      <c r="D16" s="32">
        <f>858690.3</f>
        <v>858690.3</v>
      </c>
      <c r="E16" s="32">
        <f>0</f>
        <v>0</v>
      </c>
      <c r="F16" s="32">
        <f>0</f>
        <v>0</v>
      </c>
      <c r="G16" s="32">
        <f>858690.3</f>
        <v>858690.3</v>
      </c>
      <c r="H16" s="32">
        <f>0</f>
        <v>0</v>
      </c>
      <c r="I16" s="32">
        <f>0</f>
        <v>0</v>
      </c>
      <c r="J16" s="32">
        <f>653774000</f>
        <v>653774000</v>
      </c>
      <c r="K16" s="32">
        <f>60950000</f>
        <v>60950000</v>
      </c>
      <c r="L16" s="32">
        <f>1240000</f>
        <v>1240000</v>
      </c>
      <c r="M16" s="32">
        <f>0</f>
        <v>0</v>
      </c>
      <c r="N16" s="32">
        <f>0</f>
        <v>0</v>
      </c>
      <c r="O16" s="32">
        <f>0</f>
        <v>0</v>
      </c>
      <c r="P16" s="32">
        <f>0</f>
        <v>0</v>
      </c>
      <c r="Q16" s="32">
        <f>0</f>
        <v>0</v>
      </c>
    </row>
    <row r="17" spans="1:17" ht="31.5" customHeight="1">
      <c r="A17" s="29" t="s">
        <v>48</v>
      </c>
      <c r="B17" s="27">
        <f>31956380818.31</f>
        <v>31956380818.31</v>
      </c>
      <c r="C17" s="27">
        <f>31956380818.31</f>
        <v>31956380818.31</v>
      </c>
      <c r="D17" s="27">
        <f>2505548841.84</f>
        <v>2505548841.84</v>
      </c>
      <c r="E17" s="27">
        <f>231641573.69</f>
        <v>231641573.69</v>
      </c>
      <c r="F17" s="27">
        <f>335889458.22</f>
        <v>335889458.22</v>
      </c>
      <c r="G17" s="27">
        <f>1938017809.93</f>
        <v>1938017809.93</v>
      </c>
      <c r="H17" s="27">
        <f>0</f>
        <v>0</v>
      </c>
      <c r="I17" s="27">
        <f>0</f>
        <v>0</v>
      </c>
      <c r="J17" s="27">
        <f>28003436957.19</f>
        <v>28003436957.19</v>
      </c>
      <c r="K17" s="27">
        <f>1176467477.71</f>
        <v>1176467477.71</v>
      </c>
      <c r="L17" s="27">
        <f>251891191.93</f>
        <v>251891191.93</v>
      </c>
      <c r="M17" s="27">
        <f>11815203.07</f>
        <v>11815203.07</v>
      </c>
      <c r="N17" s="27">
        <f>7221146.57</f>
        <v>7221146.57</v>
      </c>
      <c r="O17" s="27">
        <f>0</f>
        <v>0</v>
      </c>
      <c r="P17" s="27">
        <f>0</f>
        <v>0</v>
      </c>
      <c r="Q17" s="27">
        <f>0</f>
        <v>0</v>
      </c>
    </row>
    <row r="18" spans="1:17" ht="33" customHeight="1">
      <c r="A18" s="19" t="s">
        <v>49</v>
      </c>
      <c r="B18" s="32">
        <f>186400376.12</f>
        <v>186400376.12</v>
      </c>
      <c r="C18" s="32">
        <f>186400376.12</f>
        <v>186400376.12</v>
      </c>
      <c r="D18" s="32">
        <f>23469302.01</f>
        <v>23469302.01</v>
      </c>
      <c r="E18" s="32">
        <f>6526727.36</f>
        <v>6526727.36</v>
      </c>
      <c r="F18" s="32">
        <f>1351567.12</f>
        <v>1351567.12</v>
      </c>
      <c r="G18" s="32">
        <f>15591007.53</f>
        <v>15591007.53</v>
      </c>
      <c r="H18" s="32">
        <f>0</f>
        <v>0</v>
      </c>
      <c r="I18" s="32">
        <f>0</f>
        <v>0</v>
      </c>
      <c r="J18" s="32">
        <f>156644441.89</f>
        <v>156644441.89</v>
      </c>
      <c r="K18" s="32">
        <f>3651887.14</f>
        <v>3651887.14</v>
      </c>
      <c r="L18" s="32">
        <f>2078127.43</f>
        <v>2078127.43</v>
      </c>
      <c r="M18" s="32">
        <f>450000</f>
        <v>450000</v>
      </c>
      <c r="N18" s="32">
        <f>106617.65</f>
        <v>106617.65</v>
      </c>
      <c r="O18" s="32">
        <f>0</f>
        <v>0</v>
      </c>
      <c r="P18" s="32">
        <f>0</f>
        <v>0</v>
      </c>
      <c r="Q18" s="32">
        <f>0</f>
        <v>0</v>
      </c>
    </row>
    <row r="19" spans="1:17" ht="25.5" customHeight="1">
      <c r="A19" s="20" t="s">
        <v>50</v>
      </c>
      <c r="B19" s="32">
        <f>31769980442.19</f>
        <v>31769980442.19</v>
      </c>
      <c r="C19" s="32">
        <f>31769980442.19</f>
        <v>31769980442.19</v>
      </c>
      <c r="D19" s="32">
        <f>2482079539.83</f>
        <v>2482079539.83</v>
      </c>
      <c r="E19" s="32">
        <f>225114846.33</f>
        <v>225114846.33</v>
      </c>
      <c r="F19" s="32">
        <f>334537891.1</f>
        <v>334537891.1</v>
      </c>
      <c r="G19" s="32">
        <f>1922426802.4</f>
        <v>1922426802.4</v>
      </c>
      <c r="H19" s="32">
        <f>0</f>
        <v>0</v>
      </c>
      <c r="I19" s="32">
        <f>0</f>
        <v>0</v>
      </c>
      <c r="J19" s="32">
        <f>27846792515.3</f>
        <v>27846792515.3</v>
      </c>
      <c r="K19" s="32">
        <f>1172815590.57</f>
        <v>1172815590.57</v>
      </c>
      <c r="L19" s="32">
        <f>249813064.5</f>
        <v>249813064.5</v>
      </c>
      <c r="M19" s="32">
        <f>11365203.07</f>
        <v>11365203.07</v>
      </c>
      <c r="N19" s="32">
        <f>7114528.92</f>
        <v>7114528.92</v>
      </c>
      <c r="O19" s="32">
        <f>0</f>
        <v>0</v>
      </c>
      <c r="P19" s="32">
        <f>0</f>
        <v>0</v>
      </c>
      <c r="Q19" s="32">
        <f>0</f>
        <v>0</v>
      </c>
    </row>
    <row r="20" spans="1:17" ht="27.75" customHeight="1">
      <c r="A20" s="30" t="s">
        <v>51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6">
      <c r="A21" s="31" t="s">
        <v>52</v>
      </c>
      <c r="B21" s="27">
        <f>30643347.19</f>
        <v>30643347.19</v>
      </c>
      <c r="C21" s="27">
        <f>30642862.59</f>
        <v>30642862.59</v>
      </c>
      <c r="D21" s="27">
        <f>12428581.3</f>
        <v>12428581.3</v>
      </c>
      <c r="E21" s="27">
        <f>1735650.8</f>
        <v>1735650.8</v>
      </c>
      <c r="F21" s="27">
        <f>490.1</f>
        <v>490.1</v>
      </c>
      <c r="G21" s="27">
        <f>7314099.66</f>
        <v>7314099.66</v>
      </c>
      <c r="H21" s="27">
        <f>3378340.74</f>
        <v>3378340.74</v>
      </c>
      <c r="I21" s="27">
        <f>0</f>
        <v>0</v>
      </c>
      <c r="J21" s="27">
        <f>0</f>
        <v>0</v>
      </c>
      <c r="K21" s="27">
        <f>10490.94</f>
        <v>10490.94</v>
      </c>
      <c r="L21" s="27">
        <f>10065013.83</f>
        <v>10065013.83</v>
      </c>
      <c r="M21" s="27">
        <f>5891998.2</f>
        <v>5891998.2</v>
      </c>
      <c r="N21" s="27">
        <f>2246778.32</f>
        <v>2246778.32</v>
      </c>
      <c r="O21" s="27">
        <f>484.6</f>
        <v>484.6</v>
      </c>
      <c r="P21" s="27">
        <f>0</f>
        <v>0</v>
      </c>
      <c r="Q21" s="27">
        <f>484.6</f>
        <v>484.6</v>
      </c>
    </row>
    <row r="22" spans="1:17" ht="27" customHeight="1">
      <c r="A22" s="18" t="s">
        <v>53</v>
      </c>
      <c r="B22" s="32">
        <f>16825105.16</f>
        <v>16825105.16</v>
      </c>
      <c r="C22" s="32">
        <f>16825105.16</f>
        <v>16825105.16</v>
      </c>
      <c r="D22" s="32">
        <f>2792372.43</f>
        <v>2792372.43</v>
      </c>
      <c r="E22" s="32">
        <f>1381280.16</f>
        <v>1381280.16</v>
      </c>
      <c r="F22" s="32">
        <f>210.92</f>
        <v>210.92</v>
      </c>
      <c r="G22" s="32">
        <f>1410881.35</f>
        <v>1410881.35</v>
      </c>
      <c r="H22" s="32">
        <f>0</f>
        <v>0</v>
      </c>
      <c r="I22" s="32">
        <f>0</f>
        <v>0</v>
      </c>
      <c r="J22" s="32">
        <f>0</f>
        <v>0</v>
      </c>
      <c r="K22" s="32">
        <f>10.5</f>
        <v>10.5</v>
      </c>
      <c r="L22" s="32">
        <f>8806751.23</f>
        <v>8806751.23</v>
      </c>
      <c r="M22" s="32">
        <f>2979495.79</f>
        <v>2979495.79</v>
      </c>
      <c r="N22" s="32">
        <f>2246475.21</f>
        <v>2246475.21</v>
      </c>
      <c r="O22" s="32">
        <f>0</f>
        <v>0</v>
      </c>
      <c r="P22" s="32">
        <f>0</f>
        <v>0</v>
      </c>
      <c r="Q22" s="32">
        <f>0</f>
        <v>0</v>
      </c>
    </row>
    <row r="23" spans="1:17" ht="31.5" customHeight="1">
      <c r="A23" s="24" t="s">
        <v>54</v>
      </c>
      <c r="B23" s="32">
        <f>13818242.03</f>
        <v>13818242.03</v>
      </c>
      <c r="C23" s="32">
        <f>13817757.43</f>
        <v>13817757.43</v>
      </c>
      <c r="D23" s="32">
        <f>9636208.87</f>
        <v>9636208.87</v>
      </c>
      <c r="E23" s="32">
        <f>354370.64</f>
        <v>354370.64</v>
      </c>
      <c r="F23" s="32">
        <f>279.18</f>
        <v>279.18</v>
      </c>
      <c r="G23" s="32">
        <f>5903218.31</f>
        <v>5903218.31</v>
      </c>
      <c r="H23" s="32">
        <f>3378340.74</f>
        <v>3378340.74</v>
      </c>
      <c r="I23" s="32">
        <f>0</f>
        <v>0</v>
      </c>
      <c r="J23" s="32">
        <f>0</f>
        <v>0</v>
      </c>
      <c r="K23" s="32">
        <f>10480.44</f>
        <v>10480.44</v>
      </c>
      <c r="L23" s="32">
        <f>1258262.6</f>
        <v>1258262.6</v>
      </c>
      <c r="M23" s="32">
        <f>2912502.41</f>
        <v>2912502.41</v>
      </c>
      <c r="N23" s="32">
        <f>303.11</f>
        <v>303.11</v>
      </c>
      <c r="O23" s="32">
        <f>484.6</f>
        <v>484.6</v>
      </c>
      <c r="P23" s="32">
        <f>0</f>
        <v>0</v>
      </c>
      <c r="Q23" s="32">
        <f>484.6</f>
        <v>484.6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3" ht="45.75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6" spans="1:13" ht="13.5" customHeight="1">
      <c r="A36" s="54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8" spans="1:17" ht="13.5" customHeight="1">
      <c r="A38" s="39" t="s">
        <v>0</v>
      </c>
      <c r="B38" s="55" t="s">
        <v>9</v>
      </c>
      <c r="C38" s="47" t="s">
        <v>11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1" t="s">
        <v>21</v>
      </c>
      <c r="P38" s="52"/>
      <c r="Q38" s="53"/>
    </row>
    <row r="39" spans="1:17" ht="13.5" customHeight="1">
      <c r="A39" s="40"/>
      <c r="B39" s="42"/>
      <c r="C39" s="42" t="s">
        <v>10</v>
      </c>
      <c r="D39" s="44" t="s">
        <v>12</v>
      </c>
      <c r="E39" s="44" t="s">
        <v>22</v>
      </c>
      <c r="F39" s="44" t="s">
        <v>23</v>
      </c>
      <c r="G39" s="44" t="s">
        <v>72</v>
      </c>
      <c r="H39" s="44" t="s">
        <v>25</v>
      </c>
      <c r="I39" s="44" t="s">
        <v>1</v>
      </c>
      <c r="J39" s="44" t="s">
        <v>13</v>
      </c>
      <c r="K39" s="44" t="s">
        <v>14</v>
      </c>
      <c r="L39" s="44" t="s">
        <v>15</v>
      </c>
      <c r="M39" s="44" t="s">
        <v>16</v>
      </c>
      <c r="N39" s="88" t="s">
        <v>17</v>
      </c>
      <c r="O39" s="46" t="s">
        <v>18</v>
      </c>
      <c r="P39" s="46" t="s">
        <v>19</v>
      </c>
      <c r="Q39" s="97" t="s">
        <v>20</v>
      </c>
    </row>
    <row r="40" spans="1:17" ht="11.25" customHeight="1">
      <c r="A40" s="40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8"/>
      <c r="O40" s="46"/>
      <c r="P40" s="46"/>
      <c r="Q40" s="98"/>
    </row>
    <row r="41" spans="1:17" ht="32.25" customHeight="1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8"/>
      <c r="O41" s="46"/>
      <c r="P41" s="46"/>
      <c r="Q41" s="99"/>
    </row>
    <row r="42" spans="1:17" ht="12.75" customHeight="1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1">
        <v>11</v>
      </c>
      <c r="L42" s="11">
        <v>12</v>
      </c>
      <c r="M42" s="11">
        <v>13</v>
      </c>
      <c r="N42" s="11">
        <v>14</v>
      </c>
      <c r="O42" s="11"/>
      <c r="P42" s="11"/>
      <c r="Q42" s="17"/>
    </row>
    <row r="43" spans="1:17" ht="13.5" customHeight="1">
      <c r="A43" s="11"/>
      <c r="B43" s="47" t="s">
        <v>77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1">
        <v>15</v>
      </c>
      <c r="P43" s="11">
        <v>16</v>
      </c>
      <c r="Q43" s="11">
        <v>17</v>
      </c>
    </row>
    <row r="44" spans="1:17" ht="27.75" customHeight="1" hidden="1">
      <c r="A44" s="12" t="s">
        <v>26</v>
      </c>
      <c r="B44" s="13">
        <f>0</f>
        <v>0</v>
      </c>
      <c r="C44" s="13">
        <f>0</f>
        <v>0</v>
      </c>
      <c r="D44" s="13">
        <f>0</f>
        <v>0</v>
      </c>
      <c r="E44" s="13">
        <f>0</f>
        <v>0</v>
      </c>
      <c r="F44" s="13">
        <f>0</f>
        <v>0</v>
      </c>
      <c r="G44" s="13">
        <f>0</f>
        <v>0</v>
      </c>
      <c r="H44" s="13">
        <f>0</f>
        <v>0</v>
      </c>
      <c r="I44" s="13">
        <f>0</f>
        <v>0</v>
      </c>
      <c r="J44" s="13">
        <f>0</f>
        <v>0</v>
      </c>
      <c r="K44" s="13">
        <f>0</f>
        <v>0</v>
      </c>
      <c r="L44" s="13">
        <f>0</f>
        <v>0</v>
      </c>
      <c r="M44" s="13">
        <f>0</f>
        <v>0</v>
      </c>
      <c r="N44" s="13">
        <f>0</f>
        <v>0</v>
      </c>
      <c r="O44" s="13">
        <f>0</f>
        <v>0</v>
      </c>
      <c r="P44" s="13">
        <f>0</f>
        <v>0</v>
      </c>
      <c r="Q44" s="13">
        <f>0</f>
        <v>0</v>
      </c>
    </row>
    <row r="45" spans="1:17" ht="24.75" customHeight="1">
      <c r="A45" s="33" t="s">
        <v>39</v>
      </c>
      <c r="B45" s="34">
        <f>557530.05</f>
        <v>557530.05</v>
      </c>
      <c r="C45" s="34">
        <f>557530.05</f>
        <v>557530.05</v>
      </c>
      <c r="D45" s="34">
        <f>0</f>
        <v>0</v>
      </c>
      <c r="E45" s="34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122784.2</f>
        <v>122784.2</v>
      </c>
      <c r="K45" s="34">
        <f>25820</f>
        <v>25820</v>
      </c>
      <c r="L45" s="34">
        <f>135000</f>
        <v>135000</v>
      </c>
      <c r="M45" s="34">
        <f>227364.85</f>
        <v>227364.85</v>
      </c>
      <c r="N45" s="34">
        <f>46561</f>
        <v>46561</v>
      </c>
      <c r="O45" s="34">
        <f>0</f>
        <v>0</v>
      </c>
      <c r="P45" s="34">
        <f>0</f>
        <v>0</v>
      </c>
      <c r="Q45" s="34">
        <f>0</f>
        <v>0</v>
      </c>
    </row>
    <row r="46" spans="1:17" ht="24.75" customHeight="1">
      <c r="A46" s="22" t="s">
        <v>27</v>
      </c>
      <c r="B46" s="25">
        <f>62961.16</f>
        <v>62961.16</v>
      </c>
      <c r="C46" s="25">
        <f>62961.16</f>
        <v>62961.16</v>
      </c>
      <c r="D46" s="25">
        <f>0</f>
        <v>0</v>
      </c>
      <c r="E46" s="25">
        <f>0</f>
        <v>0</v>
      </c>
      <c r="F46" s="25">
        <f>0</f>
        <v>0</v>
      </c>
      <c r="G46" s="25">
        <f>0</f>
        <v>0</v>
      </c>
      <c r="H46" s="25">
        <f>0</f>
        <v>0</v>
      </c>
      <c r="I46" s="25">
        <f>0</f>
        <v>0</v>
      </c>
      <c r="J46" s="25">
        <f>0</f>
        <v>0</v>
      </c>
      <c r="K46" s="25">
        <f>0</f>
        <v>0</v>
      </c>
      <c r="L46" s="25">
        <f>0</f>
        <v>0</v>
      </c>
      <c r="M46" s="25">
        <f>16400.16</f>
        <v>16400.16</v>
      </c>
      <c r="N46" s="25">
        <f>46561</f>
        <v>46561</v>
      </c>
      <c r="O46" s="14">
        <f>0</f>
        <v>0</v>
      </c>
      <c r="P46" s="14">
        <f>0</f>
        <v>0</v>
      </c>
      <c r="Q46" s="14">
        <f>0</f>
        <v>0</v>
      </c>
    </row>
    <row r="47" spans="1:17" ht="24.75" customHeight="1">
      <c r="A47" s="22" t="s">
        <v>28</v>
      </c>
      <c r="B47" s="25">
        <f>494568.89</f>
        <v>494568.89</v>
      </c>
      <c r="C47" s="25">
        <f>494568.89</f>
        <v>494568.89</v>
      </c>
      <c r="D47" s="25">
        <f>0</f>
        <v>0</v>
      </c>
      <c r="E47" s="25">
        <f>0</f>
        <v>0</v>
      </c>
      <c r="F47" s="25">
        <f>0</f>
        <v>0</v>
      </c>
      <c r="G47" s="25">
        <f>0</f>
        <v>0</v>
      </c>
      <c r="H47" s="25">
        <f>0</f>
        <v>0</v>
      </c>
      <c r="I47" s="25">
        <f>0</f>
        <v>0</v>
      </c>
      <c r="J47" s="25">
        <f>122784.2</f>
        <v>122784.2</v>
      </c>
      <c r="K47" s="25">
        <f>25820</f>
        <v>25820</v>
      </c>
      <c r="L47" s="25">
        <f>135000</f>
        <v>135000</v>
      </c>
      <c r="M47" s="25">
        <f>210964.69</f>
        <v>210964.69</v>
      </c>
      <c r="N47" s="25">
        <f>0</f>
        <v>0</v>
      </c>
      <c r="O47" s="14">
        <f>0</f>
        <v>0</v>
      </c>
      <c r="P47" s="14">
        <f>0</f>
        <v>0</v>
      </c>
      <c r="Q47" s="14">
        <f>0</f>
        <v>0</v>
      </c>
    </row>
    <row r="48" spans="1:17" ht="24.75" customHeight="1">
      <c r="A48" s="23" t="s">
        <v>40</v>
      </c>
      <c r="B48" s="25">
        <f>378652723.11</f>
        <v>378652723.11</v>
      </c>
      <c r="C48" s="25">
        <f>378504162.01</f>
        <v>378504162.01</v>
      </c>
      <c r="D48" s="25">
        <f>40944465.78</f>
        <v>40944465.78</v>
      </c>
      <c r="E48" s="25">
        <f>146188.46</f>
        <v>146188.46</v>
      </c>
      <c r="F48" s="25">
        <f>278157</f>
        <v>278157</v>
      </c>
      <c r="G48" s="25">
        <f>24420120.32</f>
        <v>24420120.32</v>
      </c>
      <c r="H48" s="25">
        <f>16100000</f>
        <v>16100000</v>
      </c>
      <c r="I48" s="25">
        <f>0</f>
        <v>0</v>
      </c>
      <c r="J48" s="25">
        <f>51788.03</f>
        <v>51788.03</v>
      </c>
      <c r="K48" s="25">
        <f>114875.04</f>
        <v>114875.04</v>
      </c>
      <c r="L48" s="25">
        <f>120514571.96</f>
        <v>120514571.96</v>
      </c>
      <c r="M48" s="25">
        <f>188357942.25</f>
        <v>188357942.25</v>
      </c>
      <c r="N48" s="25">
        <f>28520518.95</f>
        <v>28520518.95</v>
      </c>
      <c r="O48" s="14">
        <f>148561.1</f>
        <v>148561.1</v>
      </c>
      <c r="P48" s="14">
        <f>3883.66</f>
        <v>3883.66</v>
      </c>
      <c r="Q48" s="14">
        <f>144677.44</f>
        <v>144677.44</v>
      </c>
    </row>
    <row r="49" spans="1:17" ht="24.75" customHeight="1">
      <c r="A49" s="22" t="s">
        <v>29</v>
      </c>
      <c r="B49" s="25">
        <f>47210932.7</f>
        <v>47210932.7</v>
      </c>
      <c r="C49" s="25">
        <f>47066255.26</f>
        <v>47066255.26</v>
      </c>
      <c r="D49" s="25">
        <f>24531514.53</f>
        <v>24531514.53</v>
      </c>
      <c r="E49" s="25">
        <f>310.59</f>
        <v>310.59</v>
      </c>
      <c r="F49" s="25">
        <f>0</f>
        <v>0</v>
      </c>
      <c r="G49" s="25">
        <f>8431203.94</f>
        <v>8431203.94</v>
      </c>
      <c r="H49" s="25">
        <f>16100000</f>
        <v>16100000</v>
      </c>
      <c r="I49" s="25">
        <f>0</f>
        <v>0</v>
      </c>
      <c r="J49" s="25">
        <f>0</f>
        <v>0</v>
      </c>
      <c r="K49" s="25">
        <f>0</f>
        <v>0</v>
      </c>
      <c r="L49" s="25">
        <f>7252510.59</f>
        <v>7252510.59</v>
      </c>
      <c r="M49" s="25">
        <f>1592336.37</f>
        <v>1592336.37</v>
      </c>
      <c r="N49" s="25">
        <f>13689893.77</f>
        <v>13689893.77</v>
      </c>
      <c r="O49" s="14">
        <f>144677.44</f>
        <v>144677.44</v>
      </c>
      <c r="P49" s="14">
        <f>0</f>
        <v>0</v>
      </c>
      <c r="Q49" s="14">
        <f>144677.44</f>
        <v>144677.44</v>
      </c>
    </row>
    <row r="50" spans="1:17" ht="24.75" customHeight="1">
      <c r="A50" s="22" t="s">
        <v>30</v>
      </c>
      <c r="B50" s="25">
        <f>331441790.41</f>
        <v>331441790.41</v>
      </c>
      <c r="C50" s="25">
        <f>331437906.75</f>
        <v>331437906.75</v>
      </c>
      <c r="D50" s="25">
        <f>16412951.25</f>
        <v>16412951.25</v>
      </c>
      <c r="E50" s="25">
        <f>145877.87</f>
        <v>145877.87</v>
      </c>
      <c r="F50" s="25">
        <f>278157</f>
        <v>278157</v>
      </c>
      <c r="G50" s="25">
        <f>15988916.38</f>
        <v>15988916.38</v>
      </c>
      <c r="H50" s="25">
        <f>0</f>
        <v>0</v>
      </c>
      <c r="I50" s="25">
        <f>0</f>
        <v>0</v>
      </c>
      <c r="J50" s="25">
        <f>51788.03</f>
        <v>51788.03</v>
      </c>
      <c r="K50" s="25">
        <f>114875.04</f>
        <v>114875.04</v>
      </c>
      <c r="L50" s="25">
        <f>113262061.37</f>
        <v>113262061.37</v>
      </c>
      <c r="M50" s="25">
        <f>186765605.88</f>
        <v>186765605.88</v>
      </c>
      <c r="N50" s="25">
        <f>14830625.18</f>
        <v>14830625.18</v>
      </c>
      <c r="O50" s="14">
        <f>3883.66</f>
        <v>3883.66</v>
      </c>
      <c r="P50" s="14">
        <f>3883.66</f>
        <v>3883.66</v>
      </c>
      <c r="Q50" s="14">
        <f>0</f>
        <v>0</v>
      </c>
    </row>
    <row r="51" spans="1:17" ht="24.75" customHeight="1">
      <c r="A51" s="33" t="s">
        <v>41</v>
      </c>
      <c r="B51" s="34">
        <f>53520808118.81</f>
        <v>53520808118.81</v>
      </c>
      <c r="C51" s="34">
        <f>53520808118.81</f>
        <v>53520808118.81</v>
      </c>
      <c r="D51" s="34">
        <f>24560309.45</f>
        <v>24560309.45</v>
      </c>
      <c r="E51" s="34">
        <f>15821134.02</f>
        <v>15821134.02</v>
      </c>
      <c r="F51" s="34">
        <f>13244.58</f>
        <v>13244.58</v>
      </c>
      <c r="G51" s="34">
        <f>8725930.85</f>
        <v>8725930.85</v>
      </c>
      <c r="H51" s="34">
        <f>0</f>
        <v>0</v>
      </c>
      <c r="I51" s="34">
        <f>0</f>
        <v>0</v>
      </c>
      <c r="J51" s="34">
        <f>53487757431.84</f>
        <v>53487757431.84</v>
      </c>
      <c r="K51" s="34">
        <f>47532.8</f>
        <v>47532.8</v>
      </c>
      <c r="L51" s="34">
        <f>7473260.87</f>
        <v>7473260.87</v>
      </c>
      <c r="M51" s="34">
        <f>969583.85</f>
        <v>969583.85</v>
      </c>
      <c r="N51" s="34">
        <f>0</f>
        <v>0</v>
      </c>
      <c r="O51" s="34">
        <f>0</f>
        <v>0</v>
      </c>
      <c r="P51" s="34">
        <f>0</f>
        <v>0</v>
      </c>
      <c r="Q51" s="34">
        <f>0</f>
        <v>0</v>
      </c>
    </row>
    <row r="52" spans="1:17" ht="24.75" customHeight="1">
      <c r="A52" s="22" t="s">
        <v>31</v>
      </c>
      <c r="B52" s="25">
        <f>8677264.88</f>
        <v>8677264.88</v>
      </c>
      <c r="C52" s="25">
        <f>8677264.88</f>
        <v>8677264.88</v>
      </c>
      <c r="D52" s="25">
        <f>8658980.3</f>
        <v>8658980.3</v>
      </c>
      <c r="E52" s="25">
        <f>0</f>
        <v>0</v>
      </c>
      <c r="F52" s="25">
        <f>0</f>
        <v>0</v>
      </c>
      <c r="G52" s="25">
        <f>8658980.3</f>
        <v>8658980.3</v>
      </c>
      <c r="H52" s="25">
        <f>0</f>
        <v>0</v>
      </c>
      <c r="I52" s="25">
        <f>0</f>
        <v>0</v>
      </c>
      <c r="J52" s="25">
        <f>18284.58</f>
        <v>18284.58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14">
        <f>0</f>
        <v>0</v>
      </c>
      <c r="P52" s="14">
        <f>0</f>
        <v>0</v>
      </c>
      <c r="Q52" s="14">
        <f>0</f>
        <v>0</v>
      </c>
    </row>
    <row r="53" spans="1:17" ht="24.75" customHeight="1">
      <c r="A53" s="22" t="s">
        <v>32</v>
      </c>
      <c r="B53" s="25">
        <f>50337788817.33</f>
        <v>50337788817.33</v>
      </c>
      <c r="C53" s="25">
        <f>50337788817.33</f>
        <v>50337788817.33</v>
      </c>
      <c r="D53" s="25">
        <f>15753423.47</f>
        <v>15753423.47</v>
      </c>
      <c r="E53" s="25">
        <f>15744584.02</f>
        <v>15744584.02</v>
      </c>
      <c r="F53" s="25">
        <f>6750</f>
        <v>6750</v>
      </c>
      <c r="G53" s="25">
        <f>2089.45</f>
        <v>2089.45</v>
      </c>
      <c r="H53" s="25">
        <f>0</f>
        <v>0</v>
      </c>
      <c r="I53" s="25">
        <f>0</f>
        <v>0</v>
      </c>
      <c r="J53" s="25">
        <f>50313943042.48</f>
        <v>50313943042.48</v>
      </c>
      <c r="K53" s="25">
        <f>42800.48</f>
        <v>42800.48</v>
      </c>
      <c r="L53" s="25">
        <f>7190485.46</f>
        <v>7190485.46</v>
      </c>
      <c r="M53" s="25">
        <f>859065.44</f>
        <v>859065.44</v>
      </c>
      <c r="N53" s="25">
        <f>0</f>
        <v>0</v>
      </c>
      <c r="O53" s="14">
        <f>0</f>
        <v>0</v>
      </c>
      <c r="P53" s="14">
        <f>0</f>
        <v>0</v>
      </c>
      <c r="Q53" s="14">
        <f>0</f>
        <v>0</v>
      </c>
    </row>
    <row r="54" spans="1:17" ht="24.75" customHeight="1">
      <c r="A54" s="22" t="s">
        <v>33</v>
      </c>
      <c r="B54" s="25">
        <f>3174342036.6</f>
        <v>3174342036.6</v>
      </c>
      <c r="C54" s="25">
        <f>3174342036.6</f>
        <v>3174342036.6</v>
      </c>
      <c r="D54" s="25">
        <f>147905.68</f>
        <v>147905.68</v>
      </c>
      <c r="E54" s="25">
        <f>76550</f>
        <v>76550</v>
      </c>
      <c r="F54" s="25">
        <f>6494.58</f>
        <v>6494.58</v>
      </c>
      <c r="G54" s="25">
        <f>64861.1</f>
        <v>64861.1</v>
      </c>
      <c r="H54" s="25">
        <f>0</f>
        <v>0</v>
      </c>
      <c r="I54" s="25">
        <f>0</f>
        <v>0</v>
      </c>
      <c r="J54" s="25">
        <f>3173796104.78</f>
        <v>3173796104.78</v>
      </c>
      <c r="K54" s="25">
        <f>4732.32</f>
        <v>4732.32</v>
      </c>
      <c r="L54" s="25">
        <f>282775.41</f>
        <v>282775.41</v>
      </c>
      <c r="M54" s="25">
        <f>110518.41</f>
        <v>110518.41</v>
      </c>
      <c r="N54" s="25">
        <f>0</f>
        <v>0</v>
      </c>
      <c r="O54" s="14">
        <f>0</f>
        <v>0</v>
      </c>
      <c r="P54" s="14">
        <f>0</f>
        <v>0</v>
      </c>
      <c r="Q54" s="14">
        <f>0</f>
        <v>0</v>
      </c>
    </row>
    <row r="55" spans="1:17" ht="24.75" customHeight="1">
      <c r="A55" s="33" t="s">
        <v>42</v>
      </c>
      <c r="B55" s="34">
        <f>9753409713.09</f>
        <v>9753409713.09</v>
      </c>
      <c r="C55" s="34">
        <f>9729632945.1</f>
        <v>9729632945.1</v>
      </c>
      <c r="D55" s="34">
        <f>147629867.23</f>
        <v>147629867.23</v>
      </c>
      <c r="E55" s="34">
        <f>101937603.26</f>
        <v>101937603.26</v>
      </c>
      <c r="F55" s="34">
        <f>1736615.34</f>
        <v>1736615.34</v>
      </c>
      <c r="G55" s="34">
        <f>42968823.64</f>
        <v>42968823.64</v>
      </c>
      <c r="H55" s="34">
        <f>986824.99</f>
        <v>986824.99</v>
      </c>
      <c r="I55" s="34">
        <f>0</f>
        <v>0</v>
      </c>
      <c r="J55" s="34">
        <f>9703845.59</f>
        <v>9703845.59</v>
      </c>
      <c r="K55" s="34">
        <f>10665111.17</f>
        <v>10665111.17</v>
      </c>
      <c r="L55" s="34">
        <f>2063299937.22</f>
        <v>2063299937.22</v>
      </c>
      <c r="M55" s="34">
        <f>7442873844.74</f>
        <v>7442873844.74</v>
      </c>
      <c r="N55" s="34">
        <f>55460339.15</f>
        <v>55460339.15</v>
      </c>
      <c r="O55" s="34">
        <f>23776767.99</f>
        <v>23776767.99</v>
      </c>
      <c r="P55" s="34">
        <f>15906227.63</f>
        <v>15906227.63</v>
      </c>
      <c r="Q55" s="34">
        <f>7870540.36</f>
        <v>7870540.36</v>
      </c>
    </row>
    <row r="56" spans="1:17" ht="24.75" customHeight="1">
      <c r="A56" s="21" t="s">
        <v>34</v>
      </c>
      <c r="B56" s="25">
        <f>1191628800.91</f>
        <v>1191628800.91</v>
      </c>
      <c r="C56" s="25">
        <f>1191519540.47</f>
        <v>1191519540.47</v>
      </c>
      <c r="D56" s="25">
        <f>5108666.43</f>
        <v>5108666.43</v>
      </c>
      <c r="E56" s="25">
        <f>1595031.09</f>
        <v>1595031.09</v>
      </c>
      <c r="F56" s="25">
        <f>405425.69</f>
        <v>405425.69</v>
      </c>
      <c r="G56" s="25">
        <f>3032051.25</f>
        <v>3032051.25</v>
      </c>
      <c r="H56" s="25">
        <f>76158.4</f>
        <v>76158.4</v>
      </c>
      <c r="I56" s="25">
        <f>0</f>
        <v>0</v>
      </c>
      <c r="J56" s="25">
        <f>125204.15</f>
        <v>125204.15</v>
      </c>
      <c r="K56" s="25">
        <f>207744.75</f>
        <v>207744.75</v>
      </c>
      <c r="L56" s="25">
        <f>172258757.04</f>
        <v>172258757.04</v>
      </c>
      <c r="M56" s="25">
        <f>1005842180.28</f>
        <v>1005842180.28</v>
      </c>
      <c r="N56" s="25">
        <f>7976987.82</f>
        <v>7976987.82</v>
      </c>
      <c r="O56" s="14">
        <f>109260.44</f>
        <v>109260.44</v>
      </c>
      <c r="P56" s="14">
        <f>108980.95</f>
        <v>108980.95</v>
      </c>
      <c r="Q56" s="14">
        <f>279.49</f>
        <v>279.49</v>
      </c>
    </row>
    <row r="57" spans="1:17" ht="24.75" customHeight="1">
      <c r="A57" s="22" t="s">
        <v>35</v>
      </c>
      <c r="B57" s="25">
        <f>8561780912.18</f>
        <v>8561780912.18</v>
      </c>
      <c r="C57" s="25">
        <f>8538113404.63</f>
        <v>8538113404.63</v>
      </c>
      <c r="D57" s="25">
        <f>142521200.8</f>
        <v>142521200.8</v>
      </c>
      <c r="E57" s="25">
        <f>100342572.17</f>
        <v>100342572.17</v>
      </c>
      <c r="F57" s="25">
        <f>1331189.65</f>
        <v>1331189.65</v>
      </c>
      <c r="G57" s="25">
        <f>39936772.39</f>
        <v>39936772.39</v>
      </c>
      <c r="H57" s="25">
        <f>910666.59</f>
        <v>910666.59</v>
      </c>
      <c r="I57" s="25">
        <f>0</f>
        <v>0</v>
      </c>
      <c r="J57" s="25">
        <f>9578641.44</f>
        <v>9578641.44</v>
      </c>
      <c r="K57" s="25">
        <f>10457366.42</f>
        <v>10457366.42</v>
      </c>
      <c r="L57" s="25">
        <f>1891041180.18</f>
        <v>1891041180.18</v>
      </c>
      <c r="M57" s="25">
        <f>6437031664.46</f>
        <v>6437031664.46</v>
      </c>
      <c r="N57" s="25">
        <f>47483351.33</f>
        <v>47483351.33</v>
      </c>
      <c r="O57" s="14">
        <f>23667507.55</f>
        <v>23667507.55</v>
      </c>
      <c r="P57" s="14">
        <f>15797246.68</f>
        <v>15797246.68</v>
      </c>
      <c r="Q57" s="14">
        <f>7870260.87</f>
        <v>7870260.87</v>
      </c>
    </row>
    <row r="58" spans="1:17" ht="24.75" customHeight="1">
      <c r="A58" s="33" t="s">
        <v>43</v>
      </c>
      <c r="B58" s="34">
        <f>7966342156.43</f>
        <v>7966342156.43</v>
      </c>
      <c r="C58" s="34">
        <f>7965607697.03</f>
        <v>7965607697.03</v>
      </c>
      <c r="D58" s="34">
        <f>1297352178.31</f>
        <v>1297352178.31</v>
      </c>
      <c r="E58" s="34">
        <f>1070760439.29</f>
        <v>1070760439.29</v>
      </c>
      <c r="F58" s="34">
        <f>31472993.63</f>
        <v>31472993.63</v>
      </c>
      <c r="G58" s="34">
        <f>192179802.5</f>
        <v>192179802.5</v>
      </c>
      <c r="H58" s="34">
        <f>2938942.89</f>
        <v>2938942.89</v>
      </c>
      <c r="I58" s="34">
        <f>96931</f>
        <v>96931</v>
      </c>
      <c r="J58" s="34">
        <f>7793808.4</f>
        <v>7793808.4</v>
      </c>
      <c r="K58" s="34">
        <f>19517754.73</f>
        <v>19517754.73</v>
      </c>
      <c r="L58" s="34">
        <f>3672950614.71</f>
        <v>3672950614.71</v>
      </c>
      <c r="M58" s="34">
        <f>2887595042.63</f>
        <v>2887595042.63</v>
      </c>
      <c r="N58" s="34">
        <f>80301367.25</f>
        <v>80301367.25</v>
      </c>
      <c r="O58" s="34">
        <f>734459.4</f>
        <v>734459.4</v>
      </c>
      <c r="P58" s="34">
        <f>677334.53</f>
        <v>677334.53</v>
      </c>
      <c r="Q58" s="34">
        <f>57124.87</f>
        <v>57124.87</v>
      </c>
    </row>
    <row r="59" spans="1:17" ht="30" customHeight="1">
      <c r="A59" s="21" t="s">
        <v>36</v>
      </c>
      <c r="B59" s="25">
        <f>640520645.66</f>
        <v>640520645.66</v>
      </c>
      <c r="C59" s="25">
        <f>640415446.73</f>
        <v>640415446.73</v>
      </c>
      <c r="D59" s="25">
        <f>42670313.54</f>
        <v>42670313.54</v>
      </c>
      <c r="E59" s="25">
        <f>2142676.3</f>
        <v>2142676.3</v>
      </c>
      <c r="F59" s="25">
        <f>3438632.39</f>
        <v>3438632.39</v>
      </c>
      <c r="G59" s="25">
        <f>36769907.75</f>
        <v>36769907.75</v>
      </c>
      <c r="H59" s="25">
        <f>319097.1</f>
        <v>319097.1</v>
      </c>
      <c r="I59" s="25">
        <f>0</f>
        <v>0</v>
      </c>
      <c r="J59" s="25">
        <f>950867.88</f>
        <v>950867.88</v>
      </c>
      <c r="K59" s="25">
        <f>1444166.88</f>
        <v>1444166.88</v>
      </c>
      <c r="L59" s="25">
        <f>223199776.15</f>
        <v>223199776.15</v>
      </c>
      <c r="M59" s="25">
        <f>366695242.4</f>
        <v>366695242.4</v>
      </c>
      <c r="N59" s="25">
        <f>5455079.88</f>
        <v>5455079.88</v>
      </c>
      <c r="O59" s="14">
        <f>105198.93</f>
        <v>105198.93</v>
      </c>
      <c r="P59" s="14">
        <f>90680.34</f>
        <v>90680.34</v>
      </c>
      <c r="Q59" s="14">
        <f>14518.59</f>
        <v>14518.59</v>
      </c>
    </row>
    <row r="60" spans="1:17" ht="36">
      <c r="A60" s="21" t="s">
        <v>37</v>
      </c>
      <c r="B60" s="25">
        <f>4667465024.84</f>
        <v>4667465024.84</v>
      </c>
      <c r="C60" s="25">
        <f>4666860781.17</f>
        <v>4666860781.17</v>
      </c>
      <c r="D60" s="25">
        <f>922170819.26</f>
        <v>922170819.26</v>
      </c>
      <c r="E60" s="25">
        <f>856768465.27</f>
        <v>856768465.27</v>
      </c>
      <c r="F60" s="25">
        <f>14089522.43</f>
        <v>14089522.43</v>
      </c>
      <c r="G60" s="25">
        <f>49924871.51</f>
        <v>49924871.51</v>
      </c>
      <c r="H60" s="25">
        <f>1387960.05</f>
        <v>1387960.05</v>
      </c>
      <c r="I60" s="25">
        <f>96931</f>
        <v>96931</v>
      </c>
      <c r="J60" s="25">
        <f>4001482.56</f>
        <v>4001482.56</v>
      </c>
      <c r="K60" s="25">
        <f>7189911.29</f>
        <v>7189911.29</v>
      </c>
      <c r="L60" s="25">
        <f>2479821007.63</f>
        <v>2479821007.63</v>
      </c>
      <c r="M60" s="25">
        <f>1240936356.63</f>
        <v>1240936356.63</v>
      </c>
      <c r="N60" s="25">
        <f>12644272.8</f>
        <v>12644272.8</v>
      </c>
      <c r="O60" s="14">
        <f>604243.67</f>
        <v>604243.67</v>
      </c>
      <c r="P60" s="14">
        <f>562712.81</f>
        <v>562712.81</v>
      </c>
      <c r="Q60" s="14">
        <f>41530.86</f>
        <v>41530.86</v>
      </c>
    </row>
    <row r="61" spans="1:17" ht="30.75" customHeight="1">
      <c r="A61" s="21" t="s">
        <v>38</v>
      </c>
      <c r="B61" s="25">
        <f>2658356485.93</f>
        <v>2658356485.93</v>
      </c>
      <c r="C61" s="25">
        <f>2658331469.13</f>
        <v>2658331469.13</v>
      </c>
      <c r="D61" s="25">
        <f>332511045.51</f>
        <v>332511045.51</v>
      </c>
      <c r="E61" s="25">
        <f>211849297.72</f>
        <v>211849297.72</v>
      </c>
      <c r="F61" s="25">
        <f>13944838.81</f>
        <v>13944838.81</v>
      </c>
      <c r="G61" s="25">
        <f>105485023.24</f>
        <v>105485023.24</v>
      </c>
      <c r="H61" s="25">
        <f>1231885.74</f>
        <v>1231885.74</v>
      </c>
      <c r="I61" s="25">
        <f>0</f>
        <v>0</v>
      </c>
      <c r="J61" s="25">
        <f>2841457.96</f>
        <v>2841457.96</v>
      </c>
      <c r="K61" s="25">
        <f>10883676.56</f>
        <v>10883676.56</v>
      </c>
      <c r="L61" s="25">
        <f>969929830.93</f>
        <v>969929830.93</v>
      </c>
      <c r="M61" s="25">
        <f>1279963443.6</f>
        <v>1279963443.6</v>
      </c>
      <c r="N61" s="25">
        <f>62202014.57</f>
        <v>62202014.57</v>
      </c>
      <c r="O61" s="14">
        <f>25016.8</f>
        <v>25016.8</v>
      </c>
      <c r="P61" s="14">
        <f>23941.38</f>
        <v>23941.38</v>
      </c>
      <c r="Q61" s="14">
        <f>1075.42</f>
        <v>1075.42</v>
      </c>
    </row>
    <row r="78" spans="1:13" ht="75" customHeight="1">
      <c r="A78" s="50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 customHeight="1">
      <c r="B79" s="54" t="s">
        <v>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1" spans="2:12" ht="13.5" customHeight="1">
      <c r="B81" s="79" t="s">
        <v>0</v>
      </c>
      <c r="C81" s="80"/>
      <c r="D81" s="80"/>
      <c r="E81" s="81"/>
      <c r="F81" s="89" t="s">
        <v>70</v>
      </c>
      <c r="G81" s="61" t="s">
        <v>76</v>
      </c>
      <c r="H81" s="62"/>
      <c r="I81" s="62"/>
      <c r="J81" s="62"/>
      <c r="K81" s="62"/>
      <c r="L81" s="63"/>
    </row>
    <row r="82" spans="2:12" ht="13.5" customHeight="1">
      <c r="B82" s="82"/>
      <c r="C82" s="83"/>
      <c r="D82" s="83"/>
      <c r="E82" s="84"/>
      <c r="F82" s="90"/>
      <c r="G82" s="92" t="s">
        <v>71</v>
      </c>
      <c r="H82" s="45" t="s">
        <v>68</v>
      </c>
      <c r="I82" s="45" t="s">
        <v>69</v>
      </c>
      <c r="J82" s="45" t="s">
        <v>72</v>
      </c>
      <c r="K82" s="45" t="s">
        <v>73</v>
      </c>
      <c r="L82" s="93" t="s">
        <v>74</v>
      </c>
    </row>
    <row r="83" spans="2:12" ht="13.5" customHeight="1">
      <c r="B83" s="82"/>
      <c r="C83" s="83"/>
      <c r="D83" s="83"/>
      <c r="E83" s="84"/>
      <c r="F83" s="90"/>
      <c r="G83" s="92"/>
      <c r="H83" s="45"/>
      <c r="I83" s="45"/>
      <c r="J83" s="45"/>
      <c r="K83" s="45"/>
      <c r="L83" s="93"/>
    </row>
    <row r="84" spans="2:12" ht="11.25" customHeight="1">
      <c r="B84" s="82"/>
      <c r="C84" s="83"/>
      <c r="D84" s="83"/>
      <c r="E84" s="84"/>
      <c r="F84" s="90"/>
      <c r="G84" s="92"/>
      <c r="H84" s="45"/>
      <c r="I84" s="45"/>
      <c r="J84" s="45"/>
      <c r="K84" s="45"/>
      <c r="L84" s="93"/>
    </row>
    <row r="85" spans="2:12" ht="11.25" customHeight="1">
      <c r="B85" s="85"/>
      <c r="C85" s="86"/>
      <c r="D85" s="86"/>
      <c r="E85" s="87"/>
      <c r="F85" s="91"/>
      <c r="G85" s="92"/>
      <c r="H85" s="45"/>
      <c r="I85" s="45"/>
      <c r="J85" s="45"/>
      <c r="K85" s="45"/>
      <c r="L85" s="93"/>
    </row>
    <row r="86" spans="2:12" ht="11.25" customHeight="1">
      <c r="B86" s="45">
        <v>1</v>
      </c>
      <c r="C86" s="45"/>
      <c r="D86" s="45"/>
      <c r="E86" s="45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0">
        <v>8</v>
      </c>
    </row>
    <row r="87" spans="2:12" ht="13.5" customHeight="1">
      <c r="B87" s="45"/>
      <c r="C87" s="45"/>
      <c r="D87" s="45"/>
      <c r="E87" s="45"/>
      <c r="F87" s="61" t="s">
        <v>77</v>
      </c>
      <c r="G87" s="37"/>
      <c r="H87" s="37"/>
      <c r="I87" s="37"/>
      <c r="J87" s="37"/>
      <c r="K87" s="37"/>
      <c r="L87" s="38"/>
    </row>
    <row r="88" spans="2:12" ht="33.75" customHeight="1">
      <c r="B88" s="72" t="s">
        <v>55</v>
      </c>
      <c r="C88" s="73"/>
      <c r="D88" s="73"/>
      <c r="E88" s="74"/>
      <c r="F88" s="32">
        <f>1021085152.36</f>
        <v>1021085152.36</v>
      </c>
      <c r="G88" s="32">
        <f>419116547.59</f>
        <v>419116547.59</v>
      </c>
      <c r="H88" s="32">
        <f>29659318.01</f>
        <v>29659318.01</v>
      </c>
      <c r="I88" s="32">
        <f>161921620.38</f>
        <v>161921620.38</v>
      </c>
      <c r="J88" s="32">
        <f>222127870.54</f>
        <v>222127870.54</v>
      </c>
      <c r="K88" s="32">
        <f>5407738.66</f>
        <v>5407738.66</v>
      </c>
      <c r="L88" s="32">
        <f>601968604.77</f>
        <v>601968604.77</v>
      </c>
    </row>
    <row r="89" spans="2:12" ht="33.75" customHeight="1">
      <c r="B89" s="72" t="s">
        <v>56</v>
      </c>
      <c r="C89" s="73"/>
      <c r="D89" s="73"/>
      <c r="E89" s="74"/>
      <c r="F89" s="32">
        <f>13386027</f>
        <v>13386027</v>
      </c>
      <c r="G89" s="32">
        <f>1170883</f>
        <v>1170883</v>
      </c>
      <c r="H89" s="32">
        <f>0</f>
        <v>0</v>
      </c>
      <c r="I89" s="32">
        <f>0</f>
        <v>0</v>
      </c>
      <c r="J89" s="32">
        <f>1170883</f>
        <v>1170883</v>
      </c>
      <c r="K89" s="32">
        <f>0</f>
        <v>0</v>
      </c>
      <c r="L89" s="32">
        <f>12215144</f>
        <v>12215144</v>
      </c>
    </row>
    <row r="90" spans="2:12" ht="33.75" customHeight="1">
      <c r="B90" s="72" t="s">
        <v>57</v>
      </c>
      <c r="C90" s="73"/>
      <c r="D90" s="73"/>
      <c r="E90" s="74"/>
      <c r="F90" s="32">
        <f>67174137.84</f>
        <v>67174137.84</v>
      </c>
      <c r="G90" s="32">
        <f>30202016.69</f>
        <v>30202016.69</v>
      </c>
      <c r="H90" s="32">
        <f>200000</f>
        <v>200000</v>
      </c>
      <c r="I90" s="32">
        <f>0</f>
        <v>0</v>
      </c>
      <c r="J90" s="32">
        <f>30002016.69</f>
        <v>30002016.69</v>
      </c>
      <c r="K90" s="32">
        <f>0</f>
        <v>0</v>
      </c>
      <c r="L90" s="32">
        <f>36972121.15</f>
        <v>36972121.15</v>
      </c>
    </row>
    <row r="91" spans="2:12" ht="22.5" customHeight="1">
      <c r="B91" s="72" t="s">
        <v>58</v>
      </c>
      <c r="C91" s="73"/>
      <c r="D91" s="73"/>
      <c r="E91" s="74"/>
      <c r="F91" s="32">
        <f>14283905.64</f>
        <v>14283905.64</v>
      </c>
      <c r="G91" s="32">
        <f>0</f>
        <v>0</v>
      </c>
      <c r="H91" s="32">
        <f>0</f>
        <v>0</v>
      </c>
      <c r="I91" s="32">
        <f>0</f>
        <v>0</v>
      </c>
      <c r="J91" s="32">
        <f>0</f>
        <v>0</v>
      </c>
      <c r="K91" s="32">
        <f>0</f>
        <v>0</v>
      </c>
      <c r="L91" s="32">
        <f>14283905.64</f>
        <v>14283905.64</v>
      </c>
    </row>
    <row r="92" spans="2:12" ht="33.75" customHeight="1">
      <c r="B92" s="72" t="s">
        <v>59</v>
      </c>
      <c r="C92" s="73"/>
      <c r="D92" s="73"/>
      <c r="E92" s="74"/>
      <c r="F92" s="32">
        <f>55993.71</f>
        <v>55993.71</v>
      </c>
      <c r="G92" s="32">
        <f>0</f>
        <v>0</v>
      </c>
      <c r="H92" s="32">
        <f>0</f>
        <v>0</v>
      </c>
      <c r="I92" s="32">
        <f>0</f>
        <v>0</v>
      </c>
      <c r="J92" s="32">
        <f>0</f>
        <v>0</v>
      </c>
      <c r="K92" s="32">
        <f>0</f>
        <v>0</v>
      </c>
      <c r="L92" s="32">
        <f>55993.71</f>
        <v>55993.71</v>
      </c>
    </row>
    <row r="93" spans="2:12" ht="33.75" customHeight="1">
      <c r="B93" s="72" t="s">
        <v>60</v>
      </c>
      <c r="C93" s="73"/>
      <c r="D93" s="73"/>
      <c r="E93" s="74"/>
      <c r="F93" s="32">
        <f>3333994.53</f>
        <v>3333994.53</v>
      </c>
      <c r="G93" s="32">
        <f>0</f>
        <v>0</v>
      </c>
      <c r="H93" s="32">
        <f>0</f>
        <v>0</v>
      </c>
      <c r="I93" s="32">
        <f>0</f>
        <v>0</v>
      </c>
      <c r="J93" s="32">
        <f>0</f>
        <v>0</v>
      </c>
      <c r="K93" s="32">
        <f>0</f>
        <v>0</v>
      </c>
      <c r="L93" s="32">
        <f>3333994.53</f>
        <v>3333994.53</v>
      </c>
    </row>
    <row r="94" spans="2:12" ht="22.5" customHeight="1">
      <c r="B94" s="72" t="s">
        <v>61</v>
      </c>
      <c r="C94" s="73"/>
      <c r="D94" s="73"/>
      <c r="E94" s="74"/>
      <c r="F94" s="32">
        <f>162055.48</f>
        <v>162055.48</v>
      </c>
      <c r="G94" s="32">
        <f>0</f>
        <v>0</v>
      </c>
      <c r="H94" s="32">
        <f>0</f>
        <v>0</v>
      </c>
      <c r="I94" s="32">
        <f>0</f>
        <v>0</v>
      </c>
      <c r="J94" s="32">
        <f>0</f>
        <v>0</v>
      </c>
      <c r="K94" s="32">
        <f>0</f>
        <v>0</v>
      </c>
      <c r="L94" s="32">
        <f>162055.48</f>
        <v>162055.48</v>
      </c>
    </row>
    <row r="97" spans="1:13" ht="75" customHeight="1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ht="13.5" customHeight="1">
      <c r="B98" s="4"/>
    </row>
    <row r="99" spans="2:11" ht="13.5" customHeight="1">
      <c r="B99" s="5"/>
      <c r="C99" s="61"/>
      <c r="D99" s="62"/>
      <c r="E99" s="62"/>
      <c r="F99" s="63"/>
      <c r="G99" s="61" t="s">
        <v>3</v>
      </c>
      <c r="H99" s="63"/>
      <c r="I99" s="61" t="s">
        <v>4</v>
      </c>
      <c r="J99" s="63"/>
      <c r="K99" s="5"/>
    </row>
    <row r="100" spans="2:11" ht="13.5" customHeight="1">
      <c r="B100" s="6"/>
      <c r="C100" s="69" t="s">
        <v>5</v>
      </c>
      <c r="D100" s="70"/>
      <c r="E100" s="70"/>
      <c r="F100" s="71"/>
      <c r="G100" s="65">
        <f>2220</f>
        <v>2220</v>
      </c>
      <c r="H100" s="66"/>
      <c r="I100" s="67">
        <f>11520943523.5</f>
        <v>11520943523.5</v>
      </c>
      <c r="J100" s="68"/>
      <c r="K100" s="7"/>
    </row>
    <row r="101" spans="2:11" ht="13.5" customHeight="1">
      <c r="B101" s="6"/>
      <c r="C101" s="72" t="s">
        <v>6</v>
      </c>
      <c r="D101" s="73"/>
      <c r="E101" s="73"/>
      <c r="F101" s="74"/>
      <c r="G101" s="75">
        <f>190</f>
        <v>190</v>
      </c>
      <c r="H101" s="76"/>
      <c r="I101" s="77">
        <f>-365251810.51</f>
        <v>-365251810.51</v>
      </c>
      <c r="J101" s="78"/>
      <c r="K101" s="7"/>
    </row>
    <row r="102" spans="2:11" ht="13.5" customHeight="1">
      <c r="B102" s="6"/>
      <c r="C102" s="69" t="s">
        <v>7</v>
      </c>
      <c r="D102" s="70"/>
      <c r="E102" s="70"/>
      <c r="F102" s="71"/>
      <c r="G102" s="65">
        <f>0</f>
        <v>0</v>
      </c>
      <c r="H102" s="66"/>
      <c r="I102" s="67">
        <f>0</f>
        <v>0</v>
      </c>
      <c r="J102" s="68"/>
      <c r="K102" s="7"/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2016-08-26T11:23:29Z</cp:lastPrinted>
  <dcterms:created xsi:type="dcterms:W3CDTF">2001-05-17T08:58:03Z</dcterms:created>
  <dcterms:modified xsi:type="dcterms:W3CDTF">2021-12-08T11:05:23Z</dcterms:modified>
  <cp:category/>
  <cp:version/>
  <cp:contentType/>
  <cp:contentStatus/>
</cp:coreProperties>
</file>