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<sst xmlns="http://schemas.openxmlformats.org/spreadsheetml/2006/main" count="98" uniqueCount="79">
  <si>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</si>
  <si>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</si>
  <si>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</si>
  <si>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</si>
  <si>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</si>
  <si>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</si>
  <si>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</si>
  <si>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</si>
  <si>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</si>
  <si>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</si>
  <si>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</si>
  <si>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</si>
  <si>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</si>
  <si>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</si>
  <si>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</si>
  <si>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</si>
  <si>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</si>
  <si>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</si>
  <si>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</si>
  <si>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</si>
  <si>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</si>
  <si>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</si>
  <si>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</si>
  <si>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</si>
  <si>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</si>
  <si>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</si>
  <si>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</si>
  <si>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</si>
  <si>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</si>
  <si>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</si>
  <si>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</si>
  <si>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</si>
  <si>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</si>
  <si>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</si>
  <si>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</si>
  <si>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</si>
  <si>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</si>
  <si>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</si>
  <si>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</si>
  <si>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</si>
  <si>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</si>
  <si>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</si>
  <si>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</si>
  <si>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</si>
  <si>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</si>
  <si>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</si>
  <si>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</si>
  <si>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</si>
  <si>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</si>
  <si>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</si>
  <si>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</si>
  <si>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</si>
  <si>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</si>
  <si>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</si>
  <si>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</si>
  <si>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</si>
  <si>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</si>
  <si>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</si>
  <si>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</si>
  <si>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</si>
  <si>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</si>
  <si>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</si>
  <si>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</si>
  <si>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</si>
  <si>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</si>
  <si>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</si>
  <si>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</si>
  <si>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</si>
  <si>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</si>
  <si>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</si>
  <si>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</si>
  <si>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</si>
  <si>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</si>
  <si>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</si>
  <si>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E1 papiery wartościowe  (E1.1+E1.2)</t>
  </si>
  <si>
    <t>E2 kredyty i pożyczki (E2.1+E2.2)</t>
  </si>
  <si>
    <t>E4  wymagalne zobowiązania (E4.1+E4.2)</t>
  </si>
  <si>
    <t>N5.2 z tytułu podatków i składek na ubezpieczenia społ.</t>
  </si>
  <si>
    <t xml:space="preserve">Informacja z wykonania budżetów powiatów za   IV Kwartały 2020 roku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</si>
</sst>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9" fillId="0" borderId="20" xfId="0" applyFont="1" applyFill="1" applyBorder="1" applyAlignment="1">
      <alignment vertical="center" wrapText="1"/>
    </xf>
    <xf numFmtId="0" fontId="3" fillId="40" borderId="19" xfId="88" applyFont="1" applyFill="1" applyBorder="1" applyAlignment="1">
      <alignment horizontal="left" vertical="center" wrapText="1"/>
      <protection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8" fillId="50" borderId="20" xfId="0" applyFont="1" applyFill="1" applyBorder="1" applyAlignment="1">
      <alignment vertical="center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27" fillId="2" borderId="24" xfId="88" applyFont="1" applyFill="1" applyBorder="1" applyAlignment="1">
      <alignment horizontal="center" vertical="center" wrapText="1"/>
      <protection/>
    </xf>
    <xf numFmtId="0" fontId="27" fillId="2" borderId="25" xfId="88" applyFont="1" applyFill="1" applyBorder="1" applyAlignment="1">
      <alignment horizontal="center" vertical="center" wrapText="1"/>
      <protection/>
    </xf>
    <xf numFmtId="0" fontId="27" fillId="2" borderId="26" xfId="88" applyFont="1" applyFill="1" applyBorder="1" applyAlignment="1">
      <alignment horizontal="center" vertical="center" wrapText="1"/>
      <protection/>
    </xf>
    <xf numFmtId="0" fontId="27" fillId="2" borderId="21" xfId="88" applyFont="1" applyFill="1" applyBorder="1" applyAlignment="1">
      <alignment horizontal="center" vertical="center" wrapText="1"/>
      <protection/>
    </xf>
    <xf numFmtId="0" fontId="27" fillId="2" borderId="22" xfId="88" applyFont="1" applyFill="1" applyBorder="1" applyAlignment="1">
      <alignment horizontal="center" vertical="center" wrapText="1"/>
      <protection/>
    </xf>
    <xf numFmtId="0" fontId="27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88"/>
  <sheetViews>
    <sheetView tabSelected="1" zoomScaleSheetLayoutView="75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2.625" style="2" customWidth="1"/>
    <col min="10" max="10" width="12.87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5" width="9.125" style="2" customWidth="1"/>
    <col min="16" max="16" width="10.25390625" style="2" customWidth="1"/>
    <col min="17" max="16384" width="9.125" style="2" customWidth="1"/>
  </cols>
  <sheetData>
    <row r="1" spans="1:13" ht="39.75" customHeight="1">
      <c r="A1" s="29" t="s">
        <v>78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9" t="s">
        <v>58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5" spans="2:17" ht="13.5" customHeight="1">
      <c r="B5" s="9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"/>
      <c r="O5" s="8"/>
      <c r="P5" s="8"/>
      <c r="Q5" s="8"/>
    </row>
    <row r="6" spans="1:17" ht="13.5" customHeight="1">
      <c r="A6" s="72" t="s">
        <v>0</v>
      </c>
      <c r="B6" s="30" t="s">
        <v>59</v>
      </c>
      <c r="C6" s="25" t="s">
        <v>63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5" t="s">
        <v>62</v>
      </c>
      <c r="P6" s="26"/>
      <c r="Q6" s="27"/>
    </row>
    <row r="7" spans="1:17" ht="13.5" customHeight="1">
      <c r="A7" s="73"/>
      <c r="B7" s="31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69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1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73"/>
      <c r="B8" s="31"/>
      <c r="C8" s="28"/>
      <c r="D8" s="28"/>
      <c r="E8" s="28"/>
      <c r="F8" s="28"/>
      <c r="G8" s="28"/>
      <c r="H8" s="28"/>
      <c r="I8" s="69"/>
      <c r="J8" s="28"/>
      <c r="K8" s="28"/>
      <c r="L8" s="28"/>
      <c r="M8" s="28"/>
      <c r="N8" s="31"/>
      <c r="O8" s="28"/>
      <c r="P8" s="28"/>
      <c r="Q8" s="28"/>
    </row>
    <row r="9" spans="1:17" ht="11.25" customHeight="1">
      <c r="A9" s="73"/>
      <c r="B9" s="31"/>
      <c r="C9" s="28"/>
      <c r="D9" s="28"/>
      <c r="E9" s="28"/>
      <c r="F9" s="28"/>
      <c r="G9" s="28"/>
      <c r="H9" s="28"/>
      <c r="I9" s="69"/>
      <c r="J9" s="28"/>
      <c r="K9" s="28"/>
      <c r="L9" s="28"/>
      <c r="M9" s="28"/>
      <c r="N9" s="31"/>
      <c r="O9" s="28"/>
      <c r="P9" s="28"/>
      <c r="Q9" s="28"/>
    </row>
    <row r="10" spans="1:17" ht="33.75" customHeight="1">
      <c r="A10" s="74"/>
      <c r="B10" s="32"/>
      <c r="C10" s="28"/>
      <c r="D10" s="28"/>
      <c r="E10" s="28"/>
      <c r="F10" s="28"/>
      <c r="G10" s="28"/>
      <c r="H10" s="28"/>
      <c r="I10" s="70"/>
      <c r="J10" s="28"/>
      <c r="K10" s="28"/>
      <c r="L10" s="28"/>
      <c r="M10" s="28"/>
      <c r="N10" s="32"/>
      <c r="O10" s="28"/>
      <c r="P10" s="28"/>
      <c r="Q10" s="28"/>
    </row>
    <row r="11" spans="1:17" ht="15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ht="12" customHeight="1">
      <c r="A12" s="10"/>
      <c r="B12" s="78" t="s">
        <v>73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39.75" customHeight="1">
      <c r="A13" s="18" t="s">
        <v>43</v>
      </c>
      <c r="B13" s="19">
        <f>6505460482.52</f>
        <v>6505460482.52</v>
      </c>
      <c r="C13" s="19">
        <f>6505460482.52</f>
        <v>6505460482.52</v>
      </c>
      <c r="D13" s="19">
        <f>296487588.53</f>
        <v>296487588.53</v>
      </c>
      <c r="E13" s="19">
        <f>238612898.03</f>
        <v>238612898.03</v>
      </c>
      <c r="F13" s="19">
        <f>16644556.4</f>
        <v>16644556.4</v>
      </c>
      <c r="G13" s="19">
        <f>41207638.21</f>
        <v>41207638.21</v>
      </c>
      <c r="H13" s="19">
        <f>22495.89</f>
        <v>22495.89</v>
      </c>
      <c r="I13" s="19">
        <f>0</f>
        <v>0</v>
      </c>
      <c r="J13" s="19">
        <f>5979125878.49</f>
        <v>5979125878.49</v>
      </c>
      <c r="K13" s="19">
        <f>226604345.75</f>
        <v>226604345.75</v>
      </c>
      <c r="L13" s="19">
        <f>2681204.64</f>
        <v>2681204.64</v>
      </c>
      <c r="M13" s="19">
        <f>561465.11</f>
        <v>561465.11</v>
      </c>
      <c r="N13" s="19">
        <f>0</f>
        <v>0</v>
      </c>
      <c r="O13" s="19">
        <f>0</f>
        <v>0</v>
      </c>
      <c r="P13" s="19">
        <f>0</f>
        <v>0</v>
      </c>
      <c r="Q13" s="19">
        <f>0</f>
        <v>0</v>
      </c>
    </row>
    <row r="14" spans="1:17" ht="24.75" customHeight="1">
      <c r="A14" s="17" t="s">
        <v>74</v>
      </c>
      <c r="B14" s="19">
        <f>68935000</f>
        <v>68935000</v>
      </c>
      <c r="C14" s="19">
        <f>68935000</f>
        <v>68935000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68935000</f>
        <v>68935000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21" customHeight="1">
      <c r="A15" s="15" t="s">
        <v>44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20.25" customHeight="1">
      <c r="A16" s="15" t="s">
        <v>45</v>
      </c>
      <c r="B16" s="20">
        <f>68935000</f>
        <v>68935000</v>
      </c>
      <c r="C16" s="20">
        <f>68935000</f>
        <v>68935000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68935000</f>
        <v>68935000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24" customHeight="1">
      <c r="A17" s="18" t="s">
        <v>75</v>
      </c>
      <c r="B17" s="19">
        <f>6432745628.65</f>
        <v>6432745628.65</v>
      </c>
      <c r="C17" s="19">
        <f>6432745628.65</f>
        <v>6432745628.65</v>
      </c>
      <c r="D17" s="19">
        <f>294401713.35</f>
        <v>294401713.35</v>
      </c>
      <c r="E17" s="19">
        <f>236592657.37</f>
        <v>236592657.37</v>
      </c>
      <c r="F17" s="19">
        <f>16637356.4</f>
        <v>16637356.4</v>
      </c>
      <c r="G17" s="19">
        <f>41171699.58</f>
        <v>41171699.58</v>
      </c>
      <c r="H17" s="19">
        <f>0</f>
        <v>0</v>
      </c>
      <c r="I17" s="19">
        <f>0</f>
        <v>0</v>
      </c>
      <c r="J17" s="19">
        <f>5910188282.3</f>
        <v>5910188282.3</v>
      </c>
      <c r="K17" s="19">
        <f>225132084.35</f>
        <v>225132084.35</v>
      </c>
      <c r="L17" s="19">
        <f>2644444.53</f>
        <v>2644444.53</v>
      </c>
      <c r="M17" s="19">
        <f>379104.12</f>
        <v>379104.12</v>
      </c>
      <c r="N17" s="19">
        <f>0</f>
        <v>0</v>
      </c>
      <c r="O17" s="19">
        <f>0</f>
        <v>0</v>
      </c>
      <c r="P17" s="19">
        <f>0</f>
        <v>0</v>
      </c>
      <c r="Q17" s="19">
        <f>0</f>
        <v>0</v>
      </c>
    </row>
    <row r="18" spans="1:17" ht="23.25" customHeight="1">
      <c r="A18" s="15" t="s">
        <v>46</v>
      </c>
      <c r="B18" s="20">
        <f>2902023.45</f>
        <v>2902023.45</v>
      </c>
      <c r="C18" s="20">
        <f>2902023.45</f>
        <v>2902023.45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2289335.21</f>
        <v>2289335.21</v>
      </c>
      <c r="K18" s="20">
        <f>325688.24</f>
        <v>325688.24</v>
      </c>
      <c r="L18" s="20">
        <f>0</f>
        <v>0</v>
      </c>
      <c r="M18" s="20">
        <f>287000</f>
        <v>287000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21.75" customHeight="1">
      <c r="A19" s="15" t="s">
        <v>47</v>
      </c>
      <c r="B19" s="20">
        <f>6429843605.2</f>
        <v>6429843605.2</v>
      </c>
      <c r="C19" s="20">
        <f>6429843605.2</f>
        <v>6429843605.2</v>
      </c>
      <c r="D19" s="20">
        <f>294401713.35</f>
        <v>294401713.35</v>
      </c>
      <c r="E19" s="20">
        <f>236592657.37</f>
        <v>236592657.37</v>
      </c>
      <c r="F19" s="20">
        <f>16637356.4</f>
        <v>16637356.4</v>
      </c>
      <c r="G19" s="20">
        <f>41171699.58</f>
        <v>41171699.58</v>
      </c>
      <c r="H19" s="20">
        <f>0</f>
        <v>0</v>
      </c>
      <c r="I19" s="20">
        <f>0</f>
        <v>0</v>
      </c>
      <c r="J19" s="20">
        <f>5907898947.09</f>
        <v>5907898947.09</v>
      </c>
      <c r="K19" s="20">
        <f>224806396.11</f>
        <v>224806396.11</v>
      </c>
      <c r="L19" s="20">
        <f>2644444.53</f>
        <v>2644444.53</v>
      </c>
      <c r="M19" s="20">
        <f>92104.12</f>
        <v>92104.12</v>
      </c>
      <c r="N19" s="20">
        <f>0</f>
        <v>0</v>
      </c>
      <c r="O19" s="20">
        <f>0</f>
        <v>0</v>
      </c>
      <c r="P19" s="20">
        <f>0</f>
        <v>0</v>
      </c>
      <c r="Q19" s="20">
        <f>0</f>
        <v>0</v>
      </c>
    </row>
    <row r="20" spans="1:17" ht="21.75" customHeight="1">
      <c r="A20" s="15" t="s">
        <v>48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4.75" customHeight="1">
      <c r="A21" s="18" t="s">
        <v>76</v>
      </c>
      <c r="B21" s="19">
        <f>3779853.87</f>
        <v>3779853.87</v>
      </c>
      <c r="C21" s="19">
        <f>3779853.87</f>
        <v>3779853.87</v>
      </c>
      <c r="D21" s="19">
        <f>2085875.18</f>
        <v>2085875.18</v>
      </c>
      <c r="E21" s="19">
        <f>2020240.66</f>
        <v>2020240.66</v>
      </c>
      <c r="F21" s="19">
        <f>7200</f>
        <v>7200</v>
      </c>
      <c r="G21" s="19">
        <f>35938.63</f>
        <v>35938.63</v>
      </c>
      <c r="H21" s="19">
        <f>22495.89</f>
        <v>22495.89</v>
      </c>
      <c r="I21" s="19">
        <f>0</f>
        <v>0</v>
      </c>
      <c r="J21" s="19">
        <f>2596.19</f>
        <v>2596.19</v>
      </c>
      <c r="K21" s="19">
        <f>1472261.4</f>
        <v>1472261.4</v>
      </c>
      <c r="L21" s="19">
        <f>36760.11</f>
        <v>36760.11</v>
      </c>
      <c r="M21" s="19">
        <f>182360.99</f>
        <v>182360.99</v>
      </c>
      <c r="N21" s="19">
        <f>0</f>
        <v>0</v>
      </c>
      <c r="O21" s="19">
        <f>0</f>
        <v>0</v>
      </c>
      <c r="P21" s="19">
        <f>0</f>
        <v>0</v>
      </c>
      <c r="Q21" s="19">
        <f>0</f>
        <v>0</v>
      </c>
    </row>
    <row r="22" spans="1:17" ht="22.5">
      <c r="A22" s="15" t="s">
        <v>49</v>
      </c>
      <c r="B22" s="20">
        <f>36772.11</f>
        <v>36772.11</v>
      </c>
      <c r="C22" s="20">
        <f>36772.11</f>
        <v>36772.11</v>
      </c>
      <c r="D22" s="20">
        <f>0</f>
        <v>0</v>
      </c>
      <c r="E22" s="20">
        <f>0</f>
        <v>0</v>
      </c>
      <c r="F22" s="20">
        <f>0</f>
        <v>0</v>
      </c>
      <c r="G22" s="20">
        <f>0</f>
        <v>0</v>
      </c>
      <c r="H22" s="20">
        <f>0</f>
        <v>0</v>
      </c>
      <c r="I22" s="20">
        <f>0</f>
        <v>0</v>
      </c>
      <c r="J22" s="20">
        <f>0</f>
        <v>0</v>
      </c>
      <c r="K22" s="20">
        <f>0</f>
        <v>0</v>
      </c>
      <c r="L22" s="20">
        <f>36472.11</f>
        <v>36472.11</v>
      </c>
      <c r="M22" s="20">
        <f>300</f>
        <v>300</v>
      </c>
      <c r="N22" s="20">
        <f>0</f>
        <v>0</v>
      </c>
      <c r="O22" s="20">
        <f>0</f>
        <v>0</v>
      </c>
      <c r="P22" s="20">
        <f>0</f>
        <v>0</v>
      </c>
      <c r="Q22" s="20">
        <f>0</f>
        <v>0</v>
      </c>
    </row>
    <row r="23" spans="1:17" ht="23.25" customHeight="1">
      <c r="A23" s="15" t="s">
        <v>50</v>
      </c>
      <c r="B23" s="20">
        <f>3743081.76</f>
        <v>3743081.76</v>
      </c>
      <c r="C23" s="20">
        <f>3743081.76</f>
        <v>3743081.76</v>
      </c>
      <c r="D23" s="20">
        <f>2085875.18</f>
        <v>2085875.18</v>
      </c>
      <c r="E23" s="20">
        <f>2020240.66</f>
        <v>2020240.66</v>
      </c>
      <c r="F23" s="20">
        <f>7200</f>
        <v>7200</v>
      </c>
      <c r="G23" s="20">
        <f>35938.63</f>
        <v>35938.63</v>
      </c>
      <c r="H23" s="20">
        <f>22495.89</f>
        <v>22495.89</v>
      </c>
      <c r="I23" s="20">
        <f>0</f>
        <v>0</v>
      </c>
      <c r="J23" s="20">
        <f>2596.19</f>
        <v>2596.19</v>
      </c>
      <c r="K23" s="20">
        <f>1472261.4</f>
        <v>1472261.4</v>
      </c>
      <c r="L23" s="20">
        <f>288</f>
        <v>288</v>
      </c>
      <c r="M23" s="20">
        <f>182060.99</f>
        <v>182060.99</v>
      </c>
      <c r="N23" s="20">
        <f>0</f>
        <v>0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9.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9.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3" ht="45.75" customHeight="1">
      <c r="A27" s="29" t="s">
        <v>78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9" spans="1:13" ht="13.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1" spans="1:17" ht="13.5" customHeight="1">
      <c r="A31" s="72" t="s">
        <v>0</v>
      </c>
      <c r="B31" s="30" t="s">
        <v>9</v>
      </c>
      <c r="C31" s="75" t="s">
        <v>11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75" t="s">
        <v>21</v>
      </c>
      <c r="P31" s="76"/>
      <c r="Q31" s="77"/>
    </row>
    <row r="32" spans="1:17" ht="13.5" customHeight="1">
      <c r="A32" s="73"/>
      <c r="B32" s="31"/>
      <c r="C32" s="31" t="s">
        <v>10</v>
      </c>
      <c r="D32" s="28" t="s">
        <v>12</v>
      </c>
      <c r="E32" s="28" t="s">
        <v>22</v>
      </c>
      <c r="F32" s="28" t="s">
        <v>23</v>
      </c>
      <c r="G32" s="28" t="s">
        <v>68</v>
      </c>
      <c r="H32" s="28" t="s">
        <v>25</v>
      </c>
      <c r="I32" s="28" t="s">
        <v>1</v>
      </c>
      <c r="J32" s="28" t="s">
        <v>13</v>
      </c>
      <c r="K32" s="28" t="s">
        <v>14</v>
      </c>
      <c r="L32" s="28" t="s">
        <v>15</v>
      </c>
      <c r="M32" s="28" t="s">
        <v>16</v>
      </c>
      <c r="N32" s="33" t="s">
        <v>17</v>
      </c>
      <c r="O32" s="28" t="s">
        <v>18</v>
      </c>
      <c r="P32" s="28" t="s">
        <v>19</v>
      </c>
      <c r="Q32" s="30" t="s">
        <v>20</v>
      </c>
    </row>
    <row r="33" spans="1:17" ht="13.5" customHeight="1">
      <c r="A33" s="73"/>
      <c r="B33" s="31"/>
      <c r="C33" s="3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33"/>
      <c r="O33" s="28"/>
      <c r="P33" s="28"/>
      <c r="Q33" s="31"/>
    </row>
    <row r="34" spans="1:17" ht="11.25" customHeight="1">
      <c r="A34" s="73"/>
      <c r="B34" s="31"/>
      <c r="C34" s="3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33"/>
      <c r="O34" s="28"/>
      <c r="P34" s="28"/>
      <c r="Q34" s="31"/>
    </row>
    <row r="35" spans="1:17" ht="41.25" customHeight="1">
      <c r="A35" s="74"/>
      <c r="B35" s="32"/>
      <c r="C35" s="3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33"/>
      <c r="O35" s="28"/>
      <c r="P35" s="28"/>
      <c r="Q35" s="32"/>
    </row>
    <row r="36" spans="1:17" ht="15.75" customHeight="1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  <c r="G36" s="10">
        <v>7</v>
      </c>
      <c r="H36" s="10">
        <v>8</v>
      </c>
      <c r="I36" s="10">
        <v>9</v>
      </c>
      <c r="J36" s="10">
        <v>10</v>
      </c>
      <c r="K36" s="10">
        <v>11</v>
      </c>
      <c r="L36" s="10">
        <v>12</v>
      </c>
      <c r="M36" s="10">
        <v>13</v>
      </c>
      <c r="N36" s="10">
        <v>14</v>
      </c>
      <c r="O36" s="10">
        <v>15</v>
      </c>
      <c r="P36" s="10">
        <v>16</v>
      </c>
      <c r="Q36" s="10">
        <v>17</v>
      </c>
    </row>
    <row r="37" spans="1:17" ht="12" customHeight="1">
      <c r="A37" s="10"/>
      <c r="B37" s="78" t="s">
        <v>73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</row>
    <row r="38" spans="1:17" ht="27.75" customHeight="1" hidden="1">
      <c r="A38" s="11" t="s">
        <v>26</v>
      </c>
      <c r="B38" s="12">
        <f>0</f>
        <v>0</v>
      </c>
      <c r="C38" s="12">
        <f>0</f>
        <v>0</v>
      </c>
      <c r="D38" s="12">
        <f>0</f>
        <v>0</v>
      </c>
      <c r="E38" s="12">
        <f>0</f>
        <v>0</v>
      </c>
      <c r="F38" s="12">
        <f>0</f>
        <v>0</v>
      </c>
      <c r="G38" s="12">
        <f>0</f>
        <v>0</v>
      </c>
      <c r="H38" s="12">
        <f>0</f>
        <v>0</v>
      </c>
      <c r="I38" s="12">
        <f>0</f>
        <v>0</v>
      </c>
      <c r="J38" s="12">
        <f>0</f>
        <v>0</v>
      </c>
      <c r="K38" s="12">
        <f>0</f>
        <v>0</v>
      </c>
      <c r="L38" s="12">
        <f>0</f>
        <v>0</v>
      </c>
      <c r="M38" s="12">
        <f>0</f>
        <v>0</v>
      </c>
      <c r="N38" s="12">
        <f>0</f>
        <v>0</v>
      </c>
      <c r="O38" s="12">
        <f>0</f>
        <v>0</v>
      </c>
      <c r="P38" s="12">
        <f>0</f>
        <v>0</v>
      </c>
      <c r="Q38" s="12">
        <f>0</f>
        <v>0</v>
      </c>
    </row>
    <row r="39" spans="1:17" ht="30" customHeight="1">
      <c r="A39" s="23" t="s">
        <v>38</v>
      </c>
      <c r="B39" s="21">
        <f>50000</f>
        <v>50000</v>
      </c>
      <c r="C39" s="21">
        <f>50000</f>
        <v>50000</v>
      </c>
      <c r="D39" s="21">
        <f>50000</f>
        <v>50000</v>
      </c>
      <c r="E39" s="21">
        <f>50000</f>
        <v>50000</v>
      </c>
      <c r="F39" s="21">
        <f>0</f>
        <v>0</v>
      </c>
      <c r="G39" s="21">
        <f>0</f>
        <v>0</v>
      </c>
      <c r="H39" s="21">
        <f>0</f>
        <v>0</v>
      </c>
      <c r="I39" s="21">
        <f>0</f>
        <v>0</v>
      </c>
      <c r="J39" s="21">
        <f>0</f>
        <v>0</v>
      </c>
      <c r="K39" s="21">
        <f>0</f>
        <v>0</v>
      </c>
      <c r="L39" s="21">
        <f>0</f>
        <v>0</v>
      </c>
      <c r="M39" s="21">
        <f>0</f>
        <v>0</v>
      </c>
      <c r="N39" s="21">
        <f>0</f>
        <v>0</v>
      </c>
      <c r="O39" s="21">
        <f>0</f>
        <v>0</v>
      </c>
      <c r="P39" s="21">
        <f>0</f>
        <v>0</v>
      </c>
      <c r="Q39" s="21">
        <f>0</f>
        <v>0</v>
      </c>
    </row>
    <row r="40" spans="1:17" ht="25.5" customHeight="1">
      <c r="A40" s="16" t="s">
        <v>27</v>
      </c>
      <c r="B40" s="22">
        <f>0</f>
        <v>0</v>
      </c>
      <c r="C40" s="22">
        <f>0</f>
        <v>0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0</f>
        <v>0</v>
      </c>
      <c r="K40" s="22">
        <f>0</f>
        <v>0</v>
      </c>
      <c r="L40" s="22">
        <f>0</f>
        <v>0</v>
      </c>
      <c r="M40" s="22">
        <f>0</f>
        <v>0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5.5" customHeight="1">
      <c r="A41" s="16" t="s">
        <v>28</v>
      </c>
      <c r="B41" s="22">
        <f>50000</f>
        <v>50000</v>
      </c>
      <c r="C41" s="22">
        <f>50000</f>
        <v>50000</v>
      </c>
      <c r="D41" s="22">
        <f>50000</f>
        <v>50000</v>
      </c>
      <c r="E41" s="22">
        <f>50000</f>
        <v>50000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30" customHeight="1">
      <c r="A42" s="23" t="s">
        <v>39</v>
      </c>
      <c r="B42" s="21">
        <f>193383207.42</f>
        <v>193383207.42</v>
      </c>
      <c r="C42" s="21">
        <f>193377891.37</f>
        <v>193377891.37</v>
      </c>
      <c r="D42" s="21">
        <f>77340357.37</f>
        <v>77340357.37</v>
      </c>
      <c r="E42" s="21">
        <f>165660.32</f>
        <v>165660.32</v>
      </c>
      <c r="F42" s="21">
        <f>1028.6</f>
        <v>1028.6</v>
      </c>
      <c r="G42" s="21">
        <f>77173668.45</f>
        <v>77173668.45</v>
      </c>
      <c r="H42" s="21">
        <f>0</f>
        <v>0</v>
      </c>
      <c r="I42" s="21">
        <f>0</f>
        <v>0</v>
      </c>
      <c r="J42" s="21">
        <f>0</f>
        <v>0</v>
      </c>
      <c r="K42" s="21">
        <f>2696.15</f>
        <v>2696.15</v>
      </c>
      <c r="L42" s="21">
        <f>39866760.74</f>
        <v>39866760.74</v>
      </c>
      <c r="M42" s="21">
        <f>72682129.09</f>
        <v>72682129.09</v>
      </c>
      <c r="N42" s="21">
        <f>3485948.02</f>
        <v>3485948.02</v>
      </c>
      <c r="O42" s="21">
        <f>5316.05</f>
        <v>5316.05</v>
      </c>
      <c r="P42" s="21">
        <f>2892.75</f>
        <v>2892.75</v>
      </c>
      <c r="Q42" s="21">
        <f>2423.3</f>
        <v>2423.3</v>
      </c>
    </row>
    <row r="43" spans="1:17" ht="25.5" customHeight="1">
      <c r="A43" s="16" t="s">
        <v>29</v>
      </c>
      <c r="B43" s="22">
        <f>65748754.83</f>
        <v>65748754.83</v>
      </c>
      <c r="C43" s="22">
        <f>65748754.83</f>
        <v>65748754.83</v>
      </c>
      <c r="D43" s="22">
        <f>4734702.98</f>
        <v>4734702.98</v>
      </c>
      <c r="E43" s="22">
        <f>0</f>
        <v>0</v>
      </c>
      <c r="F43" s="22">
        <f>0</f>
        <v>0</v>
      </c>
      <c r="G43" s="22">
        <f>4734702.98</f>
        <v>4734702.98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6518446.18</f>
        <v>6518446.18</v>
      </c>
      <c r="M43" s="22">
        <f>53026238.97</f>
        <v>53026238.97</v>
      </c>
      <c r="N43" s="22">
        <f>1469366.7</f>
        <v>1469366.7</v>
      </c>
      <c r="O43" s="22">
        <f>0</f>
        <v>0</v>
      </c>
      <c r="P43" s="22">
        <f>0</f>
        <v>0</v>
      </c>
      <c r="Q43" s="22">
        <f>0</f>
        <v>0</v>
      </c>
    </row>
    <row r="44" spans="1:17" ht="25.5" customHeight="1">
      <c r="A44" s="16" t="s">
        <v>30</v>
      </c>
      <c r="B44" s="22">
        <f>127634452.59</f>
        <v>127634452.59</v>
      </c>
      <c r="C44" s="22">
        <f>127629136.54</f>
        <v>127629136.54</v>
      </c>
      <c r="D44" s="22">
        <f>72605654.39</f>
        <v>72605654.39</v>
      </c>
      <c r="E44" s="22">
        <f>165660.32</f>
        <v>165660.32</v>
      </c>
      <c r="F44" s="22">
        <f>1028.6</f>
        <v>1028.6</v>
      </c>
      <c r="G44" s="22">
        <f>72438965.47</f>
        <v>72438965.47</v>
      </c>
      <c r="H44" s="22">
        <f>0</f>
        <v>0</v>
      </c>
      <c r="I44" s="22">
        <f>0</f>
        <v>0</v>
      </c>
      <c r="J44" s="22">
        <f>0</f>
        <v>0</v>
      </c>
      <c r="K44" s="22">
        <f>2696.15</f>
        <v>2696.15</v>
      </c>
      <c r="L44" s="22">
        <f>33348314.56</f>
        <v>33348314.56</v>
      </c>
      <c r="M44" s="22">
        <f>19655890.12</f>
        <v>19655890.12</v>
      </c>
      <c r="N44" s="22">
        <f>2016581.32</f>
        <v>2016581.32</v>
      </c>
      <c r="O44" s="22">
        <f>5316.05</f>
        <v>5316.05</v>
      </c>
      <c r="P44" s="22">
        <f>2892.75</f>
        <v>2892.75</v>
      </c>
      <c r="Q44" s="22">
        <f>2423.3</f>
        <v>2423.3</v>
      </c>
    </row>
    <row r="45" spans="1:17" ht="30" customHeight="1">
      <c r="A45" s="23" t="s">
        <v>40</v>
      </c>
      <c r="B45" s="21">
        <f>6329947421.6</f>
        <v>6329947421.6</v>
      </c>
      <c r="C45" s="21">
        <f>6329947421.6</f>
        <v>6329947421.6</v>
      </c>
      <c r="D45" s="21">
        <f>777397.76</f>
        <v>777397.76</v>
      </c>
      <c r="E45" s="21">
        <f>711280.32</f>
        <v>711280.32</v>
      </c>
      <c r="F45" s="21">
        <f>263</f>
        <v>263</v>
      </c>
      <c r="G45" s="21">
        <f>65854.44</f>
        <v>65854.44</v>
      </c>
      <c r="H45" s="21">
        <f>0</f>
        <v>0</v>
      </c>
      <c r="I45" s="21">
        <f>6798843.11</f>
        <v>6798843.11</v>
      </c>
      <c r="J45" s="21">
        <f>6322229441.59</f>
        <v>6322229441.59</v>
      </c>
      <c r="K45" s="21">
        <f>13773.85</f>
        <v>13773.85</v>
      </c>
      <c r="L45" s="21">
        <f>31682.17</f>
        <v>31682.17</v>
      </c>
      <c r="M45" s="21">
        <f>2000</f>
        <v>2000</v>
      </c>
      <c r="N45" s="21">
        <f>94283.12</f>
        <v>94283.12</v>
      </c>
      <c r="O45" s="21">
        <f>0</f>
        <v>0</v>
      </c>
      <c r="P45" s="21">
        <f>0</f>
        <v>0</v>
      </c>
      <c r="Q45" s="21">
        <f>0</f>
        <v>0</v>
      </c>
    </row>
    <row r="46" spans="1:17" ht="25.5" customHeight="1">
      <c r="A46" s="16" t="s">
        <v>31</v>
      </c>
      <c r="B46" s="22">
        <f>63903.77</f>
        <v>63903.77</v>
      </c>
      <c r="C46" s="22">
        <f>63903.77</f>
        <v>63903.77</v>
      </c>
      <c r="D46" s="22">
        <f>63903.77</f>
        <v>63903.77</v>
      </c>
      <c r="E46" s="22">
        <f>0</f>
        <v>0</v>
      </c>
      <c r="F46" s="22">
        <f>0</f>
        <v>0</v>
      </c>
      <c r="G46" s="22">
        <f>63903.77</f>
        <v>63903.77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0</f>
        <v>0</v>
      </c>
      <c r="M46" s="22">
        <f>0</f>
        <v>0</v>
      </c>
      <c r="N46" s="22">
        <f>0</f>
        <v>0</v>
      </c>
      <c r="O46" s="22">
        <f>0</f>
        <v>0</v>
      </c>
      <c r="P46" s="22">
        <f>0</f>
        <v>0</v>
      </c>
      <c r="Q46" s="22">
        <f>0</f>
        <v>0</v>
      </c>
    </row>
    <row r="47" spans="1:17" ht="25.5" customHeight="1">
      <c r="A47" s="16" t="s">
        <v>32</v>
      </c>
      <c r="B47" s="22">
        <f>6150460751.32</f>
        <v>6150460751.32</v>
      </c>
      <c r="C47" s="22">
        <f>6150460751.32</f>
        <v>6150460751.32</v>
      </c>
      <c r="D47" s="22">
        <f>694007.98</f>
        <v>694007.98</v>
      </c>
      <c r="E47" s="22">
        <f>692744.98</f>
        <v>692744.98</v>
      </c>
      <c r="F47" s="22">
        <f>263</f>
        <v>263</v>
      </c>
      <c r="G47" s="22">
        <f>1000</f>
        <v>1000</v>
      </c>
      <c r="H47" s="22">
        <f>0</f>
        <v>0</v>
      </c>
      <c r="I47" s="22">
        <f>6798843.11</f>
        <v>6798843.11</v>
      </c>
      <c r="J47" s="22">
        <f>6142863320.65</f>
        <v>6142863320.65</v>
      </c>
      <c r="K47" s="22">
        <f>0</f>
        <v>0</v>
      </c>
      <c r="L47" s="22">
        <f>10296.46</f>
        <v>10296.46</v>
      </c>
      <c r="M47" s="22">
        <f>0</f>
        <v>0</v>
      </c>
      <c r="N47" s="22">
        <f>94283.12</f>
        <v>94283.12</v>
      </c>
      <c r="O47" s="22">
        <f>0</f>
        <v>0</v>
      </c>
      <c r="P47" s="22">
        <f>0</f>
        <v>0</v>
      </c>
      <c r="Q47" s="22">
        <f>0</f>
        <v>0</v>
      </c>
    </row>
    <row r="48" spans="1:17" ht="25.5" customHeight="1">
      <c r="A48" s="16" t="s">
        <v>33</v>
      </c>
      <c r="B48" s="22">
        <f>179422766.51</f>
        <v>179422766.51</v>
      </c>
      <c r="C48" s="22">
        <f>179422766.51</f>
        <v>179422766.51</v>
      </c>
      <c r="D48" s="22">
        <f>19486.01</f>
        <v>19486.01</v>
      </c>
      <c r="E48" s="22">
        <f>18535.34</f>
        <v>18535.34</v>
      </c>
      <c r="F48" s="22">
        <f>0</f>
        <v>0</v>
      </c>
      <c r="G48" s="22">
        <f>950.67</f>
        <v>950.67</v>
      </c>
      <c r="H48" s="22">
        <f>0</f>
        <v>0</v>
      </c>
      <c r="I48" s="22">
        <f>0</f>
        <v>0</v>
      </c>
      <c r="J48" s="22">
        <f>179366120.94</f>
        <v>179366120.94</v>
      </c>
      <c r="K48" s="22">
        <f>13773.85</f>
        <v>13773.85</v>
      </c>
      <c r="L48" s="22">
        <f>21385.71</f>
        <v>21385.71</v>
      </c>
      <c r="M48" s="22">
        <f>2000</f>
        <v>2000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30" customHeight="1">
      <c r="A49" s="23" t="s">
        <v>41</v>
      </c>
      <c r="B49" s="21">
        <f>609227326.85</f>
        <v>609227326.85</v>
      </c>
      <c r="C49" s="21">
        <f>608229090.24</f>
        <v>608229090.24</v>
      </c>
      <c r="D49" s="21">
        <f>24247602.5</f>
        <v>24247602.5</v>
      </c>
      <c r="E49" s="21">
        <f>6014765.11</f>
        <v>6014765.11</v>
      </c>
      <c r="F49" s="21">
        <f>853271.99</f>
        <v>853271.99</v>
      </c>
      <c r="G49" s="21">
        <f>16788730.22</f>
        <v>16788730.22</v>
      </c>
      <c r="H49" s="21">
        <f>590835.18</f>
        <v>590835.18</v>
      </c>
      <c r="I49" s="21">
        <f>0</f>
        <v>0</v>
      </c>
      <c r="J49" s="21">
        <f>3030688.08</f>
        <v>3030688.08</v>
      </c>
      <c r="K49" s="21">
        <f>267999.26</f>
        <v>267999.26</v>
      </c>
      <c r="L49" s="21">
        <f>155037539.05</f>
        <v>155037539.05</v>
      </c>
      <c r="M49" s="21">
        <f>420269954.38</f>
        <v>420269954.38</v>
      </c>
      <c r="N49" s="21">
        <f>5375306.97</f>
        <v>5375306.97</v>
      </c>
      <c r="O49" s="21">
        <f>998236.61</f>
        <v>998236.61</v>
      </c>
      <c r="P49" s="21">
        <f>202697.53</f>
        <v>202697.53</v>
      </c>
      <c r="Q49" s="21">
        <f>795539.08</f>
        <v>795539.08</v>
      </c>
    </row>
    <row r="50" spans="1:17" ht="25.5" customHeight="1">
      <c r="A50" s="16" t="s">
        <v>34</v>
      </c>
      <c r="B50" s="22">
        <f>128282605.83</f>
        <v>128282605.83</v>
      </c>
      <c r="C50" s="22">
        <f>128147935.37</f>
        <v>128147935.37</v>
      </c>
      <c r="D50" s="22">
        <f>4837342.96</f>
        <v>4837342.96</v>
      </c>
      <c r="E50" s="22">
        <f>162723.63</f>
        <v>162723.63</v>
      </c>
      <c r="F50" s="22">
        <f>8700.53</f>
        <v>8700.53</v>
      </c>
      <c r="G50" s="22">
        <f>4149500.7</f>
        <v>4149500.7</v>
      </c>
      <c r="H50" s="22">
        <f>516418.1</f>
        <v>516418.1</v>
      </c>
      <c r="I50" s="22">
        <f>0</f>
        <v>0</v>
      </c>
      <c r="J50" s="22">
        <f>1263.54</f>
        <v>1263.54</v>
      </c>
      <c r="K50" s="22">
        <f>190720.85</f>
        <v>190720.85</v>
      </c>
      <c r="L50" s="22">
        <f>63784251.02</f>
        <v>63784251.02</v>
      </c>
      <c r="M50" s="22">
        <f>58204444.89</f>
        <v>58204444.89</v>
      </c>
      <c r="N50" s="22">
        <f>1129912.11</f>
        <v>1129912.11</v>
      </c>
      <c r="O50" s="22">
        <f>134670.46</f>
        <v>134670.46</v>
      </c>
      <c r="P50" s="22">
        <f>109745.46</f>
        <v>109745.46</v>
      </c>
      <c r="Q50" s="22">
        <f>24925</f>
        <v>24925</v>
      </c>
    </row>
    <row r="51" spans="1:17" ht="25.5" customHeight="1">
      <c r="A51" s="16" t="s">
        <v>35</v>
      </c>
      <c r="B51" s="22">
        <f>480944721.02</f>
        <v>480944721.02</v>
      </c>
      <c r="C51" s="22">
        <f>480081154.87</f>
        <v>480081154.87</v>
      </c>
      <c r="D51" s="22">
        <f>19410259.54</f>
        <v>19410259.54</v>
      </c>
      <c r="E51" s="22">
        <f>5852041.48</f>
        <v>5852041.48</v>
      </c>
      <c r="F51" s="22">
        <f>844571.46</f>
        <v>844571.46</v>
      </c>
      <c r="G51" s="22">
        <f>12639229.52</f>
        <v>12639229.52</v>
      </c>
      <c r="H51" s="22">
        <f>74417.08</f>
        <v>74417.08</v>
      </c>
      <c r="I51" s="22">
        <f>0</f>
        <v>0</v>
      </c>
      <c r="J51" s="22">
        <f>3029424.54</f>
        <v>3029424.54</v>
      </c>
      <c r="K51" s="22">
        <f>77278.41</f>
        <v>77278.41</v>
      </c>
      <c r="L51" s="22">
        <f>91253288.03</f>
        <v>91253288.03</v>
      </c>
      <c r="M51" s="22">
        <f>362065509.49</f>
        <v>362065509.49</v>
      </c>
      <c r="N51" s="22">
        <f>4245394.86</f>
        <v>4245394.86</v>
      </c>
      <c r="O51" s="22">
        <f>863566.15</f>
        <v>863566.15</v>
      </c>
      <c r="P51" s="22">
        <f>92952.07</f>
        <v>92952.07</v>
      </c>
      <c r="Q51" s="22">
        <f>770614.08</f>
        <v>770614.08</v>
      </c>
    </row>
    <row r="52" spans="1:17" ht="30" customHeight="1">
      <c r="A52" s="23" t="s">
        <v>42</v>
      </c>
      <c r="B52" s="21">
        <f>479084838.26</f>
        <v>479084838.26</v>
      </c>
      <c r="C52" s="21">
        <f>479005730.53</f>
        <v>479005730.53</v>
      </c>
      <c r="D52" s="21">
        <f>155317693.43</f>
        <v>155317693.43</v>
      </c>
      <c r="E52" s="21">
        <f>25555560.82</f>
        <v>25555560.82</v>
      </c>
      <c r="F52" s="21">
        <f>4032383.88</f>
        <v>4032383.88</v>
      </c>
      <c r="G52" s="21">
        <f>122458527.68</f>
        <v>122458527.68</v>
      </c>
      <c r="H52" s="21">
        <f>3271221.05</f>
        <v>3271221.05</v>
      </c>
      <c r="I52" s="21">
        <f>0</f>
        <v>0</v>
      </c>
      <c r="J52" s="21">
        <f>407806.99</f>
        <v>407806.99</v>
      </c>
      <c r="K52" s="21">
        <f>6085130.15</f>
        <v>6085130.15</v>
      </c>
      <c r="L52" s="21">
        <f>235436784.19</f>
        <v>235436784.19</v>
      </c>
      <c r="M52" s="21">
        <f>78964075.35</f>
        <v>78964075.35</v>
      </c>
      <c r="N52" s="21">
        <f>2794240.42</f>
        <v>2794240.42</v>
      </c>
      <c r="O52" s="21">
        <f>79107.73</f>
        <v>79107.73</v>
      </c>
      <c r="P52" s="21">
        <f>75357.22</f>
        <v>75357.22</v>
      </c>
      <c r="Q52" s="21">
        <f>3750.51</f>
        <v>3750.51</v>
      </c>
    </row>
    <row r="53" spans="1:17" ht="31.5" customHeight="1">
      <c r="A53" s="16" t="s">
        <v>36</v>
      </c>
      <c r="B53" s="22">
        <f>45874409.21</f>
        <v>45874409.21</v>
      </c>
      <c r="C53" s="22">
        <f>45817918.25</f>
        <v>45817918.25</v>
      </c>
      <c r="D53" s="22">
        <f>11188059.12</f>
        <v>11188059.12</v>
      </c>
      <c r="E53" s="22">
        <f>622357.42</f>
        <v>622357.42</v>
      </c>
      <c r="F53" s="22">
        <f>49312.29</f>
        <v>49312.29</v>
      </c>
      <c r="G53" s="22">
        <f>10198906.31</f>
        <v>10198906.31</v>
      </c>
      <c r="H53" s="22">
        <f>317483.1</f>
        <v>317483.1</v>
      </c>
      <c r="I53" s="22">
        <f>0</f>
        <v>0</v>
      </c>
      <c r="J53" s="22">
        <f>79961</f>
        <v>79961</v>
      </c>
      <c r="K53" s="22">
        <f>103084.25</f>
        <v>103084.25</v>
      </c>
      <c r="L53" s="22">
        <f>22417443.9</f>
        <v>22417443.9</v>
      </c>
      <c r="M53" s="22">
        <f>11736741.42</f>
        <v>11736741.42</v>
      </c>
      <c r="N53" s="22">
        <f>292628.56</f>
        <v>292628.56</v>
      </c>
      <c r="O53" s="22">
        <f>56490.96</f>
        <v>56490.96</v>
      </c>
      <c r="P53" s="22">
        <f>56490.96</f>
        <v>56490.96</v>
      </c>
      <c r="Q53" s="22">
        <f>0</f>
        <v>0</v>
      </c>
    </row>
    <row r="54" spans="1:17" ht="35.25" customHeight="1">
      <c r="A54" s="16" t="s">
        <v>77</v>
      </c>
      <c r="B54" s="22">
        <f>21565485.19</f>
        <v>21565485.19</v>
      </c>
      <c r="C54" s="22">
        <f>21565485.19</f>
        <v>21565485.19</v>
      </c>
      <c r="D54" s="22">
        <f>21418663</f>
        <v>21418663</v>
      </c>
      <c r="E54" s="22">
        <f>19204754.44</f>
        <v>19204754.44</v>
      </c>
      <c r="F54" s="22">
        <f>1353905</f>
        <v>1353905</v>
      </c>
      <c r="G54" s="22">
        <f>390992.86</f>
        <v>390992.86</v>
      </c>
      <c r="H54" s="22">
        <f>469010.7</f>
        <v>469010.7</v>
      </c>
      <c r="I54" s="22">
        <f>0</f>
        <v>0</v>
      </c>
      <c r="J54" s="22">
        <f>0</f>
        <v>0</v>
      </c>
      <c r="K54" s="22">
        <f>27874.31</f>
        <v>27874.31</v>
      </c>
      <c r="L54" s="22">
        <f>1158.22</f>
        <v>1158.22</v>
      </c>
      <c r="M54" s="22">
        <f>117788.82</f>
        <v>117788.82</v>
      </c>
      <c r="N54" s="22">
        <f>0.84</f>
        <v>0.84</v>
      </c>
      <c r="O54" s="22">
        <f>0</f>
        <v>0</v>
      </c>
      <c r="P54" s="22">
        <f>0</f>
        <v>0</v>
      </c>
      <c r="Q54" s="22">
        <f>0</f>
        <v>0</v>
      </c>
    </row>
    <row r="55" spans="1:17" ht="31.5" customHeight="1">
      <c r="A55" s="16" t="s">
        <v>37</v>
      </c>
      <c r="B55" s="22">
        <f>411644943.86</f>
        <v>411644943.86</v>
      </c>
      <c r="C55" s="22">
        <f>411622327.09</f>
        <v>411622327.09</v>
      </c>
      <c r="D55" s="22">
        <f>122710971.31</f>
        <v>122710971.31</v>
      </c>
      <c r="E55" s="22">
        <f>5728448.96</f>
        <v>5728448.96</v>
      </c>
      <c r="F55" s="22">
        <f>2629166.59</f>
        <v>2629166.59</v>
      </c>
      <c r="G55" s="22">
        <f>111868628.51</f>
        <v>111868628.51</v>
      </c>
      <c r="H55" s="22">
        <f>2484727.25</f>
        <v>2484727.25</v>
      </c>
      <c r="I55" s="22">
        <f>0</f>
        <v>0</v>
      </c>
      <c r="J55" s="22">
        <f>327845.99</f>
        <v>327845.99</v>
      </c>
      <c r="K55" s="22">
        <f>5954171.59</f>
        <v>5954171.59</v>
      </c>
      <c r="L55" s="22">
        <f>213018182.07</f>
        <v>213018182.07</v>
      </c>
      <c r="M55" s="22">
        <f>67109545.11</f>
        <v>67109545.11</v>
      </c>
      <c r="N55" s="22">
        <f>2501611.02</f>
        <v>2501611.02</v>
      </c>
      <c r="O55" s="22">
        <f>22616.77</f>
        <v>22616.77</v>
      </c>
      <c r="P55" s="22">
        <f>18866.26</f>
        <v>18866.26</v>
      </c>
      <c r="Q55" s="22">
        <f>3750.51</f>
        <v>3750.51</v>
      </c>
    </row>
    <row r="64" spans="1:13" ht="66" customHeight="1">
      <c r="A64" s="29" t="s">
        <v>78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2:13" ht="13.5" customHeight="1">
      <c r="B65" s="39" t="s">
        <v>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7" spans="2:12" ht="13.5" customHeight="1">
      <c r="B67" s="43" t="s">
        <v>0</v>
      </c>
      <c r="C67" s="44"/>
      <c r="D67" s="44"/>
      <c r="E67" s="45"/>
      <c r="F67" s="65" t="s">
        <v>66</v>
      </c>
      <c r="G67" s="40" t="s">
        <v>72</v>
      </c>
      <c r="H67" s="54"/>
      <c r="I67" s="54"/>
      <c r="J67" s="54"/>
      <c r="K67" s="54"/>
      <c r="L67" s="41"/>
    </row>
    <row r="68" spans="2:12" ht="13.5" customHeight="1">
      <c r="B68" s="46"/>
      <c r="C68" s="47"/>
      <c r="D68" s="47"/>
      <c r="E68" s="48"/>
      <c r="F68" s="66"/>
      <c r="G68" s="68" t="s">
        <v>67</v>
      </c>
      <c r="H68" s="42" t="s">
        <v>64</v>
      </c>
      <c r="I68" s="42" t="s">
        <v>65</v>
      </c>
      <c r="J68" s="42" t="s">
        <v>68</v>
      </c>
      <c r="K68" s="42" t="s">
        <v>69</v>
      </c>
      <c r="L68" s="83" t="s">
        <v>70</v>
      </c>
    </row>
    <row r="69" spans="2:12" ht="13.5" customHeight="1">
      <c r="B69" s="46"/>
      <c r="C69" s="47"/>
      <c r="D69" s="47"/>
      <c r="E69" s="48"/>
      <c r="F69" s="66"/>
      <c r="G69" s="68"/>
      <c r="H69" s="42"/>
      <c r="I69" s="42"/>
      <c r="J69" s="42"/>
      <c r="K69" s="42"/>
      <c r="L69" s="83"/>
    </row>
    <row r="70" spans="2:12" ht="11.25" customHeight="1">
      <c r="B70" s="46"/>
      <c r="C70" s="47"/>
      <c r="D70" s="47"/>
      <c r="E70" s="48"/>
      <c r="F70" s="66"/>
      <c r="G70" s="68"/>
      <c r="H70" s="42"/>
      <c r="I70" s="42"/>
      <c r="J70" s="42"/>
      <c r="K70" s="42"/>
      <c r="L70" s="83"/>
    </row>
    <row r="71" spans="2:12" ht="11.25" customHeight="1">
      <c r="B71" s="49"/>
      <c r="C71" s="50"/>
      <c r="D71" s="50"/>
      <c r="E71" s="51"/>
      <c r="F71" s="67"/>
      <c r="G71" s="68"/>
      <c r="H71" s="42"/>
      <c r="I71" s="42"/>
      <c r="J71" s="42"/>
      <c r="K71" s="42"/>
      <c r="L71" s="83"/>
    </row>
    <row r="72" spans="2:12" ht="11.25" customHeight="1">
      <c r="B72" s="42">
        <v>1</v>
      </c>
      <c r="C72" s="42"/>
      <c r="D72" s="42"/>
      <c r="E72" s="42"/>
      <c r="F72" s="3">
        <v>2</v>
      </c>
      <c r="G72" s="3">
        <v>3</v>
      </c>
      <c r="H72" s="3">
        <v>4</v>
      </c>
      <c r="I72" s="3">
        <v>5</v>
      </c>
      <c r="J72" s="3">
        <v>6</v>
      </c>
      <c r="K72" s="3">
        <v>7</v>
      </c>
      <c r="L72" s="3">
        <v>8</v>
      </c>
    </row>
    <row r="73" spans="2:12" ht="12.75" customHeight="1">
      <c r="B73" s="42"/>
      <c r="C73" s="42"/>
      <c r="D73" s="42"/>
      <c r="E73" s="42"/>
      <c r="F73" s="40" t="s">
        <v>73</v>
      </c>
      <c r="G73" s="81"/>
      <c r="H73" s="81"/>
      <c r="I73" s="81"/>
      <c r="J73" s="81"/>
      <c r="K73" s="81"/>
      <c r="L73" s="82"/>
    </row>
    <row r="74" spans="2:12" ht="33.75" customHeight="1">
      <c r="B74" s="34" t="s">
        <v>51</v>
      </c>
      <c r="C74" s="35"/>
      <c r="D74" s="35"/>
      <c r="E74" s="36"/>
      <c r="F74" s="24">
        <f>591831852.99</f>
        <v>591831852.99</v>
      </c>
      <c r="G74" s="24">
        <f>324227121.21</f>
        <v>324227121.21</v>
      </c>
      <c r="H74" s="24">
        <f>4186932</f>
        <v>4186932</v>
      </c>
      <c r="I74" s="24">
        <f>17565976.99</f>
        <v>17565976.99</v>
      </c>
      <c r="J74" s="24">
        <f>289365561.84</f>
        <v>289365561.84</v>
      </c>
      <c r="K74" s="24">
        <f>13108650.38</f>
        <v>13108650.38</v>
      </c>
      <c r="L74" s="24">
        <f>267604731.78</f>
        <v>267604731.78</v>
      </c>
    </row>
    <row r="75" spans="2:12" ht="33.75" customHeight="1">
      <c r="B75" s="34" t="s">
        <v>52</v>
      </c>
      <c r="C75" s="35"/>
      <c r="D75" s="35"/>
      <c r="E75" s="36"/>
      <c r="F75" s="24">
        <f>0</f>
        <v>0</v>
      </c>
      <c r="G75" s="24">
        <f>0</f>
        <v>0</v>
      </c>
      <c r="H75" s="24">
        <f>0</f>
        <v>0</v>
      </c>
      <c r="I75" s="24">
        <f>0</f>
        <v>0</v>
      </c>
      <c r="J75" s="24">
        <f>0</f>
        <v>0</v>
      </c>
      <c r="K75" s="24">
        <f>0</f>
        <v>0</v>
      </c>
      <c r="L75" s="24">
        <f>0</f>
        <v>0</v>
      </c>
    </row>
    <row r="76" spans="2:12" ht="33.75" customHeight="1">
      <c r="B76" s="34" t="s">
        <v>53</v>
      </c>
      <c r="C76" s="35"/>
      <c r="D76" s="35"/>
      <c r="E76" s="36"/>
      <c r="F76" s="24">
        <f>112328778.94</f>
        <v>112328778.94</v>
      </c>
      <c r="G76" s="24">
        <f>78800132.12</f>
        <v>78800132.12</v>
      </c>
      <c r="H76" s="24">
        <f>0</f>
        <v>0</v>
      </c>
      <c r="I76" s="24">
        <f>1541737</f>
        <v>1541737</v>
      </c>
      <c r="J76" s="24">
        <f>77258395.12</f>
        <v>77258395.12</v>
      </c>
      <c r="K76" s="24">
        <f>0</f>
        <v>0</v>
      </c>
      <c r="L76" s="24">
        <f>33528646.82</f>
        <v>33528646.82</v>
      </c>
    </row>
    <row r="77" spans="2:12" ht="22.5" customHeight="1">
      <c r="B77" s="34" t="s">
        <v>54</v>
      </c>
      <c r="C77" s="35"/>
      <c r="D77" s="35"/>
      <c r="E77" s="36"/>
      <c r="F77" s="24">
        <f>45124070.76</f>
        <v>45124070.76</v>
      </c>
      <c r="G77" s="24">
        <f>22986669.38</f>
        <v>22986669.38</v>
      </c>
      <c r="H77" s="24">
        <f>0</f>
        <v>0</v>
      </c>
      <c r="I77" s="24">
        <f>2018833.4</f>
        <v>2018833.4</v>
      </c>
      <c r="J77" s="24">
        <f>20967835.98</f>
        <v>20967835.98</v>
      </c>
      <c r="K77" s="24">
        <f>0</f>
        <v>0</v>
      </c>
      <c r="L77" s="24">
        <f>22137401.38</f>
        <v>22137401.38</v>
      </c>
    </row>
    <row r="78" spans="2:12" ht="33.75" customHeight="1">
      <c r="B78" s="34" t="s">
        <v>55</v>
      </c>
      <c r="C78" s="35"/>
      <c r="D78" s="35"/>
      <c r="E78" s="36"/>
      <c r="F78" s="24">
        <f>10420693.42</f>
        <v>10420693.42</v>
      </c>
      <c r="G78" s="24">
        <f>10191508.07</f>
        <v>10191508.07</v>
      </c>
      <c r="H78" s="24">
        <f>0</f>
        <v>0</v>
      </c>
      <c r="I78" s="24">
        <f>0</f>
        <v>0</v>
      </c>
      <c r="J78" s="24">
        <f>10191508.07</f>
        <v>10191508.07</v>
      </c>
      <c r="K78" s="24">
        <f>0</f>
        <v>0</v>
      </c>
      <c r="L78" s="24">
        <f>229185.35</f>
        <v>229185.35</v>
      </c>
    </row>
    <row r="79" spans="2:12" ht="33.75" customHeight="1">
      <c r="B79" s="34" t="s">
        <v>56</v>
      </c>
      <c r="C79" s="35"/>
      <c r="D79" s="35"/>
      <c r="E79" s="36"/>
      <c r="F79" s="24">
        <f>3756257.22</f>
        <v>3756257.22</v>
      </c>
      <c r="G79" s="24">
        <f>1879411.42</f>
        <v>1879411.42</v>
      </c>
      <c r="H79" s="24">
        <f>0</f>
        <v>0</v>
      </c>
      <c r="I79" s="24">
        <f>0</f>
        <v>0</v>
      </c>
      <c r="J79" s="24">
        <f>1879411.42</f>
        <v>1879411.42</v>
      </c>
      <c r="K79" s="24">
        <f>0</f>
        <v>0</v>
      </c>
      <c r="L79" s="24">
        <f>1876845.8</f>
        <v>1876845.8</v>
      </c>
    </row>
    <row r="80" spans="2:12" ht="22.5" customHeight="1">
      <c r="B80" s="34" t="s">
        <v>57</v>
      </c>
      <c r="C80" s="35"/>
      <c r="D80" s="35"/>
      <c r="E80" s="36"/>
      <c r="F80" s="24">
        <f>3195861.02</f>
        <v>3195861.02</v>
      </c>
      <c r="G80" s="24">
        <f>3195861.02</f>
        <v>3195861.02</v>
      </c>
      <c r="H80" s="24">
        <f>0</f>
        <v>0</v>
      </c>
      <c r="I80" s="24">
        <f>0</f>
        <v>0</v>
      </c>
      <c r="J80" s="24">
        <f>3195861.02</f>
        <v>3195861.02</v>
      </c>
      <c r="K80" s="24">
        <f>0</f>
        <v>0</v>
      </c>
      <c r="L80" s="24">
        <f>0</f>
        <v>0</v>
      </c>
    </row>
    <row r="83" spans="1:13" ht="75" customHeight="1">
      <c r="A83" s="29" t="s">
        <v>78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ht="13.5" customHeight="1">
      <c r="B84" s="4"/>
    </row>
    <row r="85" spans="2:11" ht="13.5" customHeight="1">
      <c r="B85" s="5"/>
      <c r="C85" s="40"/>
      <c r="D85" s="54"/>
      <c r="E85" s="54"/>
      <c r="F85" s="41"/>
      <c r="G85" s="40" t="s">
        <v>3</v>
      </c>
      <c r="H85" s="41"/>
      <c r="I85" s="40" t="s">
        <v>4</v>
      </c>
      <c r="J85" s="41"/>
      <c r="K85" s="5"/>
    </row>
    <row r="86" spans="2:11" ht="13.5" customHeight="1">
      <c r="B86" s="6"/>
      <c r="C86" s="55" t="s">
        <v>5</v>
      </c>
      <c r="D86" s="56"/>
      <c r="E86" s="56"/>
      <c r="F86" s="57"/>
      <c r="G86" s="52">
        <f>276</f>
        <v>276</v>
      </c>
      <c r="H86" s="53"/>
      <c r="I86" s="37">
        <f>2434222743.32</f>
        <v>2434222743.32</v>
      </c>
      <c r="J86" s="38"/>
      <c r="K86" s="7"/>
    </row>
    <row r="87" spans="2:11" ht="13.5" customHeight="1">
      <c r="B87" s="6"/>
      <c r="C87" s="58" t="s">
        <v>6</v>
      </c>
      <c r="D87" s="59"/>
      <c r="E87" s="59"/>
      <c r="F87" s="60"/>
      <c r="G87" s="61">
        <f>38</f>
        <v>38</v>
      </c>
      <c r="H87" s="62"/>
      <c r="I87" s="63">
        <f>-179527264.68</f>
        <v>-179527264.68</v>
      </c>
      <c r="J87" s="64"/>
      <c r="K87" s="7"/>
    </row>
    <row r="88" spans="2:11" ht="13.5" customHeight="1">
      <c r="B88" s="6"/>
      <c r="C88" s="55" t="s">
        <v>7</v>
      </c>
      <c r="D88" s="56"/>
      <c r="E88" s="56"/>
      <c r="F88" s="57"/>
      <c r="G88" s="52">
        <f>0</f>
        <v>0</v>
      </c>
      <c r="H88" s="53"/>
      <c r="I88" s="37">
        <f>0</f>
        <v>0</v>
      </c>
      <c r="J88" s="38"/>
      <c r="K88" s="7"/>
    </row>
  </sheetData>
  <sheetProtection/>
  <mergeCells count="79">
    <mergeCell ref="B12:Q12"/>
    <mergeCell ref="B37:Q37"/>
    <mergeCell ref="B72:E72"/>
    <mergeCell ref="F73:L73"/>
    <mergeCell ref="L68:L71"/>
    <mergeCell ref="F32:F35"/>
    <mergeCell ref="G32:G35"/>
    <mergeCell ref="H32:H35"/>
    <mergeCell ref="K32:K35"/>
    <mergeCell ref="I32:I35"/>
    <mergeCell ref="J32:J35"/>
    <mergeCell ref="A31:A35"/>
    <mergeCell ref="C32:C35"/>
    <mergeCell ref="E32:E35"/>
    <mergeCell ref="B31:B35"/>
    <mergeCell ref="K68:K71"/>
    <mergeCell ref="H68:H71"/>
    <mergeCell ref="I68:I71"/>
    <mergeCell ref="J68:J71"/>
    <mergeCell ref="Q7:Q10"/>
    <mergeCell ref="C31:N31"/>
    <mergeCell ref="L7:L10"/>
    <mergeCell ref="M7:M10"/>
    <mergeCell ref="N7:N10"/>
    <mergeCell ref="P7:P10"/>
    <mergeCell ref="A27:M27"/>
    <mergeCell ref="O31:Q31"/>
    <mergeCell ref="A29:M29"/>
    <mergeCell ref="G7:G10"/>
    <mergeCell ref="F7:F10"/>
    <mergeCell ref="I7:I10"/>
    <mergeCell ref="J7:J10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B78:E78"/>
    <mergeCell ref="B75:E75"/>
    <mergeCell ref="M32:M35"/>
    <mergeCell ref="B74:E74"/>
    <mergeCell ref="F67:F71"/>
    <mergeCell ref="G68:G71"/>
    <mergeCell ref="G67:L67"/>
    <mergeCell ref="G88:H88"/>
    <mergeCell ref="I88:J88"/>
    <mergeCell ref="C85:F85"/>
    <mergeCell ref="C86:F86"/>
    <mergeCell ref="C87:F87"/>
    <mergeCell ref="C88:F88"/>
    <mergeCell ref="G86:H86"/>
    <mergeCell ref="G85:H85"/>
    <mergeCell ref="G87:H87"/>
    <mergeCell ref="I87:J87"/>
    <mergeCell ref="B79:E79"/>
    <mergeCell ref="I86:J86"/>
    <mergeCell ref="B65:M65"/>
    <mergeCell ref="I85:J85"/>
    <mergeCell ref="B73:E73"/>
    <mergeCell ref="B67:E71"/>
    <mergeCell ref="B80:E80"/>
    <mergeCell ref="A83:M83"/>
    <mergeCell ref="B76:E76"/>
    <mergeCell ref="B77:E77"/>
    <mergeCell ref="O6:Q6"/>
    <mergeCell ref="O7:O10"/>
    <mergeCell ref="A64:M64"/>
    <mergeCell ref="L32:L35"/>
    <mergeCell ref="P32:P35"/>
    <mergeCell ref="Q32:Q35"/>
    <mergeCell ref="N32:N35"/>
    <mergeCell ref="O32:O35"/>
    <mergeCell ref="D32:D35"/>
    <mergeCell ref="H7:H10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6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2009-11-20T13:10:55Z</cp:lastPrinted>
  <dcterms:created xsi:type="dcterms:W3CDTF">2001-05-17T08:58:03Z</dcterms:created>
  <dcterms:modified xsi:type="dcterms:W3CDTF">2021-03-29T10:58:01Z</dcterms:modified>
  <cp:category/>
  <cp:version/>
  <cp:contentType/>
  <cp:contentStatus/>
</cp:coreProperties>
</file>