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'doch_wyd'!$A$1:$M$116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<sst xmlns="http://schemas.openxmlformats.org/spreadsheetml/2006/main" count="261" uniqueCount="114">
  <si>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</si>
  <si>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</si>
  <si>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</si>
  <si>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</si>
  <si>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</si>
  <si>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</si>
  <si>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</si>
  <si>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</si>
  <si>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</si>
  <si>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</si>
  <si>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</si>
  <si>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</si>
  <si>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</si>
  <si>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</si>
  <si>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</si>
  <si>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</si>
  <si>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</si>
  <si>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</si>
  <si>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</si>
  <si>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</si>
  <si>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</si>
  <si>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</si>
  <si>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</si>
  <si>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</si>
  <si>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</si>
  <si>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</si>
  <si>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</si>
  <si>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</si>
  <si>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</si>
  <si>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</si>
  <si>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</si>
  <si>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</si>
  <si>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</si>
  <si>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</si>
  <si>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</si>
  <si>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</si>
  <si>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</si>
  <si>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</si>
  <si>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</si>
  <si>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</si>
  <si>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</si>
  <si>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</si>
  <si>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</si>
  <si>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</si>
  <si>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</si>
  <si>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</si>
  <si>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</si>
  <si>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</si>
  <si>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</si>
  <si>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</si>
  <si>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</si>
  <si>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</si>
  <si>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</si>
  <si>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</si>
  <si>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</si>
  <si>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</si>
  <si>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</si>
  <si>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</si>
  <si>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</si>
  <si>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</si>
  <si>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</si>
  <si>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</si>
  <si>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</si>
  <si>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</si>
  <si>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</si>
  <si>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</si>
  <si>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</si>
  <si>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</si>
  <si>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</si>
  <si>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</si>
  <si>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z tego:</t>
  </si>
  <si>
    <t>świadczenia na rzecz osób fizycznych</t>
  </si>
  <si>
    <r>
      <t xml:space="preserve">Dotacje </t>
    </r>
    <r>
      <rPr>
        <b/>
        <sz val="10"/>
        <color indexed="8"/>
        <rFont val="Arial"/>
        <family val="0"/>
      </rPr>
      <t>§§ 200 i 620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</si>
  <si>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620</t>
    </r>
  </si>
  <si>
    <t>UE</t>
  </si>
  <si>
    <t>WYDATKI OGÓŁEM UE
z tego:</t>
  </si>
  <si>
    <t>majątkowe</t>
  </si>
  <si>
    <t>bieżące</t>
  </si>
  <si>
    <t>wydatki majątkowe</t>
  </si>
  <si>
    <t>wydatki bieżące</t>
  </si>
  <si>
    <t>Dochody bieżące 
minus 
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</si>
  <si>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</si>
  <si>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</si>
  <si>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</si>
  <si>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</si>
  <si>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</si>
  <si>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</si>
  <si>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</si>
  <si>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</si>
  <si>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</si>
  <si>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</si>
  <si>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</si>
  <si>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</si>
  <si>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</si>
  <si>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</si>
  <si>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</si>
  <si>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</si>
  <si>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r>
      <t xml:space="preserve">Dotacje </t>
    </r>
    <r>
      <rPr>
        <b/>
        <sz val="10"/>
        <color indexed="8"/>
        <rFont val="Arial"/>
        <family val="0"/>
      </rPr>
      <t>§§ 205 i 625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</si>
  <si>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625</t>
    </r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</si>
  <si>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</si>
  <si>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</si>
  <si>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</si>
  <si>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</si>
  <si>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</si>
  <si>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</si>
  <si>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 , o których mowa w art. 217 ust.2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</si>
  <si>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</si>
  <si>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</si>
  <si>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</si>
  <si>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</si>
  <si>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</si>
  <si>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</si>
  <si>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wydatki na wynagrodzenia i pochodne od wynagrodzeń</t>
  </si>
  <si>
    <t>Informacja z wykonania budżetów jednostek samorządu terytorialnego za II Kwartały 2020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</si>
</sst>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1" applyNumberFormat="0" applyAlignment="0" applyProtection="0"/>
    <xf numFmtId="0" fontId="21" fillId="41" borderId="2" applyNumberFormat="0" applyAlignment="0" applyProtection="0"/>
    <xf numFmtId="0" fontId="51" fillId="42" borderId="3" applyNumberFormat="0" applyAlignment="0" applyProtection="0"/>
    <xf numFmtId="0" fontId="52" fillId="43" borderId="4" applyNumberFormat="0" applyAlignment="0" applyProtection="0"/>
    <xf numFmtId="0" fontId="5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5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6" borderId="1" applyNumberFormat="0" applyAlignment="0" applyProtection="0"/>
    <xf numFmtId="0" fontId="54" fillId="0" borderId="8" applyNumberFormat="0" applyFill="0" applyAlignment="0" applyProtection="0"/>
    <xf numFmtId="0" fontId="55" fillId="46" borderId="9" applyNumberFormat="0" applyAlignment="0" applyProtection="0"/>
    <xf numFmtId="0" fontId="28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59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0" borderId="0">
      <alignment/>
      <protection/>
    </xf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61" fillId="43" borderId="3" applyNumberFormat="0" applyAlignment="0" applyProtection="0"/>
    <xf numFmtId="0" fontId="2" fillId="0" borderId="0" applyNumberFormat="0" applyFill="0" applyBorder="0" applyAlignment="0" applyProtection="0"/>
    <xf numFmtId="0" fontId="30" fillId="40" borderId="15" applyNumberFormat="0" applyAlignment="0" applyProtection="0"/>
    <xf numFmtId="9" fontId="0" fillId="0" borderId="0" applyFont="0" applyFill="0" applyBorder="0" applyAlignment="0" applyProtection="0"/>
    <xf numFmtId="0" fontId="62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6" fillId="49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7" fillId="0" borderId="19" xfId="0" applyFont="1" applyFill="1" applyBorder="1" applyAlignment="1">
      <alignment horizontal="left" vertical="center" wrapText="1" indent="1"/>
    </xf>
    <xf numFmtId="164" fontId="14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5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1" fillId="40" borderId="19" xfId="0" applyFont="1" applyFill="1" applyBorder="1" applyAlignment="1">
      <alignment horizontal="left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164" fontId="12" fillId="40" borderId="19" xfId="72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4" fontId="12" fillId="40" borderId="20" xfId="0" applyNumberFormat="1" applyFont="1" applyFill="1" applyBorder="1" applyAlignment="1">
      <alignment horizontal="right" vertical="center"/>
    </xf>
    <xf numFmtId="4" fontId="12" fillId="40" borderId="21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40" borderId="21" xfId="0" applyNumberFormat="1" applyFont="1" applyFill="1" applyBorder="1" applyAlignment="1">
      <alignment horizontal="right" vertical="center"/>
    </xf>
    <xf numFmtId="4" fontId="7" fillId="50" borderId="21" xfId="0" applyNumberFormat="1" applyFont="1" applyFill="1" applyBorder="1" applyAlignment="1">
      <alignment horizontal="right" vertical="center"/>
    </xf>
    <xf numFmtId="0" fontId="67" fillId="0" borderId="19" xfId="91" applyFont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right" vertical="center"/>
    </xf>
    <xf numFmtId="4" fontId="7" fillId="51" borderId="21" xfId="0" applyNumberFormat="1" applyFont="1" applyFill="1" applyBorder="1" applyAlignment="1">
      <alignment horizontal="right" vertical="center"/>
    </xf>
    <xf numFmtId="4" fontId="7" fillId="51" borderId="20" xfId="0" applyNumberFormat="1" applyFont="1" applyFill="1" applyBorder="1" applyAlignment="1">
      <alignment horizontal="right" vertical="center"/>
    </xf>
    <xf numFmtId="4" fontId="12" fillId="52" borderId="20" xfId="0" applyNumberFormat="1" applyFont="1" applyFill="1" applyBorder="1" applyAlignment="1">
      <alignment horizontal="right" vertical="center"/>
    </xf>
    <xf numFmtId="4" fontId="12" fillId="52" borderId="21" xfId="0" applyNumberFormat="1" applyFont="1" applyFill="1" applyBorder="1" applyAlignment="1">
      <alignment horizontal="right" vertical="center"/>
    </xf>
    <xf numFmtId="0" fontId="67" fillId="52" borderId="19" xfId="91" applyFont="1" applyFill="1" applyBorder="1" applyAlignment="1">
      <alignment horizontal="left" vertical="center" wrapText="1"/>
      <protection/>
    </xf>
    <xf numFmtId="164" fontId="12" fillId="51" borderId="19" xfId="72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164" fontId="12" fillId="52" borderId="19" xfId="0" applyNumberFormat="1" applyFont="1" applyFill="1" applyBorder="1" applyAlignment="1">
      <alignment horizontal="right" vertical="center"/>
    </xf>
    <xf numFmtId="0" fontId="11" fillId="40" borderId="19" xfId="0" applyFont="1" applyFill="1" applyBorder="1" applyAlignment="1">
      <alignment horizontal="center" vertical="center" wrapText="1"/>
    </xf>
    <xf numFmtId="4" fontId="12" fillId="40" borderId="19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/>
    </xf>
    <xf numFmtId="0" fontId="8" fillId="52" borderId="19" xfId="0" applyFont="1" applyFill="1" applyBorder="1" applyAlignment="1">
      <alignment horizontal="left" vertical="center" wrapText="1"/>
    </xf>
    <xf numFmtId="4" fontId="14" fillId="52" borderId="19" xfId="0" applyNumberFormat="1" applyFont="1" applyFill="1" applyBorder="1" applyAlignment="1">
      <alignment horizontal="right" vertical="center"/>
    </xf>
    <xf numFmtId="164" fontId="14" fillId="52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4" fontId="5" fillId="52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1" fillId="52" borderId="19" xfId="0" applyFont="1" applyFill="1" applyBorder="1" applyAlignment="1">
      <alignment horizontal="left" vertical="center" wrapText="1"/>
    </xf>
    <xf numFmtId="4" fontId="12" fillId="52" borderId="19" xfId="0" applyNumberFormat="1" applyFont="1" applyFill="1" applyBorder="1" applyAlignment="1">
      <alignment horizontal="right" vertical="center"/>
    </xf>
    <xf numFmtId="164" fontId="7" fillId="52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164" fontId="12" fillId="0" borderId="19" xfId="0" applyNumberFormat="1" applyFont="1" applyFill="1" applyBorder="1" applyAlignment="1">
      <alignment horizontal="right" vertical="center"/>
    </xf>
    <xf numFmtId="0" fontId="11" fillId="52" borderId="23" xfId="0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164" fontId="12" fillId="0" borderId="19" xfId="72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67" fillId="0" borderId="19" xfId="91" applyFont="1" applyFill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4" fontId="12" fillId="40" borderId="20" xfId="0" applyNumberFormat="1" applyFont="1" applyFill="1" applyBorder="1" applyAlignment="1">
      <alignment vertical="center" wrapText="1"/>
    </xf>
    <xf numFmtId="4" fontId="12" fillId="40" borderId="21" xfId="0" applyNumberFormat="1" applyFont="1" applyFill="1" applyBorder="1" applyAlignment="1">
      <alignment vertical="center" wrapText="1"/>
    </xf>
    <xf numFmtId="4" fontId="5" fillId="0" borderId="19" xfId="0" applyNumberFormat="1" applyFont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/>
    </xf>
    <xf numFmtId="4" fontId="12" fillId="52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14" fillId="29" borderId="19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Dziesiętny 3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rmalny 2 2" xfId="91"/>
    <cellStyle name="Note" xfId="92"/>
    <cellStyle name="Note 2" xfId="93"/>
    <cellStyle name="Obliczenia" xfId="94"/>
    <cellStyle name="Followed Hyperlink" xfId="95"/>
    <cellStyle name="Output" xfId="96"/>
    <cellStyle name="Percent" xfId="97"/>
    <cellStyle name="Suma" xfId="98"/>
    <cellStyle name="Tekst objaśnienia" xfId="99"/>
    <cellStyle name="Tekst ostrzeżenia" xfId="100"/>
    <cellStyle name="Title" xfId="101"/>
    <cellStyle name="Total" xfId="102"/>
    <cellStyle name="Tytuł" xfId="103"/>
    <cellStyle name="Uwaga" xfId="104"/>
    <cellStyle name="Currency" xfId="105"/>
    <cellStyle name="Currency [0]" xfId="106"/>
    <cellStyle name="Warning Text" xfId="107"/>
    <cellStyle name="Zły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15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0.37109375" style="1" customWidth="1"/>
    <col min="2" max="2" width="22.875" style="1" customWidth="1"/>
    <col min="3" max="5" width="14.625" style="1" customWidth="1"/>
    <col min="6" max="6" width="13.875" style="1" customWidth="1"/>
    <col min="7" max="8" width="13.00390625" style="1" customWidth="1"/>
    <col min="9" max="9" width="12.00390625" style="1" customWidth="1"/>
    <col min="10" max="10" width="13.00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62.25" customHeight="1">
      <c r="B1" s="102" t="s">
        <v>113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12.75"/>
    <row r="3" spans="2:13" ht="66.75" customHeight="1">
      <c r="B3" s="98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98"/>
      <c r="C4" s="99" t="s">
        <v>81</v>
      </c>
      <c r="D4" s="99"/>
      <c r="E4" s="99"/>
      <c r="F4" s="99"/>
      <c r="G4" s="99"/>
      <c r="H4" s="99"/>
      <c r="I4" s="99"/>
      <c r="J4" s="99"/>
      <c r="K4" s="99" t="s">
        <v>4</v>
      </c>
      <c r="L4" s="99"/>
      <c r="M4" s="99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25.5" customHeight="1">
      <c r="B6" s="68" t="s">
        <v>5</v>
      </c>
      <c r="C6" s="69">
        <f>298422096590.05</f>
        <v>298422096590.05</v>
      </c>
      <c r="D6" s="69">
        <f>147031587911.25</f>
        <v>147031587911.25</v>
      </c>
      <c r="E6" s="69">
        <f>139956357250.45</f>
        <v>139956357250.45</v>
      </c>
      <c r="F6" s="69">
        <f>1618009514.2</f>
        <v>1618009514.2</v>
      </c>
      <c r="G6" s="69">
        <f>457045059.91</f>
        <v>457045059.91</v>
      </c>
      <c r="H6" s="69">
        <f>62276343.04</f>
        <v>62276343.04</v>
      </c>
      <c r="I6" s="69">
        <f>224249821.55</f>
        <v>224249821.55</v>
      </c>
      <c r="J6" s="69">
        <f>5044522.07</f>
        <v>5044522.07</v>
      </c>
      <c r="K6" s="70">
        <f aca="true" t="shared" si="0" ref="K6:K46">IF($D$6=0,"",100*$D6/$D$6)</f>
        <v>100</v>
      </c>
      <c r="L6" s="70">
        <f aca="true" t="shared" si="1" ref="L6:L50">IF(C6=0,"",100*D6/C6)</f>
        <v>49.26967191482172</v>
      </c>
      <c r="M6" s="70"/>
    </row>
    <row r="7" spans="2:13" ht="38.25" customHeight="1">
      <c r="B7" s="20" t="s">
        <v>62</v>
      </c>
      <c r="C7" s="25">
        <f>C6-C22-C40</f>
        <v>139971245713.25998</v>
      </c>
      <c r="D7" s="25">
        <f>D6-D22-D40</f>
        <v>64429535193.75</v>
      </c>
      <c r="E7" s="25">
        <f>E6-E22-E40</f>
        <v>61310133743.29001</v>
      </c>
      <c r="F7" s="25">
        <f>F6</f>
        <v>1618009514.2</v>
      </c>
      <c r="G7" s="25">
        <f>G6</f>
        <v>457045059.91</v>
      </c>
      <c r="H7" s="25">
        <f>H6</f>
        <v>62276343.04</v>
      </c>
      <c r="I7" s="25">
        <f>I6</f>
        <v>224249821.55</v>
      </c>
      <c r="J7" s="25">
        <f>J6</f>
        <v>5044522.07</v>
      </c>
      <c r="K7" s="31">
        <f t="shared" si="0"/>
        <v>43.82019952926063</v>
      </c>
      <c r="L7" s="31">
        <f t="shared" si="1"/>
        <v>46.03055067877156</v>
      </c>
      <c r="M7" s="31">
        <f aca="true" t="shared" si="2" ref="M7:M21">IF($D$7=0,"",100*$D7/$D$7)</f>
        <v>100</v>
      </c>
    </row>
    <row r="8" spans="2:13" ht="32.25" customHeight="1">
      <c r="B8" s="21" t="s">
        <v>35</v>
      </c>
      <c r="C8" s="23">
        <f>10527040908.79</f>
        <v>10527040908.79</v>
      </c>
      <c r="D8" s="23">
        <f>6080631465.91</f>
        <v>6080631465.91</v>
      </c>
      <c r="E8" s="23">
        <f>6206429824.32</f>
        <v>6206429824.32</v>
      </c>
      <c r="F8" s="23">
        <f>0</f>
        <v>0</v>
      </c>
      <c r="G8" s="23">
        <f>0</f>
        <v>0</v>
      </c>
      <c r="H8" s="23">
        <f>0</f>
        <v>0</v>
      </c>
      <c r="I8" s="23">
        <f>0</f>
        <v>0</v>
      </c>
      <c r="J8" s="24">
        <f>0</f>
        <v>0</v>
      </c>
      <c r="K8" s="32">
        <f t="shared" si="0"/>
        <v>4.135595318184512</v>
      </c>
      <c r="L8" s="32">
        <f t="shared" si="1"/>
        <v>57.76201991228815</v>
      </c>
      <c r="M8" s="32">
        <f t="shared" si="2"/>
        <v>9.43764602309261</v>
      </c>
    </row>
    <row r="9" spans="2:13" ht="32.25" customHeight="1">
      <c r="B9" s="21" t="s">
        <v>19</v>
      </c>
      <c r="C9" s="23">
        <f>56256014409.25</f>
        <v>56256014409.25</v>
      </c>
      <c r="D9" s="23">
        <f>24253220241</f>
        <v>24253220241</v>
      </c>
      <c r="E9" s="23">
        <f>21059734779.88</f>
        <v>21059734779.88</v>
      </c>
      <c r="F9" s="23">
        <f>0</f>
        <v>0</v>
      </c>
      <c r="G9" s="23">
        <f>0</f>
        <v>0</v>
      </c>
      <c r="H9" s="23">
        <f>0</f>
        <v>0</v>
      </c>
      <c r="I9" s="23">
        <f>0</f>
        <v>0</v>
      </c>
      <c r="J9" s="24">
        <f>0</f>
        <v>0</v>
      </c>
      <c r="K9" s="32">
        <f t="shared" si="0"/>
        <v>16.495244719549333</v>
      </c>
      <c r="L9" s="32">
        <f t="shared" si="1"/>
        <v>43.11222630270821</v>
      </c>
      <c r="M9" s="32">
        <f t="shared" si="2"/>
        <v>37.64301599889966</v>
      </c>
    </row>
    <row r="10" spans="2:13" ht="32.25" customHeight="1">
      <c r="B10" s="21" t="s">
        <v>20</v>
      </c>
      <c r="C10" s="23">
        <f>1641542186.11</f>
        <v>1641542186.11</v>
      </c>
      <c r="D10" s="23">
        <f>930079209.59</f>
        <v>930079209.59</v>
      </c>
      <c r="E10" s="23">
        <f>936202299.31</f>
        <v>936202299.31</v>
      </c>
      <c r="F10" s="23">
        <f>79326225.24</f>
        <v>79326225.24</v>
      </c>
      <c r="G10" s="23">
        <f>1235442.02</f>
        <v>1235442.02</v>
      </c>
      <c r="H10" s="23">
        <f>2351030.05</f>
        <v>2351030.05</v>
      </c>
      <c r="I10" s="23">
        <f>4253829.4</f>
        <v>4253829.4</v>
      </c>
      <c r="J10" s="24">
        <f>1263.91</f>
        <v>1263.91</v>
      </c>
      <c r="K10" s="32">
        <f t="shared" si="0"/>
        <v>0.6325710160672459</v>
      </c>
      <c r="L10" s="32">
        <f t="shared" si="1"/>
        <v>56.65886734193716</v>
      </c>
      <c r="M10" s="32">
        <f t="shared" si="2"/>
        <v>1.4435603280282898</v>
      </c>
    </row>
    <row r="11" spans="2:13" ht="32.25" customHeight="1">
      <c r="B11" s="21" t="s">
        <v>21</v>
      </c>
      <c r="C11" s="23">
        <f>24179272574.97</f>
        <v>24179272574.97</v>
      </c>
      <c r="D11" s="23">
        <f>12213904623.16</f>
        <v>12213904623.16</v>
      </c>
      <c r="E11" s="23">
        <f>12268403204.95</f>
        <v>12268403204.95</v>
      </c>
      <c r="F11" s="23">
        <f>1028465290.87</f>
        <v>1028465290.87</v>
      </c>
      <c r="G11" s="23">
        <f>446453392.58</f>
        <v>446453392.58</v>
      </c>
      <c r="H11" s="23">
        <f>50598609.39</f>
        <v>50598609.39</v>
      </c>
      <c r="I11" s="23">
        <f>193796155.8</f>
        <v>193796155.8</v>
      </c>
      <c r="J11" s="24">
        <f>4525945.66</f>
        <v>4525945.66</v>
      </c>
      <c r="K11" s="32">
        <f t="shared" si="0"/>
        <v>8.306993617271178</v>
      </c>
      <c r="L11" s="32">
        <f t="shared" si="1"/>
        <v>50.51394571647966</v>
      </c>
      <c r="M11" s="32">
        <f t="shared" si="2"/>
        <v>18.956996331621546</v>
      </c>
    </row>
    <row r="12" spans="2:13" ht="32.25" customHeight="1">
      <c r="B12" s="21" t="s">
        <v>22</v>
      </c>
      <c r="C12" s="23">
        <f>303866059.42</f>
        <v>303866059.42</v>
      </c>
      <c r="D12" s="23">
        <f>164804766.28</f>
        <v>164804766.28</v>
      </c>
      <c r="E12" s="23">
        <f>164708546.78</f>
        <v>164708546.78</v>
      </c>
      <c r="F12" s="23">
        <f>574917.27</f>
        <v>574917.27</v>
      </c>
      <c r="G12" s="23">
        <f>288621.18</f>
        <v>288621.18</v>
      </c>
      <c r="H12" s="23">
        <f>70998.07</f>
        <v>70998.07</v>
      </c>
      <c r="I12" s="23">
        <f>19334.2</f>
        <v>19334.2</v>
      </c>
      <c r="J12" s="24">
        <f>78.54</f>
        <v>78.54</v>
      </c>
      <c r="K12" s="32">
        <f t="shared" si="0"/>
        <v>0.11208800001498868</v>
      </c>
      <c r="L12" s="32">
        <f t="shared" si="1"/>
        <v>54.23599022364286</v>
      </c>
      <c r="M12" s="32">
        <f t="shared" si="2"/>
        <v>0.25579071117680036</v>
      </c>
    </row>
    <row r="13" spans="2:13" ht="32.25" customHeight="1">
      <c r="B13" s="21" t="s">
        <v>23</v>
      </c>
      <c r="C13" s="23">
        <f>1191439239.03</f>
        <v>1191439239.03</v>
      </c>
      <c r="D13" s="23">
        <f>593348598.28</f>
        <v>593348598.28</v>
      </c>
      <c r="E13" s="23">
        <f>593189975.87</f>
        <v>593189975.87</v>
      </c>
      <c r="F13" s="23">
        <f>506726850.28</f>
        <v>506726850.28</v>
      </c>
      <c r="G13" s="23">
        <f>1734486.88</f>
        <v>1734486.88</v>
      </c>
      <c r="H13" s="23">
        <f>2897896.16</f>
        <v>2897896.16</v>
      </c>
      <c r="I13" s="23">
        <f>7331886.12</f>
        <v>7331886.12</v>
      </c>
      <c r="J13" s="24">
        <f>1186.89</f>
        <v>1186.89</v>
      </c>
      <c r="K13" s="32">
        <f t="shared" si="0"/>
        <v>0.40355178551030285</v>
      </c>
      <c r="L13" s="32">
        <f t="shared" si="1"/>
        <v>49.80099520333657</v>
      </c>
      <c r="M13" s="32">
        <f t="shared" si="2"/>
        <v>0.9209263988878782</v>
      </c>
    </row>
    <row r="14" spans="2:13" ht="43.5" customHeight="1">
      <c r="B14" s="21" t="s">
        <v>46</v>
      </c>
      <c r="C14" s="23">
        <f>65917521.42</f>
        <v>65917521.42</v>
      </c>
      <c r="D14" s="23">
        <f>27023925.22</f>
        <v>27023925.22</v>
      </c>
      <c r="E14" s="23">
        <f>27317464.18</f>
        <v>27317464.18</v>
      </c>
      <c r="F14" s="23">
        <f>0</f>
        <v>0</v>
      </c>
      <c r="G14" s="23">
        <f>45368.13</f>
        <v>45368.13</v>
      </c>
      <c r="H14" s="23">
        <f>12361</f>
        <v>12361</v>
      </c>
      <c r="I14" s="23">
        <f>366307.48</f>
        <v>366307.48</v>
      </c>
      <c r="J14" s="24">
        <f>0</f>
        <v>0</v>
      </c>
      <c r="K14" s="32">
        <f t="shared" si="0"/>
        <v>0.01837967310555876</v>
      </c>
      <c r="L14" s="32">
        <f t="shared" si="1"/>
        <v>40.99657365424041</v>
      </c>
      <c r="M14" s="32">
        <f t="shared" si="2"/>
        <v>0.04194338068516978</v>
      </c>
    </row>
    <row r="15" spans="2:13" ht="32.25" customHeight="1">
      <c r="B15" s="21" t="s">
        <v>28</v>
      </c>
      <c r="C15" s="23">
        <f>274338912.34</f>
        <v>274338912.34</v>
      </c>
      <c r="D15" s="23">
        <f>136743974.65</f>
        <v>136743974.65</v>
      </c>
      <c r="E15" s="23">
        <f>135296186.52</f>
        <v>135296186.52</v>
      </c>
      <c r="F15" s="23">
        <f>0</f>
        <v>0</v>
      </c>
      <c r="G15" s="23">
        <f>4460</f>
        <v>4460</v>
      </c>
      <c r="H15" s="23">
        <f>1899848.65</f>
        <v>1899848.65</v>
      </c>
      <c r="I15" s="23">
        <f>5677840.53</f>
        <v>5677840.53</v>
      </c>
      <c r="J15" s="24">
        <f>0</f>
        <v>0</v>
      </c>
      <c r="K15" s="32">
        <f t="shared" si="0"/>
        <v>0.09300312714607985</v>
      </c>
      <c r="L15" s="32">
        <f t="shared" si="1"/>
        <v>49.84490660972197</v>
      </c>
      <c r="M15" s="32">
        <f t="shared" si="2"/>
        <v>0.2122380275424754</v>
      </c>
    </row>
    <row r="16" spans="2:13" ht="32.25" customHeight="1">
      <c r="B16" s="21" t="s">
        <v>29</v>
      </c>
      <c r="C16" s="23">
        <f>2566531562.31</f>
        <v>2566531562.31</v>
      </c>
      <c r="D16" s="23">
        <f>1342798947</f>
        <v>1342798947</v>
      </c>
      <c r="E16" s="23">
        <f>1341597433.21</f>
        <v>1341597433.21</v>
      </c>
      <c r="F16" s="23">
        <f>0</f>
        <v>0</v>
      </c>
      <c r="G16" s="23">
        <f>0</f>
        <v>0</v>
      </c>
      <c r="H16" s="23">
        <f>59275.76</f>
        <v>59275.76</v>
      </c>
      <c r="I16" s="23">
        <f>497438.78</f>
        <v>497438.78</v>
      </c>
      <c r="J16" s="24">
        <f>0</f>
        <v>0</v>
      </c>
      <c r="K16" s="32">
        <f t="shared" si="0"/>
        <v>0.9132724240253253</v>
      </c>
      <c r="L16" s="32">
        <f t="shared" si="1"/>
        <v>52.31959609300177</v>
      </c>
      <c r="M16" s="32">
        <f t="shared" si="2"/>
        <v>2.0841357041642268</v>
      </c>
    </row>
    <row r="17" spans="2:13" ht="32.25" customHeight="1">
      <c r="B17" s="21" t="s">
        <v>30</v>
      </c>
      <c r="C17" s="23">
        <f>499542870.92</f>
        <v>499542870.92</v>
      </c>
      <c r="D17" s="23">
        <f>225904868.41</f>
        <v>225904868.41</v>
      </c>
      <c r="E17" s="23">
        <f>225678035.27</f>
        <v>225678035.27</v>
      </c>
      <c r="F17" s="23">
        <f>0</f>
        <v>0</v>
      </c>
      <c r="G17" s="23">
        <f>0</f>
        <v>0</v>
      </c>
      <c r="H17" s="23">
        <f>5108.1</f>
        <v>5108.1</v>
      </c>
      <c r="I17" s="23">
        <f>12200</f>
        <v>12200</v>
      </c>
      <c r="J17" s="24">
        <f>0</f>
        <v>0</v>
      </c>
      <c r="K17" s="32">
        <f t="shared" si="0"/>
        <v>0.15364376568275848</v>
      </c>
      <c r="L17" s="32">
        <f t="shared" si="1"/>
        <v>45.222318555753716</v>
      </c>
      <c r="M17" s="32">
        <f t="shared" si="2"/>
        <v>0.3506231540095201</v>
      </c>
    </row>
    <row r="18" spans="2:13" ht="32.25" customHeight="1">
      <c r="B18" s="21" t="s">
        <v>31</v>
      </c>
      <c r="C18" s="23">
        <f>415109540.96</f>
        <v>415109540.96</v>
      </c>
      <c r="D18" s="23">
        <f>217696184.44</f>
        <v>217696184.44</v>
      </c>
      <c r="E18" s="23">
        <f>217830176.69</f>
        <v>217830176.69</v>
      </c>
      <c r="F18" s="23">
        <f>0</f>
        <v>0</v>
      </c>
      <c r="G18" s="23">
        <f>0</f>
        <v>0</v>
      </c>
      <c r="H18" s="23">
        <f>5010</f>
        <v>5010</v>
      </c>
      <c r="I18" s="23">
        <f>604729.39</f>
        <v>604729.39</v>
      </c>
      <c r="J18" s="24">
        <f>0</f>
        <v>0</v>
      </c>
      <c r="K18" s="32">
        <f t="shared" si="0"/>
        <v>0.1480608266105403</v>
      </c>
      <c r="L18" s="32">
        <f t="shared" si="1"/>
        <v>52.44306934900762</v>
      </c>
      <c r="M18" s="32">
        <f t="shared" si="2"/>
        <v>0.33788259341830185</v>
      </c>
    </row>
    <row r="19" spans="2:13" ht="32.25" customHeight="1">
      <c r="B19" s="21" t="s">
        <v>32</v>
      </c>
      <c r="C19" s="23">
        <f>136607890.68</f>
        <v>136607890.68</v>
      </c>
      <c r="D19" s="23">
        <f>42106338.66</f>
        <v>42106338.66</v>
      </c>
      <c r="E19" s="23">
        <f>41981564.36</f>
        <v>41981564.36</v>
      </c>
      <c r="F19" s="23">
        <f>512979.98</f>
        <v>512979.98</v>
      </c>
      <c r="G19" s="23">
        <f>24654</f>
        <v>24654</v>
      </c>
      <c r="H19" s="23">
        <f>5184</f>
        <v>5184</v>
      </c>
      <c r="I19" s="23">
        <f>115556.05</f>
        <v>115556.05</v>
      </c>
      <c r="J19" s="24">
        <f>0</f>
        <v>0</v>
      </c>
      <c r="K19" s="32">
        <f t="shared" si="0"/>
        <v>0.02863761403802282</v>
      </c>
      <c r="L19" s="32">
        <f t="shared" si="1"/>
        <v>30.822771986599854</v>
      </c>
      <c r="M19" s="32">
        <f t="shared" si="2"/>
        <v>0.06535254139794652</v>
      </c>
    </row>
    <row r="20" spans="2:13" ht="32.25" customHeight="1">
      <c r="B20" s="21" t="s">
        <v>24</v>
      </c>
      <c r="C20" s="23">
        <f>9010655915.08</f>
        <v>9010655915.08</v>
      </c>
      <c r="D20" s="23">
        <f>3413608647.4</f>
        <v>3413608647.4</v>
      </c>
      <c r="E20" s="23">
        <f>3407836593.61</f>
        <v>3407836593.61</v>
      </c>
      <c r="F20" s="23">
        <f>0</f>
        <v>0</v>
      </c>
      <c r="G20" s="23">
        <f>7083.19</f>
        <v>7083.19</v>
      </c>
      <c r="H20" s="23">
        <f>0</f>
        <v>0</v>
      </c>
      <c r="I20" s="23">
        <f>133724.4</f>
        <v>133724.4</v>
      </c>
      <c r="J20" s="24">
        <f>0</f>
        <v>0</v>
      </c>
      <c r="K20" s="32">
        <f t="shared" si="0"/>
        <v>2.3216838611989243</v>
      </c>
      <c r="L20" s="32">
        <f t="shared" si="1"/>
        <v>37.884130518035576</v>
      </c>
      <c r="M20" s="32">
        <f t="shared" si="2"/>
        <v>5.298204677613657</v>
      </c>
    </row>
    <row r="21" spans="2:13" ht="32.25" customHeight="1">
      <c r="B21" s="21" t="s">
        <v>25</v>
      </c>
      <c r="C21" s="23">
        <f>C7-C8-C9-C10-C11-C12-C13-C14-C15-C16-C17-C18-C19-C20</f>
        <v>32903366121.97998</v>
      </c>
      <c r="D21" s="23">
        <f aca="true" t="shared" si="3" ref="D21:J21">D7-D8-D9-D10-D11-D12-D13-D14-D15-D16-D17-D18-D19-D20</f>
        <v>14787663403.749998</v>
      </c>
      <c r="E21" s="23">
        <f t="shared" si="3"/>
        <v>14683927658.340008</v>
      </c>
      <c r="F21" s="23">
        <f t="shared" si="3"/>
        <v>2403250.560000081</v>
      </c>
      <c r="G21" s="23">
        <f t="shared" si="3"/>
        <v>7251551.930000062</v>
      </c>
      <c r="H21" s="23">
        <f t="shared" si="3"/>
        <v>4371021.860000001</v>
      </c>
      <c r="I21" s="23">
        <f t="shared" si="3"/>
        <v>11440819.399999991</v>
      </c>
      <c r="J21" s="24">
        <f t="shared" si="3"/>
        <v>516047.07</v>
      </c>
      <c r="K21" s="32">
        <f t="shared" si="0"/>
        <v>10.057473780855856</v>
      </c>
      <c r="L21" s="32">
        <f t="shared" si="1"/>
        <v>44.94270692223067</v>
      </c>
      <c r="M21" s="32">
        <f t="shared" si="2"/>
        <v>22.951684129461913</v>
      </c>
    </row>
    <row r="22" spans="2:13" ht="36.75" customHeight="1">
      <c r="B22" s="68" t="s">
        <v>70</v>
      </c>
      <c r="C22" s="69">
        <f>C23+C36+C38</f>
        <v>92536454374.79001</v>
      </c>
      <c r="D22" s="69">
        <f>D23+D36+D38</f>
        <v>43788754910.5</v>
      </c>
      <c r="E22" s="69">
        <f>E23+E36+E38</f>
        <v>43580591061.16</v>
      </c>
      <c r="F22" s="72" t="s">
        <v>61</v>
      </c>
      <c r="G22" s="72" t="s">
        <v>61</v>
      </c>
      <c r="H22" s="72" t="s">
        <v>61</v>
      </c>
      <c r="I22" s="72" t="s">
        <v>61</v>
      </c>
      <c r="J22" s="72" t="s">
        <v>61</v>
      </c>
      <c r="K22" s="70">
        <f t="shared" si="0"/>
        <v>29.781869006904426</v>
      </c>
      <c r="L22" s="70">
        <f t="shared" si="1"/>
        <v>47.32054540705366</v>
      </c>
      <c r="M22" s="73"/>
    </row>
    <row r="23" spans="2:13" ht="36.75" customHeight="1">
      <c r="B23" s="68" t="s">
        <v>63</v>
      </c>
      <c r="C23" s="69">
        <f>C24+C26+C28+C30+C32+C34</f>
        <v>67542448208.75</v>
      </c>
      <c r="D23" s="69">
        <f>D24+D26+D28+D30+D32+D34</f>
        <v>35410582910.61</v>
      </c>
      <c r="E23" s="69">
        <f>E24+E26+E28+E30+E32+E34</f>
        <v>35242195260.36</v>
      </c>
      <c r="F23" s="72" t="s">
        <v>61</v>
      </c>
      <c r="G23" s="72" t="s">
        <v>61</v>
      </c>
      <c r="H23" s="72" t="s">
        <v>61</v>
      </c>
      <c r="I23" s="72" t="s">
        <v>61</v>
      </c>
      <c r="J23" s="72" t="s">
        <v>61</v>
      </c>
      <c r="K23" s="70">
        <f t="shared" si="0"/>
        <v>24.083656725508703</v>
      </c>
      <c r="L23" s="70">
        <f t="shared" si="1"/>
        <v>52.42715336756571</v>
      </c>
      <c r="M23" s="73"/>
    </row>
    <row r="24" spans="2:13" ht="33.75" customHeight="1">
      <c r="B24" s="71" t="s">
        <v>9</v>
      </c>
      <c r="C24" s="24">
        <f>58487566522.94</f>
        <v>58487566522.94</v>
      </c>
      <c r="D24" s="24">
        <f>31560375740.73</f>
        <v>31560375740.73</v>
      </c>
      <c r="E24" s="24">
        <f>31403946315.63</f>
        <v>31403946315.63</v>
      </c>
      <c r="F24" s="24" t="s">
        <v>61</v>
      </c>
      <c r="G24" s="24" t="s">
        <v>61</v>
      </c>
      <c r="H24" s="24" t="s">
        <v>61</v>
      </c>
      <c r="I24" s="24" t="s">
        <v>61</v>
      </c>
      <c r="J24" s="24" t="s">
        <v>61</v>
      </c>
      <c r="K24" s="32">
        <f t="shared" si="0"/>
        <v>21.465030874712593</v>
      </c>
      <c r="L24" s="32">
        <f t="shared" si="1"/>
        <v>53.960828970976905</v>
      </c>
      <c r="M24" s="28"/>
    </row>
    <row r="25" spans="2:13" ht="21" customHeight="1">
      <c r="B25" s="74" t="s">
        <v>6</v>
      </c>
      <c r="C25" s="24">
        <f>156940062.36</f>
        <v>156940062.36</v>
      </c>
      <c r="D25" s="24">
        <f>100523305.28</f>
        <v>100523305.28</v>
      </c>
      <c r="E25" s="24">
        <f>100523303.69</f>
        <v>100523303.69</v>
      </c>
      <c r="F25" s="24" t="s">
        <v>61</v>
      </c>
      <c r="G25" s="24" t="s">
        <v>61</v>
      </c>
      <c r="H25" s="24" t="s">
        <v>61</v>
      </c>
      <c r="I25" s="24" t="s">
        <v>61</v>
      </c>
      <c r="J25" s="24" t="s">
        <v>61</v>
      </c>
      <c r="K25" s="32">
        <f t="shared" si="0"/>
        <v>0.0683685095890259</v>
      </c>
      <c r="L25" s="32">
        <f t="shared" si="1"/>
        <v>64.05203602469118</v>
      </c>
      <c r="M25" s="28"/>
    </row>
    <row r="26" spans="2:13" ht="33.75" customHeight="1">
      <c r="B26" s="71" t="s">
        <v>7</v>
      </c>
      <c r="C26" s="24">
        <f>5678721370.13</f>
        <v>5678721370.13</v>
      </c>
      <c r="D26" s="24">
        <f>2774478967.32</f>
        <v>2774478967.32</v>
      </c>
      <c r="E26" s="24">
        <f>2765466492.31</f>
        <v>2765466492.31</v>
      </c>
      <c r="F26" s="24" t="s">
        <v>61</v>
      </c>
      <c r="G26" s="24" t="s">
        <v>61</v>
      </c>
      <c r="H26" s="24" t="s">
        <v>61</v>
      </c>
      <c r="I26" s="24" t="s">
        <v>61</v>
      </c>
      <c r="J26" s="24" t="s">
        <v>61</v>
      </c>
      <c r="K26" s="32">
        <f t="shared" si="0"/>
        <v>1.8869951734417152</v>
      </c>
      <c r="L26" s="32">
        <f t="shared" si="1"/>
        <v>48.857459038468114</v>
      </c>
      <c r="M26" s="28"/>
    </row>
    <row r="27" spans="2:13" ht="21" customHeight="1">
      <c r="B27" s="74" t="s">
        <v>6</v>
      </c>
      <c r="C27" s="24">
        <f>618482801.52</f>
        <v>618482801.52</v>
      </c>
      <c r="D27" s="24">
        <f>101148084.94</f>
        <v>101148084.94</v>
      </c>
      <c r="E27" s="24">
        <f>98939247.93</f>
        <v>98939247.93</v>
      </c>
      <c r="F27" s="24" t="s">
        <v>61</v>
      </c>
      <c r="G27" s="24" t="s">
        <v>61</v>
      </c>
      <c r="H27" s="24" t="s">
        <v>61</v>
      </c>
      <c r="I27" s="24" t="s">
        <v>61</v>
      </c>
      <c r="J27" s="24" t="s">
        <v>61</v>
      </c>
      <c r="K27" s="32">
        <f t="shared" si="0"/>
        <v>0.06879343845558832</v>
      </c>
      <c r="L27" s="32">
        <f t="shared" si="1"/>
        <v>16.354227585862652</v>
      </c>
      <c r="M27" s="28"/>
    </row>
    <row r="28" spans="2:13" ht="39.75" customHeight="1">
      <c r="B28" s="71" t="s">
        <v>10</v>
      </c>
      <c r="C28" s="24">
        <f>216567181.97</f>
        <v>216567181.97</v>
      </c>
      <c r="D28" s="24">
        <f>115038512.55</f>
        <v>115038512.55</v>
      </c>
      <c r="E28" s="24">
        <f>114063090.26</f>
        <v>114063090.26</v>
      </c>
      <c r="F28" s="24" t="s">
        <v>61</v>
      </c>
      <c r="G28" s="24" t="s">
        <v>61</v>
      </c>
      <c r="H28" s="24" t="s">
        <v>61</v>
      </c>
      <c r="I28" s="24" t="s">
        <v>61</v>
      </c>
      <c r="J28" s="24" t="s">
        <v>61</v>
      </c>
      <c r="K28" s="32">
        <f t="shared" si="0"/>
        <v>0.07824067888013193</v>
      </c>
      <c r="L28" s="32">
        <f t="shared" si="1"/>
        <v>53.11908826792405</v>
      </c>
      <c r="M28" s="28"/>
    </row>
    <row r="29" spans="2:13" ht="21" customHeight="1">
      <c r="B29" s="74" t="s">
        <v>6</v>
      </c>
      <c r="C29" s="24">
        <f>38656975.48</f>
        <v>38656975.48</v>
      </c>
      <c r="D29" s="24">
        <f>3269540</f>
        <v>3269540</v>
      </c>
      <c r="E29" s="24">
        <f>3269540</f>
        <v>3269540</v>
      </c>
      <c r="F29" s="24" t="s">
        <v>61</v>
      </c>
      <c r="G29" s="24" t="s">
        <v>61</v>
      </c>
      <c r="H29" s="24" t="s">
        <v>61</v>
      </c>
      <c r="I29" s="24" t="s">
        <v>61</v>
      </c>
      <c r="J29" s="24" t="s">
        <v>61</v>
      </c>
      <c r="K29" s="32">
        <f t="shared" si="0"/>
        <v>0.00222369903396101</v>
      </c>
      <c r="L29" s="32">
        <f t="shared" si="1"/>
        <v>8.457826716659625</v>
      </c>
      <c r="M29" s="28"/>
    </row>
    <row r="30" spans="2:13" ht="39.75" customHeight="1">
      <c r="B30" s="71" t="s">
        <v>11</v>
      </c>
      <c r="C30" s="24">
        <f>1437123680.36</f>
        <v>1437123680.36</v>
      </c>
      <c r="D30" s="24">
        <f>573123505.4</f>
        <v>573123505.4</v>
      </c>
      <c r="E30" s="24">
        <f>572583254.55</f>
        <v>572583254.55</v>
      </c>
      <c r="F30" s="24" t="s">
        <v>61</v>
      </c>
      <c r="G30" s="24" t="s">
        <v>61</v>
      </c>
      <c r="H30" s="24" t="s">
        <v>61</v>
      </c>
      <c r="I30" s="24" t="s">
        <v>61</v>
      </c>
      <c r="J30" s="24" t="s">
        <v>61</v>
      </c>
      <c r="K30" s="32">
        <f t="shared" si="0"/>
        <v>0.38979617478248557</v>
      </c>
      <c r="L30" s="32">
        <f t="shared" si="1"/>
        <v>39.87990130789804</v>
      </c>
      <c r="M30" s="28"/>
    </row>
    <row r="31" spans="2:13" ht="21" customHeight="1">
      <c r="B31" s="74" t="s">
        <v>6</v>
      </c>
      <c r="C31" s="24">
        <f>356263194.43</f>
        <v>356263194.43</v>
      </c>
      <c r="D31" s="24">
        <f>36966709.66</f>
        <v>36966709.66</v>
      </c>
      <c r="E31" s="24">
        <f>36966709.66</f>
        <v>36966709.66</v>
      </c>
      <c r="F31" s="24" t="s">
        <v>61</v>
      </c>
      <c r="G31" s="24" t="s">
        <v>61</v>
      </c>
      <c r="H31" s="24" t="s">
        <v>61</v>
      </c>
      <c r="I31" s="24" t="s">
        <v>61</v>
      </c>
      <c r="J31" s="24" t="s">
        <v>61</v>
      </c>
      <c r="K31" s="32">
        <f t="shared" si="0"/>
        <v>0.02514201892610555</v>
      </c>
      <c r="L31" s="32">
        <f t="shared" si="1"/>
        <v>10.376235950824093</v>
      </c>
      <c r="M31" s="28"/>
    </row>
    <row r="32" spans="2:13" ht="39.75" customHeight="1">
      <c r="B32" s="71" t="s">
        <v>82</v>
      </c>
      <c r="C32" s="24">
        <f>1176972935.76</f>
        <v>1176972935.76</v>
      </c>
      <c r="D32" s="24">
        <f>273849349.11</f>
        <v>273849349.11</v>
      </c>
      <c r="E32" s="24">
        <f>273160078.86</f>
        <v>273160078.86</v>
      </c>
      <c r="F32" s="24" t="s">
        <v>61</v>
      </c>
      <c r="G32" s="24" t="s">
        <v>61</v>
      </c>
      <c r="H32" s="24" t="s">
        <v>61</v>
      </c>
      <c r="I32" s="24" t="s">
        <v>61</v>
      </c>
      <c r="J32" s="24" t="s">
        <v>61</v>
      </c>
      <c r="K32" s="32">
        <f t="shared" si="0"/>
        <v>0.1862520516851785</v>
      </c>
      <c r="L32" s="32">
        <f t="shared" si="1"/>
        <v>23.267259661596963</v>
      </c>
      <c r="M32" s="28"/>
    </row>
    <row r="33" spans="2:13" ht="24" customHeight="1">
      <c r="B33" s="74" t="s">
        <v>6</v>
      </c>
      <c r="C33" s="24">
        <f>990712474.17</f>
        <v>990712474.17</v>
      </c>
      <c r="D33" s="24">
        <f>201742390.8</f>
        <v>201742390.8</v>
      </c>
      <c r="E33" s="24">
        <f>201045223.61</f>
        <v>201045223.61</v>
      </c>
      <c r="F33" s="24" t="s">
        <v>61</v>
      </c>
      <c r="G33" s="24" t="s">
        <v>61</v>
      </c>
      <c r="H33" s="24" t="s">
        <v>61</v>
      </c>
      <c r="I33" s="24" t="s">
        <v>61</v>
      </c>
      <c r="J33" s="24" t="s">
        <v>61</v>
      </c>
      <c r="K33" s="32">
        <f t="shared" si="0"/>
        <v>0.13721023738230595</v>
      </c>
      <c r="L33" s="32">
        <f t="shared" si="1"/>
        <v>20.3633643524087</v>
      </c>
      <c r="M33" s="28"/>
    </row>
    <row r="34" spans="2:13" ht="22.5" customHeight="1">
      <c r="B34" s="71" t="s">
        <v>8</v>
      </c>
      <c r="C34" s="24">
        <f>545496517.59</f>
        <v>545496517.59</v>
      </c>
      <c r="D34" s="24">
        <f>113716835.5</f>
        <v>113716835.5</v>
      </c>
      <c r="E34" s="24">
        <f>112976028.75</f>
        <v>112976028.75</v>
      </c>
      <c r="F34" s="24" t="s">
        <v>61</v>
      </c>
      <c r="G34" s="24" t="s">
        <v>61</v>
      </c>
      <c r="H34" s="24" t="s">
        <v>61</v>
      </c>
      <c r="I34" s="24" t="s">
        <v>61</v>
      </c>
      <c r="J34" s="24" t="s">
        <v>61</v>
      </c>
      <c r="K34" s="32">
        <f t="shared" si="0"/>
        <v>0.07734177200659821</v>
      </c>
      <c r="L34" s="32">
        <f t="shared" si="1"/>
        <v>20.846482394131538</v>
      </c>
      <c r="M34" s="28"/>
    </row>
    <row r="35" spans="2:13" ht="21" customHeight="1">
      <c r="B35" s="74" t="s">
        <v>6</v>
      </c>
      <c r="C35" s="24">
        <f>433740312.53</f>
        <v>433740312.53</v>
      </c>
      <c r="D35" s="24">
        <f>63294378.73</f>
        <v>63294378.73</v>
      </c>
      <c r="E35" s="24">
        <f>63040887.33</f>
        <v>63040887.33</v>
      </c>
      <c r="F35" s="24" t="s">
        <v>61</v>
      </c>
      <c r="G35" s="24" t="s">
        <v>61</v>
      </c>
      <c r="H35" s="24" t="s">
        <v>61</v>
      </c>
      <c r="I35" s="24" t="s">
        <v>61</v>
      </c>
      <c r="J35" s="24" t="s">
        <v>61</v>
      </c>
      <c r="K35" s="32">
        <f t="shared" si="0"/>
        <v>0.04304815014866413</v>
      </c>
      <c r="L35" s="32">
        <f t="shared" si="1"/>
        <v>14.59268988875047</v>
      </c>
      <c r="M35" s="28"/>
    </row>
    <row r="36" spans="2:13" ht="25.5" customHeight="1">
      <c r="B36" s="68" t="s">
        <v>72</v>
      </c>
      <c r="C36" s="69">
        <f>3454410436.05</f>
        <v>3454410436.05</v>
      </c>
      <c r="D36" s="69">
        <f>1275256253.22</f>
        <v>1275256253.22</v>
      </c>
      <c r="E36" s="69">
        <f>1266598347.3</f>
        <v>1266598347.3</v>
      </c>
      <c r="F36" s="72" t="s">
        <v>61</v>
      </c>
      <c r="G36" s="72" t="s">
        <v>61</v>
      </c>
      <c r="H36" s="72" t="s">
        <v>61</v>
      </c>
      <c r="I36" s="72" t="s">
        <v>61</v>
      </c>
      <c r="J36" s="72" t="s">
        <v>61</v>
      </c>
      <c r="K36" s="70">
        <f t="shared" si="0"/>
        <v>0.8673348845213857</v>
      </c>
      <c r="L36" s="70">
        <f t="shared" si="1"/>
        <v>36.91675545880448</v>
      </c>
      <c r="M36" s="28"/>
    </row>
    <row r="37" spans="2:13" ht="19.5" customHeight="1">
      <c r="B37" s="29" t="s">
        <v>73</v>
      </c>
      <c r="C37" s="23">
        <f>2406248019.28</f>
        <v>2406248019.28</v>
      </c>
      <c r="D37" s="23">
        <f>743397562.32</f>
        <v>743397562.32</v>
      </c>
      <c r="E37" s="23">
        <f>742519747.56</f>
        <v>742519747.56</v>
      </c>
      <c r="F37" s="23" t="s">
        <v>61</v>
      </c>
      <c r="G37" s="23" t="s">
        <v>61</v>
      </c>
      <c r="H37" s="23" t="s">
        <v>61</v>
      </c>
      <c r="I37" s="23" t="s">
        <v>61</v>
      </c>
      <c r="J37" s="23" t="s">
        <v>61</v>
      </c>
      <c r="K37" s="32">
        <f t="shared" si="0"/>
        <v>0.5056039813490442</v>
      </c>
      <c r="L37" s="32">
        <f t="shared" si="1"/>
        <v>30.894469579342868</v>
      </c>
      <c r="M37" s="28"/>
    </row>
    <row r="38" spans="2:13" ht="25.5" customHeight="1">
      <c r="B38" s="68" t="s">
        <v>97</v>
      </c>
      <c r="C38" s="69">
        <f>21539595729.99</f>
        <v>21539595729.99</v>
      </c>
      <c r="D38" s="69">
        <f>7102915746.67</f>
        <v>7102915746.67</v>
      </c>
      <c r="E38" s="69">
        <f>7071797453.5</f>
        <v>7071797453.5</v>
      </c>
      <c r="F38" s="72" t="s">
        <v>61</v>
      </c>
      <c r="G38" s="72" t="s">
        <v>61</v>
      </c>
      <c r="H38" s="72" t="s">
        <v>61</v>
      </c>
      <c r="I38" s="72" t="s">
        <v>61</v>
      </c>
      <c r="J38" s="72" t="s">
        <v>61</v>
      </c>
      <c r="K38" s="70">
        <f t="shared" si="0"/>
        <v>4.83087739687434</v>
      </c>
      <c r="L38" s="70">
        <f t="shared" si="1"/>
        <v>32.97608662534214</v>
      </c>
      <c r="M38" s="28"/>
    </row>
    <row r="39" spans="2:13" ht="21" customHeight="1">
      <c r="B39" s="29" t="s">
        <v>98</v>
      </c>
      <c r="C39" s="23">
        <f>16998309144.64</f>
        <v>16998309144.64</v>
      </c>
      <c r="D39" s="23">
        <f>4915186004.2</f>
        <v>4915186004.2</v>
      </c>
      <c r="E39" s="23">
        <f>4906424639.44</f>
        <v>4906424639.44</v>
      </c>
      <c r="F39" s="23" t="s">
        <v>61</v>
      </c>
      <c r="G39" s="23" t="s">
        <v>61</v>
      </c>
      <c r="H39" s="23" t="s">
        <v>61</v>
      </c>
      <c r="I39" s="23" t="s">
        <v>61</v>
      </c>
      <c r="J39" s="23" t="s">
        <v>61</v>
      </c>
      <c r="K39" s="32">
        <f t="shared" si="0"/>
        <v>3.342945603747995</v>
      </c>
      <c r="L39" s="32">
        <f t="shared" si="1"/>
        <v>28.91573486736993</v>
      </c>
      <c r="M39" s="28"/>
    </row>
    <row r="40" spans="2:13" ht="35.25" customHeight="1">
      <c r="B40" s="68" t="s">
        <v>64</v>
      </c>
      <c r="C40" s="69">
        <f>C41+C42+C43+C44+C45+C46</f>
        <v>65914396502</v>
      </c>
      <c r="D40" s="69">
        <f>D41+D42+D43+D44+D45+D46</f>
        <v>38813297807</v>
      </c>
      <c r="E40" s="69">
        <f>E41+E42+E43+E44+E45+E46</f>
        <v>35065632446</v>
      </c>
      <c r="F40" s="72" t="s">
        <v>61</v>
      </c>
      <c r="G40" s="72" t="s">
        <v>61</v>
      </c>
      <c r="H40" s="72" t="s">
        <v>61</v>
      </c>
      <c r="I40" s="72" t="s">
        <v>61</v>
      </c>
      <c r="J40" s="72" t="s">
        <v>61</v>
      </c>
      <c r="K40" s="70">
        <f t="shared" si="0"/>
        <v>26.397931463834944</v>
      </c>
      <c r="L40" s="70">
        <f t="shared" si="1"/>
        <v>58.88440138539737</v>
      </c>
      <c r="M40" s="28"/>
    </row>
    <row r="41" spans="2:13" ht="26.25" customHeight="1">
      <c r="B41" s="21" t="s">
        <v>50</v>
      </c>
      <c r="C41" s="23">
        <f>13231182280</f>
        <v>13231182280</v>
      </c>
      <c r="D41" s="23">
        <f>6615378720</f>
        <v>6615378720</v>
      </c>
      <c r="E41" s="23">
        <f>6615378720</f>
        <v>6615378720</v>
      </c>
      <c r="F41" s="23" t="s">
        <v>61</v>
      </c>
      <c r="G41" s="23" t="s">
        <v>61</v>
      </c>
      <c r="H41" s="23" t="s">
        <v>61</v>
      </c>
      <c r="I41" s="23" t="s">
        <v>61</v>
      </c>
      <c r="J41" s="23" t="s">
        <v>61</v>
      </c>
      <c r="K41" s="32">
        <f t="shared" si="0"/>
        <v>4.49929080817186</v>
      </c>
      <c r="L41" s="32">
        <f t="shared" si="1"/>
        <v>49.99839455012028</v>
      </c>
      <c r="M41" s="28"/>
    </row>
    <row r="42" spans="2:13" ht="26.25" customHeight="1">
      <c r="B42" s="21" t="s">
        <v>49</v>
      </c>
      <c r="C42" s="23">
        <f>49611995722</f>
        <v>49611995722</v>
      </c>
      <c r="D42" s="23">
        <f>30537637264</f>
        <v>30537637264</v>
      </c>
      <c r="E42" s="23">
        <f>26789974601</f>
        <v>26789974601</v>
      </c>
      <c r="F42" s="23" t="s">
        <v>61</v>
      </c>
      <c r="G42" s="23" t="s">
        <v>61</v>
      </c>
      <c r="H42" s="23" t="s">
        <v>61</v>
      </c>
      <c r="I42" s="23" t="s">
        <v>61</v>
      </c>
      <c r="J42" s="23" t="s">
        <v>61</v>
      </c>
      <c r="K42" s="32">
        <f t="shared" si="0"/>
        <v>20.769439885552266</v>
      </c>
      <c r="L42" s="32">
        <f t="shared" si="1"/>
        <v>61.55293053542363</v>
      </c>
      <c r="M42" s="28"/>
    </row>
    <row r="43" spans="2:13" ht="26.25" customHeight="1">
      <c r="B43" s="21" t="s">
        <v>48</v>
      </c>
      <c r="C43" s="23">
        <f>3250459</f>
        <v>3250459</v>
      </c>
      <c r="D43" s="23">
        <f>0</f>
        <v>0</v>
      </c>
      <c r="E43" s="23">
        <f>0</f>
        <v>0</v>
      </c>
      <c r="F43" s="23" t="s">
        <v>61</v>
      </c>
      <c r="G43" s="23" t="s">
        <v>61</v>
      </c>
      <c r="H43" s="23" t="s">
        <v>61</v>
      </c>
      <c r="I43" s="23" t="s">
        <v>61</v>
      </c>
      <c r="J43" s="23" t="s">
        <v>61</v>
      </c>
      <c r="K43" s="32">
        <f t="shared" si="0"/>
        <v>0</v>
      </c>
      <c r="L43" s="32">
        <f t="shared" si="1"/>
        <v>0</v>
      </c>
      <c r="M43" s="28"/>
    </row>
    <row r="44" spans="2:13" ht="26.25" customHeight="1">
      <c r="B44" s="21" t="s">
        <v>47</v>
      </c>
      <c r="C44" s="23">
        <f>2013274586</f>
        <v>2013274586</v>
      </c>
      <c r="D44" s="23">
        <f>1006637694</f>
        <v>1006637694</v>
      </c>
      <c r="E44" s="23">
        <f>1006634996</f>
        <v>1006634996</v>
      </c>
      <c r="F44" s="23" t="s">
        <v>61</v>
      </c>
      <c r="G44" s="23" t="s">
        <v>61</v>
      </c>
      <c r="H44" s="23" t="s">
        <v>61</v>
      </c>
      <c r="I44" s="23" t="s">
        <v>61</v>
      </c>
      <c r="J44" s="23" t="s">
        <v>61</v>
      </c>
      <c r="K44" s="32">
        <f t="shared" si="0"/>
        <v>0.6846404288360256</v>
      </c>
      <c r="L44" s="32">
        <f t="shared" si="1"/>
        <v>50.000019917799726</v>
      </c>
      <c r="M44" s="28"/>
    </row>
    <row r="45" spans="2:13" ht="26.25" customHeight="1">
      <c r="B45" s="21" t="s">
        <v>60</v>
      </c>
      <c r="C45" s="23">
        <f>533337231</f>
        <v>533337231</v>
      </c>
      <c r="D45" s="23">
        <f>266668620</f>
        <v>266668620</v>
      </c>
      <c r="E45" s="23">
        <f>266668620</f>
        <v>266668620</v>
      </c>
      <c r="F45" s="23" t="s">
        <v>61</v>
      </c>
      <c r="G45" s="23" t="s">
        <v>61</v>
      </c>
      <c r="H45" s="23" t="s">
        <v>61</v>
      </c>
      <c r="I45" s="23" t="s">
        <v>61</v>
      </c>
      <c r="J45" s="23" t="s">
        <v>61</v>
      </c>
      <c r="K45" s="32">
        <f t="shared" si="0"/>
        <v>0.1813682513998042</v>
      </c>
      <c r="L45" s="32">
        <f t="shared" si="1"/>
        <v>50.000000843743834</v>
      </c>
      <c r="M45" s="28"/>
    </row>
    <row r="46" spans="2:13" ht="26.25" customHeight="1">
      <c r="B46" s="21" t="s">
        <v>45</v>
      </c>
      <c r="C46" s="23">
        <f>521356224</f>
        <v>521356224</v>
      </c>
      <c r="D46" s="23">
        <f>386975509</f>
        <v>386975509</v>
      </c>
      <c r="E46" s="23">
        <f>386975509</f>
        <v>386975509</v>
      </c>
      <c r="F46" s="23" t="s">
        <v>61</v>
      </c>
      <c r="G46" s="23" t="s">
        <v>61</v>
      </c>
      <c r="H46" s="23" t="s">
        <v>61</v>
      </c>
      <c r="I46" s="23" t="s">
        <v>61</v>
      </c>
      <c r="J46" s="23" t="s">
        <v>61</v>
      </c>
      <c r="K46" s="32">
        <f t="shared" si="0"/>
        <v>0.2631920898749886</v>
      </c>
      <c r="L46" s="32">
        <f t="shared" si="1"/>
        <v>74.22477975442756</v>
      </c>
      <c r="M46" s="28"/>
    </row>
    <row r="47" spans="1:13" s="6" customFormat="1" ht="13.5" customHeight="1">
      <c r="A47" s="3"/>
      <c r="B47" s="22"/>
      <c r="C47" s="8"/>
      <c r="D47" s="9"/>
      <c r="E47" s="9"/>
      <c r="F47" s="16"/>
      <c r="G47" s="16"/>
      <c r="H47" s="16"/>
      <c r="I47" s="16"/>
      <c r="J47" s="16"/>
      <c r="K47" s="10"/>
      <c r="L47" s="10"/>
      <c r="M47" s="4"/>
    </row>
    <row r="48" spans="1:13" s="6" customFormat="1" ht="18.75" customHeight="1">
      <c r="A48" s="3"/>
      <c r="B48" s="75" t="s">
        <v>5</v>
      </c>
      <c r="C48" s="76">
        <f aca="true" t="shared" si="4" ref="C48:J48">+C6</f>
        <v>298422096590.05</v>
      </c>
      <c r="D48" s="76">
        <f t="shared" si="4"/>
        <v>147031587911.25</v>
      </c>
      <c r="E48" s="76">
        <f t="shared" si="4"/>
        <v>139956357250.45</v>
      </c>
      <c r="F48" s="76">
        <f t="shared" si="4"/>
        <v>1618009514.2</v>
      </c>
      <c r="G48" s="76">
        <f t="shared" si="4"/>
        <v>457045059.91</v>
      </c>
      <c r="H48" s="76">
        <f t="shared" si="4"/>
        <v>62276343.04</v>
      </c>
      <c r="I48" s="76">
        <f t="shared" si="4"/>
        <v>224249821.55</v>
      </c>
      <c r="J48" s="76">
        <f t="shared" si="4"/>
        <v>5044522.07</v>
      </c>
      <c r="K48" s="77">
        <f>IF($D$48=0,"",100*$D48/$D$48)</f>
        <v>100</v>
      </c>
      <c r="L48" s="77">
        <f t="shared" si="1"/>
        <v>49.26967191482172</v>
      </c>
      <c r="M48" s="4"/>
    </row>
    <row r="49" spans="1:13" s="6" customFormat="1" ht="24.75" customHeight="1">
      <c r="A49" s="3"/>
      <c r="B49" s="66" t="s">
        <v>76</v>
      </c>
      <c r="C49" s="67">
        <f>31142696911.25</f>
        <v>31142696911.25</v>
      </c>
      <c r="D49" s="67">
        <f>8736864751.28</f>
        <v>8736864751.28</v>
      </c>
      <c r="E49" s="67">
        <f>8658067800.67</f>
        <v>8658067800.67</v>
      </c>
      <c r="F49" s="67">
        <f>0</f>
        <v>0</v>
      </c>
      <c r="G49" s="67">
        <f>0</f>
        <v>0</v>
      </c>
      <c r="H49" s="67">
        <f>0</f>
        <v>0</v>
      </c>
      <c r="I49" s="67">
        <f>133724.4</f>
        <v>133724.4</v>
      </c>
      <c r="J49" s="67">
        <f>0</f>
        <v>0</v>
      </c>
      <c r="K49" s="33">
        <f>IF($D$48=0,"",100*$D49/$D$48)</f>
        <v>5.942168533576387</v>
      </c>
      <c r="L49" s="33">
        <f t="shared" si="1"/>
        <v>28.054297211889484</v>
      </c>
      <c r="M49" s="4"/>
    </row>
    <row r="50" spans="1:13" s="6" customFormat="1" ht="24.75" customHeight="1">
      <c r="A50" s="3"/>
      <c r="B50" s="66" t="s">
        <v>77</v>
      </c>
      <c r="C50" s="67">
        <f>+C48-C49</f>
        <v>267279399678.8</v>
      </c>
      <c r="D50" s="67">
        <f aca="true" t="shared" si="5" ref="D50:J50">+D48-D49</f>
        <v>138294723159.97</v>
      </c>
      <c r="E50" s="67">
        <f t="shared" si="5"/>
        <v>131298289449.78001</v>
      </c>
      <c r="F50" s="67">
        <f t="shared" si="5"/>
        <v>1618009514.2</v>
      </c>
      <c r="G50" s="67">
        <f t="shared" si="5"/>
        <v>457045059.91</v>
      </c>
      <c r="H50" s="67">
        <f t="shared" si="5"/>
        <v>62276343.04</v>
      </c>
      <c r="I50" s="67">
        <f t="shared" si="5"/>
        <v>224116097.15</v>
      </c>
      <c r="J50" s="67">
        <f t="shared" si="5"/>
        <v>5044522.07</v>
      </c>
      <c r="K50" s="33">
        <f>IF($D$48=0,"",100*$D50/$D$48)</f>
        <v>94.05783146642361</v>
      </c>
      <c r="L50" s="33">
        <f t="shared" si="1"/>
        <v>51.74163191258441</v>
      </c>
      <c r="M50" s="4"/>
    </row>
    <row r="51" spans="1:13" s="6" customFormat="1" ht="13.5" customHeight="1">
      <c r="A51" s="3"/>
      <c r="B51" s="22"/>
      <c r="C51" s="8"/>
      <c r="D51" s="9"/>
      <c r="E51" s="9"/>
      <c r="F51" s="16"/>
      <c r="G51" s="16"/>
      <c r="H51" s="16"/>
      <c r="I51" s="16"/>
      <c r="J51" s="16"/>
      <c r="K51" s="10"/>
      <c r="L51" s="10"/>
      <c r="M51" s="4"/>
    </row>
    <row r="52" spans="2:13" ht="58.5" customHeight="1">
      <c r="B52" s="102" t="s">
        <v>113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2:13" s="6" customFormat="1" ht="13.5" customHeight="1">
      <c r="B53" s="7"/>
      <c r="C53" s="8"/>
      <c r="D53" s="9"/>
      <c r="E53" s="9"/>
      <c r="F53" s="5"/>
      <c r="G53" s="5"/>
      <c r="H53" s="5"/>
      <c r="I53" s="5"/>
      <c r="J53" s="5"/>
      <c r="K53" s="10"/>
      <c r="L53" s="10"/>
      <c r="M53" s="4"/>
    </row>
    <row r="54" spans="2:27" ht="29.25" customHeight="1">
      <c r="B54" s="98" t="s">
        <v>0</v>
      </c>
      <c r="C54" s="97" t="s">
        <v>56</v>
      </c>
      <c r="D54" s="97" t="s">
        <v>57</v>
      </c>
      <c r="E54" s="97" t="s">
        <v>58</v>
      </c>
      <c r="F54" s="97" t="s">
        <v>12</v>
      </c>
      <c r="G54" s="97"/>
      <c r="H54" s="97"/>
      <c r="I54" s="97" t="s">
        <v>99</v>
      </c>
      <c r="J54" s="97"/>
      <c r="K54" s="97" t="s">
        <v>2</v>
      </c>
      <c r="L54" s="105" t="s">
        <v>36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2:27" ht="18" customHeight="1">
      <c r="B55" s="98"/>
      <c r="C55" s="97"/>
      <c r="D55" s="103"/>
      <c r="E55" s="97"/>
      <c r="F55" s="94" t="s">
        <v>59</v>
      </c>
      <c r="G55" s="104" t="s">
        <v>34</v>
      </c>
      <c r="H55" s="103"/>
      <c r="I55" s="97"/>
      <c r="J55" s="97"/>
      <c r="K55" s="97"/>
      <c r="L55" s="105"/>
      <c r="M55" s="12"/>
      <c r="N55" s="13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2:27" ht="36" customHeight="1">
      <c r="B56" s="98"/>
      <c r="C56" s="97"/>
      <c r="D56" s="103"/>
      <c r="E56" s="97"/>
      <c r="F56" s="103"/>
      <c r="G56" s="18" t="s">
        <v>54</v>
      </c>
      <c r="H56" s="18" t="s">
        <v>55</v>
      </c>
      <c r="I56" s="97"/>
      <c r="J56" s="97"/>
      <c r="K56" s="97"/>
      <c r="L56" s="105"/>
      <c r="M56" s="12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13.5" customHeight="1">
      <c r="B57" s="98"/>
      <c r="C57" s="99" t="s">
        <v>81</v>
      </c>
      <c r="D57" s="99"/>
      <c r="E57" s="99"/>
      <c r="F57" s="99"/>
      <c r="G57" s="99"/>
      <c r="H57" s="99"/>
      <c r="I57" s="99"/>
      <c r="J57" s="99"/>
      <c r="K57" s="99" t="s">
        <v>4</v>
      </c>
      <c r="L57" s="99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11.25" customHeight="1">
      <c r="B58" s="17">
        <v>1</v>
      </c>
      <c r="C58" s="19">
        <v>2</v>
      </c>
      <c r="D58" s="19">
        <v>3</v>
      </c>
      <c r="E58" s="19">
        <v>4</v>
      </c>
      <c r="F58" s="17">
        <v>5</v>
      </c>
      <c r="G58" s="17">
        <v>6</v>
      </c>
      <c r="H58" s="19">
        <v>7</v>
      </c>
      <c r="I58" s="103">
        <v>8</v>
      </c>
      <c r="J58" s="103"/>
      <c r="K58" s="17">
        <v>9</v>
      </c>
      <c r="L58" s="19">
        <v>10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12" ht="44.25" customHeight="1">
      <c r="B59" s="68" t="s">
        <v>65</v>
      </c>
      <c r="C59" s="76">
        <f>324653452626.69</f>
        <v>324653452626.69</v>
      </c>
      <c r="D59" s="76">
        <f>239009055327.92</f>
        <v>239009055327.92</v>
      </c>
      <c r="E59" s="76">
        <f>135068663514.84</f>
        <v>135068663514.84</v>
      </c>
      <c r="F59" s="76">
        <f>7490758068.64</f>
        <v>7490758068.64</v>
      </c>
      <c r="G59" s="76">
        <f>11205984.64</f>
        <v>11205984.64</v>
      </c>
      <c r="H59" s="76">
        <f>24461412.31</f>
        <v>24461412.31</v>
      </c>
      <c r="I59" s="110">
        <f>0</f>
        <v>0</v>
      </c>
      <c r="J59" s="110"/>
      <c r="K59" s="60">
        <f aca="true" t="shared" si="6" ref="K59:K68">IF($E$59=0,"",100*$E59/$E$59)</f>
        <v>100</v>
      </c>
      <c r="L59" s="60">
        <f aca="true" t="shared" si="7" ref="L59:L68">IF(C59=0,"",100*E59/C59)</f>
        <v>41.6039510505843</v>
      </c>
    </row>
    <row r="60" spans="2:12" ht="24" customHeight="1">
      <c r="B60" s="20" t="s">
        <v>14</v>
      </c>
      <c r="C60" s="26">
        <f>67470255569.84</f>
        <v>67470255569.84</v>
      </c>
      <c r="D60" s="26">
        <f>38346985328</f>
        <v>38346985328</v>
      </c>
      <c r="E60" s="26">
        <f>14695973750.72</f>
        <v>14695973750.72</v>
      </c>
      <c r="F60" s="26">
        <f>2215327936.99</f>
        <v>2215327936.99</v>
      </c>
      <c r="G60" s="26">
        <f>8750659.67</f>
        <v>8750659.67</v>
      </c>
      <c r="H60" s="26">
        <f>2404513.64</f>
        <v>2404513.64</v>
      </c>
      <c r="I60" s="111">
        <f>0</f>
        <v>0</v>
      </c>
      <c r="J60" s="112"/>
      <c r="K60" s="34">
        <f t="shared" si="6"/>
        <v>10.880372521865779</v>
      </c>
      <c r="L60" s="34">
        <f t="shared" si="7"/>
        <v>21.781411121983766</v>
      </c>
    </row>
    <row r="61" spans="2:12" ht="22.5" customHeight="1">
      <c r="B61" s="21" t="s">
        <v>13</v>
      </c>
      <c r="C61" s="23">
        <f>65382252517.73</f>
        <v>65382252517.73</v>
      </c>
      <c r="D61" s="23">
        <f>37195223629.11</f>
        <v>37195223629.11</v>
      </c>
      <c r="E61" s="23">
        <f>13792742918.88</f>
        <v>13792742918.88</v>
      </c>
      <c r="F61" s="23">
        <f>2119218926.71</f>
        <v>2119218926.71</v>
      </c>
      <c r="G61" s="23">
        <f>8750659.67</f>
        <v>8750659.67</v>
      </c>
      <c r="H61" s="23">
        <f>2404513.64</f>
        <v>2404513.64</v>
      </c>
      <c r="I61" s="108">
        <f>0</f>
        <v>0</v>
      </c>
      <c r="J61" s="109"/>
      <c r="K61" s="35">
        <f t="shared" si="6"/>
        <v>10.211652769751876</v>
      </c>
      <c r="L61" s="35">
        <f t="shared" si="7"/>
        <v>21.09554563777037</v>
      </c>
    </row>
    <row r="62" spans="2:12" ht="44.25" customHeight="1">
      <c r="B62" s="68" t="s">
        <v>66</v>
      </c>
      <c r="C62" s="76">
        <f aca="true" t="shared" si="8" ref="C62:I62">C59-C60</f>
        <v>257183197056.85</v>
      </c>
      <c r="D62" s="76">
        <f t="shared" si="8"/>
        <v>200662069999.92</v>
      </c>
      <c r="E62" s="76">
        <f t="shared" si="8"/>
        <v>120372689764.12</v>
      </c>
      <c r="F62" s="76">
        <f t="shared" si="8"/>
        <v>5275430131.650001</v>
      </c>
      <c r="G62" s="76">
        <f t="shared" si="8"/>
        <v>2455324.9700000007</v>
      </c>
      <c r="H62" s="76">
        <f t="shared" si="8"/>
        <v>22056898.669999998</v>
      </c>
      <c r="I62" s="110">
        <f t="shared" si="8"/>
        <v>0</v>
      </c>
      <c r="J62" s="110"/>
      <c r="K62" s="60">
        <f t="shared" si="6"/>
        <v>89.11962747813422</v>
      </c>
      <c r="L62" s="60">
        <f t="shared" si="7"/>
        <v>46.80425904244117</v>
      </c>
    </row>
    <row r="63" spans="2:12" ht="22.5" customHeight="1">
      <c r="B63" s="21" t="s">
        <v>112</v>
      </c>
      <c r="C63" s="23">
        <f>97993806663.13</f>
        <v>97993806663.13</v>
      </c>
      <c r="D63" s="23">
        <f>86327179776.48</f>
        <v>86327179776.48</v>
      </c>
      <c r="E63" s="23">
        <f>48169912589.48</f>
        <v>48169912589.48</v>
      </c>
      <c r="F63" s="23">
        <f>2087877610.05</f>
        <v>2087877610.05</v>
      </c>
      <c r="G63" s="23">
        <f>376688.51</f>
        <v>376688.51</v>
      </c>
      <c r="H63" s="23">
        <f>6736936.14</f>
        <v>6736936.14</v>
      </c>
      <c r="I63" s="108">
        <f>0</f>
        <v>0</v>
      </c>
      <c r="J63" s="109"/>
      <c r="K63" s="35">
        <f t="shared" si="6"/>
        <v>35.66327772554555</v>
      </c>
      <c r="L63" s="35">
        <f t="shared" si="7"/>
        <v>49.15607856226269</v>
      </c>
    </row>
    <row r="64" spans="2:12" ht="22.5" customHeight="1">
      <c r="B64" s="21" t="s">
        <v>53</v>
      </c>
      <c r="C64" s="23">
        <f>26269015790.69</f>
        <v>26269015790.69</v>
      </c>
      <c r="D64" s="23">
        <f>19443225994.17</f>
        <v>19443225994.17</v>
      </c>
      <c r="E64" s="23">
        <f>12714423888.01</f>
        <v>12714423888.01</v>
      </c>
      <c r="F64" s="23">
        <f>176832524.37</f>
        <v>176832524.37</v>
      </c>
      <c r="G64" s="23">
        <f>346000.39</f>
        <v>346000.39</v>
      </c>
      <c r="H64" s="23">
        <f>1560371.07</f>
        <v>1560371.07</v>
      </c>
      <c r="I64" s="108">
        <f>0</f>
        <v>0</v>
      </c>
      <c r="J64" s="109"/>
      <c r="K64" s="35">
        <f t="shared" si="6"/>
        <v>9.41330398713323</v>
      </c>
      <c r="L64" s="35">
        <f t="shared" si="7"/>
        <v>48.40083842241291</v>
      </c>
    </row>
    <row r="65" spans="2:12" ht="22.5" customHeight="1">
      <c r="B65" s="21" t="s">
        <v>52</v>
      </c>
      <c r="C65" s="23">
        <f>2678920647.66</f>
        <v>2678920647.66</v>
      </c>
      <c r="D65" s="23">
        <f>1525203546.68</f>
        <v>1525203546.68</v>
      </c>
      <c r="E65" s="23">
        <f>978103484.22</f>
        <v>978103484.22</v>
      </c>
      <c r="F65" s="23">
        <f>28267358.06</f>
        <v>28267358.06</v>
      </c>
      <c r="G65" s="23">
        <f>8078.26</f>
        <v>8078.26</v>
      </c>
      <c r="H65" s="23">
        <f>0</f>
        <v>0</v>
      </c>
      <c r="I65" s="108">
        <f>0</f>
        <v>0</v>
      </c>
      <c r="J65" s="109"/>
      <c r="K65" s="35">
        <f t="shared" si="6"/>
        <v>0.7241527818275448</v>
      </c>
      <c r="L65" s="35">
        <f t="shared" si="7"/>
        <v>36.51110327117602</v>
      </c>
    </row>
    <row r="66" spans="2:12" ht="33.75" customHeight="1">
      <c r="B66" s="21" t="s">
        <v>69</v>
      </c>
      <c r="C66" s="23">
        <f>459568273.44</f>
        <v>459568273.44</v>
      </c>
      <c r="D66" s="23">
        <f>55962391.19</f>
        <v>55962391.19</v>
      </c>
      <c r="E66" s="23">
        <f>11605078.13</f>
        <v>11605078.13</v>
      </c>
      <c r="F66" s="23">
        <f>102000</f>
        <v>102000</v>
      </c>
      <c r="G66" s="23">
        <f>0</f>
        <v>0</v>
      </c>
      <c r="H66" s="23">
        <f>0</f>
        <v>0</v>
      </c>
      <c r="I66" s="108">
        <f>0</f>
        <v>0</v>
      </c>
      <c r="J66" s="109"/>
      <c r="K66" s="35">
        <f t="shared" si="6"/>
        <v>0.008591984127187985</v>
      </c>
      <c r="L66" s="35">
        <f t="shared" si="7"/>
        <v>2.525213075117799</v>
      </c>
    </row>
    <row r="67" spans="2:12" ht="30" customHeight="1">
      <c r="B67" s="21" t="s">
        <v>71</v>
      </c>
      <c r="C67" s="23">
        <f>56879802595.77</f>
        <v>56879802595.77</v>
      </c>
      <c r="D67" s="23">
        <f>45652146510.03</f>
        <v>45652146510.03</v>
      </c>
      <c r="E67" s="23">
        <f>29235877269.56</f>
        <v>29235877269.56</v>
      </c>
      <c r="F67" s="23">
        <f>866004987.35</f>
        <v>866004987.35</v>
      </c>
      <c r="G67" s="23">
        <f>46403.08</f>
        <v>46403.08</v>
      </c>
      <c r="H67" s="23">
        <f>134946.25</f>
        <v>134946.25</v>
      </c>
      <c r="I67" s="108">
        <f>0</f>
        <v>0</v>
      </c>
      <c r="J67" s="109"/>
      <c r="K67" s="35">
        <f t="shared" si="6"/>
        <v>21.645196234837886</v>
      </c>
      <c r="L67" s="35">
        <f t="shared" si="7"/>
        <v>51.39940002487666</v>
      </c>
    </row>
    <row r="68" spans="2:12" ht="22.5" customHeight="1">
      <c r="B68" s="21" t="s">
        <v>51</v>
      </c>
      <c r="C68" s="23">
        <f aca="true" t="shared" si="9" ref="C68:I68">C62-C63-C64-C65-C66-C67</f>
        <v>72902083086.16</v>
      </c>
      <c r="D68" s="23">
        <f t="shared" si="9"/>
        <v>47658351781.370026</v>
      </c>
      <c r="E68" s="23">
        <f t="shared" si="9"/>
        <v>29262767454.719982</v>
      </c>
      <c r="F68" s="23">
        <f t="shared" si="9"/>
        <v>2116345651.8200006</v>
      </c>
      <c r="G68" s="23">
        <f t="shared" si="9"/>
        <v>1678154.7300000007</v>
      </c>
      <c r="H68" s="23">
        <f t="shared" si="9"/>
        <v>13624645.209999997</v>
      </c>
      <c r="I68" s="108">
        <f t="shared" si="9"/>
        <v>0</v>
      </c>
      <c r="J68" s="109"/>
      <c r="K68" s="35">
        <f t="shared" si="6"/>
        <v>21.66510476466281</v>
      </c>
      <c r="L68" s="35">
        <f t="shared" si="7"/>
        <v>40.139823467232766</v>
      </c>
    </row>
    <row r="69" spans="2:13" ht="24" customHeight="1">
      <c r="B69" s="20" t="s">
        <v>15</v>
      </c>
      <c r="C69" s="26">
        <f>C6-C59</f>
        <v>-26231356036.640015</v>
      </c>
      <c r="D69" s="26"/>
      <c r="E69" s="26">
        <f>D6-E59</f>
        <v>11962924396.410004</v>
      </c>
      <c r="F69" s="26"/>
      <c r="G69" s="26"/>
      <c r="H69" s="26"/>
      <c r="I69" s="111"/>
      <c r="J69" s="111"/>
      <c r="K69" s="27"/>
      <c r="L69" s="27"/>
      <c r="M69" s="14"/>
    </row>
    <row r="70" spans="2:13" ht="38.25">
      <c r="B70" s="61" t="s">
        <v>80</v>
      </c>
      <c r="C70" s="62">
        <f>+C50-C62</f>
        <v>10096202621.949982</v>
      </c>
      <c r="D70" s="62"/>
      <c r="E70" s="62">
        <f>+D50-E62</f>
        <v>17922033395.850006</v>
      </c>
      <c r="F70" s="62"/>
      <c r="G70" s="62"/>
      <c r="H70" s="62"/>
      <c r="I70" s="106"/>
      <c r="J70" s="107"/>
      <c r="K70" s="27"/>
      <c r="L70" s="27"/>
      <c r="M70" s="14"/>
    </row>
    <row r="71" spans="2:13" ht="12" customHeight="1" thickBot="1">
      <c r="B71" s="63"/>
      <c r="C71" s="64"/>
      <c r="D71" s="64"/>
      <c r="E71" s="64"/>
      <c r="F71" s="2"/>
      <c r="G71" s="2"/>
      <c r="H71" s="2"/>
      <c r="I71" s="2"/>
      <c r="L71" s="11"/>
      <c r="M71" s="11"/>
    </row>
    <row r="72" spans="2:13" ht="12" customHeight="1" thickBot="1">
      <c r="B72" s="65" t="s">
        <v>74</v>
      </c>
      <c r="C72" s="64"/>
      <c r="D72" s="64"/>
      <c r="E72" s="64"/>
      <c r="F72" s="2"/>
      <c r="G72" s="2"/>
      <c r="H72" s="2"/>
      <c r="I72" s="2"/>
      <c r="L72" s="11"/>
      <c r="M72" s="11"/>
    </row>
    <row r="73" spans="2:13" ht="35.25" customHeight="1">
      <c r="B73" s="81" t="s">
        <v>75</v>
      </c>
      <c r="C73" s="76">
        <f>34845978657.81</f>
        <v>34845978657.81</v>
      </c>
      <c r="D73" s="76">
        <f>20943803405.23</f>
        <v>20943803405.23</v>
      </c>
      <c r="E73" s="76">
        <f>8739407700.27</f>
        <v>8739407700.27</v>
      </c>
      <c r="F73" s="76">
        <f>887489218.3</f>
        <v>887489218.3</v>
      </c>
      <c r="G73" s="76">
        <f>238.99</f>
        <v>238.99</v>
      </c>
      <c r="H73" s="76">
        <f>1041617.35</f>
        <v>1041617.35</v>
      </c>
      <c r="I73" s="110">
        <f>0</f>
        <v>0</v>
      </c>
      <c r="J73" s="110"/>
      <c r="K73" s="60">
        <f>IF($E$73=0,"",100*$E73/$E$73)</f>
        <v>100</v>
      </c>
      <c r="L73" s="60">
        <f>IF(C73=0,"",100*E73/C73)</f>
        <v>25.08010403751781</v>
      </c>
      <c r="M73" s="11"/>
    </row>
    <row r="74" spans="2:13" ht="21.75" customHeight="1">
      <c r="B74" s="78" t="s">
        <v>78</v>
      </c>
      <c r="C74" s="79">
        <f>28088399646.7</f>
        <v>28088399646.7</v>
      </c>
      <c r="D74" s="79">
        <f>17303265028.47</f>
        <v>17303265028.47</v>
      </c>
      <c r="E74" s="79">
        <f>6620192601.49</f>
        <v>6620192601.49</v>
      </c>
      <c r="F74" s="79">
        <f>796264058.46</f>
        <v>796264058.46</v>
      </c>
      <c r="G74" s="79">
        <f>238.99</f>
        <v>238.99</v>
      </c>
      <c r="H74" s="79">
        <f>982755.27</f>
        <v>982755.27</v>
      </c>
      <c r="I74" s="113">
        <f>0</f>
        <v>0</v>
      </c>
      <c r="J74" s="113"/>
      <c r="K74" s="80">
        <f>IF($E$73=0,"",100*$E74/$E$73)</f>
        <v>75.75104433319288</v>
      </c>
      <c r="L74" s="80">
        <f>IF(C74=0,"",100*E74/C74)</f>
        <v>23.569134179090838</v>
      </c>
      <c r="M74" s="11"/>
    </row>
    <row r="75" spans="2:12" ht="24" customHeight="1">
      <c r="B75" s="78" t="s">
        <v>79</v>
      </c>
      <c r="C75" s="79">
        <f aca="true" t="shared" si="10" ref="C75:I75">C73-C74</f>
        <v>6757579011.109997</v>
      </c>
      <c r="D75" s="79">
        <f t="shared" si="10"/>
        <v>3640538376.7599983</v>
      </c>
      <c r="E75" s="79">
        <f t="shared" si="10"/>
        <v>2119215098.7800007</v>
      </c>
      <c r="F75" s="79">
        <f t="shared" si="10"/>
        <v>91225159.83999991</v>
      </c>
      <c r="G75" s="79">
        <f t="shared" si="10"/>
        <v>0</v>
      </c>
      <c r="H75" s="79">
        <f t="shared" si="10"/>
        <v>58862.07999999996</v>
      </c>
      <c r="I75" s="113">
        <f t="shared" si="10"/>
        <v>0</v>
      </c>
      <c r="J75" s="113"/>
      <c r="K75" s="80">
        <f>IF($E$73=0,"",100*$E75/$E$73)</f>
        <v>24.248955666807127</v>
      </c>
      <c r="L75" s="80">
        <f>IF(C75=0,"",100*E75/C75)</f>
        <v>31.36056708024934</v>
      </c>
    </row>
    <row r="76" spans="2:13" ht="20.25">
      <c r="B76" s="102" t="s">
        <v>113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2:8" ht="12.75">
      <c r="B77" s="41" t="s">
        <v>16</v>
      </c>
      <c r="C77" s="90" t="s">
        <v>17</v>
      </c>
      <c r="D77" s="89"/>
      <c r="E77" s="90" t="s">
        <v>1</v>
      </c>
      <c r="F77" s="89"/>
      <c r="G77" s="19" t="s">
        <v>26</v>
      </c>
      <c r="H77" s="19" t="s">
        <v>27</v>
      </c>
    </row>
    <row r="78" spans="2:8" ht="12.75">
      <c r="B78" s="41"/>
      <c r="C78" s="94" t="s">
        <v>81</v>
      </c>
      <c r="D78" s="95"/>
      <c r="E78" s="95"/>
      <c r="F78" s="96"/>
      <c r="G78" s="100" t="s">
        <v>4</v>
      </c>
      <c r="H78" s="101"/>
    </row>
    <row r="79" spans="2:8" ht="12.75">
      <c r="B79" s="39">
        <v>1</v>
      </c>
      <c r="C79" s="43">
        <v>2</v>
      </c>
      <c r="D79" s="44"/>
      <c r="E79" s="43">
        <v>3</v>
      </c>
      <c r="F79" s="44"/>
      <c r="G79" s="40">
        <v>4</v>
      </c>
      <c r="H79" s="40">
        <v>5</v>
      </c>
    </row>
    <row r="80" spans="2:8" ht="25.5">
      <c r="B80" s="38" t="s">
        <v>67</v>
      </c>
      <c r="C80" s="45">
        <f>36849061691.05</f>
        <v>36849061691.05</v>
      </c>
      <c r="D80" s="46"/>
      <c r="E80" s="45">
        <f>23940097718.81</f>
        <v>23940097718.81</v>
      </c>
      <c r="F80" s="46"/>
      <c r="G80" s="42">
        <f>IF($E$80=0,"",100*$E80/$E$80)</f>
        <v>100</v>
      </c>
      <c r="H80" s="34">
        <f>IF(C80=0,"",100*E80/C80)</f>
        <v>64.96799815292077</v>
      </c>
    </row>
    <row r="81" spans="2:8" ht="33.75">
      <c r="B81" s="37" t="s">
        <v>100</v>
      </c>
      <c r="C81" s="47">
        <f>22998492216.22</f>
        <v>22998492216.22</v>
      </c>
      <c r="D81" s="48"/>
      <c r="E81" s="47">
        <f>2952568253.64</f>
        <v>2952568253.64</v>
      </c>
      <c r="F81" s="48"/>
      <c r="G81" s="58">
        <f aca="true" t="shared" si="11" ref="G81:G87">IF($E$80=0,"",100*$E81/$E$80)</f>
        <v>12.333150383593189</v>
      </c>
      <c r="H81" s="59">
        <f aca="true" t="shared" si="12" ref="H81:H92">IF(C81=0,"",100*E81/C81)</f>
        <v>12.83809488848865</v>
      </c>
    </row>
    <row r="82" spans="2:8" ht="22.5">
      <c r="B82" s="30" t="s">
        <v>101</v>
      </c>
      <c r="C82" s="82">
        <f>704165620.18</f>
        <v>704165620.18</v>
      </c>
      <c r="D82" s="83"/>
      <c r="E82" s="82">
        <f>31800000</f>
        <v>31800000</v>
      </c>
      <c r="F82" s="83"/>
      <c r="G82" s="84">
        <f t="shared" si="11"/>
        <v>0.1328315380058553</v>
      </c>
      <c r="H82" s="80">
        <f t="shared" si="12"/>
        <v>4.515983042721006</v>
      </c>
    </row>
    <row r="83" spans="2:8" ht="12.75">
      <c r="B83" s="85" t="s">
        <v>102</v>
      </c>
      <c r="C83" s="82">
        <f>330486500.84</f>
        <v>330486500.84</v>
      </c>
      <c r="D83" s="83"/>
      <c r="E83" s="82">
        <f>70091563.32</f>
        <v>70091563.32</v>
      </c>
      <c r="F83" s="83"/>
      <c r="G83" s="84">
        <f t="shared" si="11"/>
        <v>0.29277893575567265</v>
      </c>
      <c r="H83" s="80">
        <f t="shared" si="12"/>
        <v>21.20860099938961</v>
      </c>
    </row>
    <row r="84" spans="2:8" ht="12.75">
      <c r="B84" s="85" t="s">
        <v>103</v>
      </c>
      <c r="C84" s="82">
        <f>1724101576.33</f>
        <v>1724101576.33</v>
      </c>
      <c r="D84" s="83"/>
      <c r="E84" s="82">
        <f>2850579284.1</f>
        <v>2850579284.1</v>
      </c>
      <c r="F84" s="83"/>
      <c r="G84" s="84">
        <f t="shared" si="11"/>
        <v>11.907133035051348</v>
      </c>
      <c r="H84" s="80">
        <f t="shared" si="12"/>
        <v>165.33708473069615</v>
      </c>
    </row>
    <row r="85" spans="2:8" ht="12.75">
      <c r="B85" s="85" t="s">
        <v>104</v>
      </c>
      <c r="C85" s="82">
        <f>3265301.99</f>
        <v>3265301.99</v>
      </c>
      <c r="D85" s="83"/>
      <c r="E85" s="82">
        <f>3265301.99</f>
        <v>3265301.99</v>
      </c>
      <c r="F85" s="83"/>
      <c r="G85" s="84">
        <f t="shared" si="11"/>
        <v>0.013639468093876726</v>
      </c>
      <c r="H85" s="80">
        <f t="shared" si="12"/>
        <v>100</v>
      </c>
    </row>
    <row r="86" spans="2:8" ht="33.75">
      <c r="B86" s="85" t="s">
        <v>105</v>
      </c>
      <c r="C86" s="82">
        <f>9759893549.79</f>
        <v>9759893549.79</v>
      </c>
      <c r="D86" s="83"/>
      <c r="E86" s="82">
        <f>15826904203.46</f>
        <v>15826904203.46</v>
      </c>
      <c r="F86" s="83"/>
      <c r="G86" s="84">
        <f t="shared" si="11"/>
        <v>66.11044110745055</v>
      </c>
      <c r="H86" s="80">
        <f t="shared" si="12"/>
        <v>162.16267239718553</v>
      </c>
    </row>
    <row r="87" spans="2:8" ht="12.75">
      <c r="B87" s="85" t="s">
        <v>83</v>
      </c>
      <c r="C87" s="82">
        <f>354984032.49</f>
        <v>354984032.49</v>
      </c>
      <c r="D87" s="83"/>
      <c r="E87" s="82">
        <f>242543714.1</f>
        <v>242543714.1</v>
      </c>
      <c r="F87" s="83"/>
      <c r="G87" s="84">
        <f t="shared" si="11"/>
        <v>1.0131275024388506</v>
      </c>
      <c r="H87" s="80">
        <f t="shared" si="12"/>
        <v>68.32524618042714</v>
      </c>
    </row>
    <row r="88" spans="2:8" ht="25.5">
      <c r="B88" s="38" t="s">
        <v>68</v>
      </c>
      <c r="C88" s="55">
        <f>10572289017.39</f>
        <v>10572289017.39</v>
      </c>
      <c r="D88" s="56"/>
      <c r="E88" s="55">
        <f>4832640121.28</f>
        <v>4832640121.28</v>
      </c>
      <c r="F88" s="56"/>
      <c r="G88" s="42">
        <f>IF($E$88=0,"",100*$E88/$E$88)</f>
        <v>100</v>
      </c>
      <c r="H88" s="34">
        <f t="shared" si="12"/>
        <v>45.71044277479508</v>
      </c>
    </row>
    <row r="89" spans="2:8" ht="33.75">
      <c r="B89" s="37" t="s">
        <v>106</v>
      </c>
      <c r="C89" s="47">
        <f>9488057325.63</f>
        <v>9488057325.63</v>
      </c>
      <c r="D89" s="53"/>
      <c r="E89" s="54">
        <f>3771954564.29</f>
        <v>3771954564.29</v>
      </c>
      <c r="F89" s="53"/>
      <c r="G89" s="58">
        <f>IF($E$88=0,"",100*$E89/$E$88)</f>
        <v>78.05163367494741</v>
      </c>
      <c r="H89" s="59">
        <f t="shared" si="12"/>
        <v>39.75476153691499</v>
      </c>
    </row>
    <row r="90" spans="2:8" ht="22.5">
      <c r="B90" s="30" t="s">
        <v>107</v>
      </c>
      <c r="C90" s="82">
        <f>592214094</f>
        <v>592214094</v>
      </c>
      <c r="D90" s="83"/>
      <c r="E90" s="82">
        <f>49086036</f>
        <v>49086036</v>
      </c>
      <c r="F90" s="83"/>
      <c r="G90" s="84">
        <f>IF($E$88=0,"",100*$E90/$E$88)</f>
        <v>1.015718836249673</v>
      </c>
      <c r="H90" s="80">
        <f t="shared" si="12"/>
        <v>8.28856261566784</v>
      </c>
    </row>
    <row r="91" spans="2:8" ht="12.75">
      <c r="B91" s="85" t="s">
        <v>108</v>
      </c>
      <c r="C91" s="82">
        <f>239686559.31</f>
        <v>239686559.31</v>
      </c>
      <c r="D91" s="83"/>
      <c r="E91" s="82">
        <f>106318106.85</f>
        <v>106318106.85</v>
      </c>
      <c r="F91" s="83"/>
      <c r="G91" s="84">
        <f>IF($E$88=0,"",100*$E91/$E$88)</f>
        <v>2.200000500385698</v>
      </c>
      <c r="H91" s="80">
        <f t="shared" si="12"/>
        <v>44.35714174214202</v>
      </c>
    </row>
    <row r="92" spans="2:8" ht="12.75">
      <c r="B92" s="36" t="s">
        <v>33</v>
      </c>
      <c r="C92" s="47">
        <f>844545132.45</f>
        <v>844545132.45</v>
      </c>
      <c r="D92" s="50"/>
      <c r="E92" s="47">
        <f>954367450.14</f>
        <v>954367450.14</v>
      </c>
      <c r="F92" s="50"/>
      <c r="G92" s="58">
        <f>IF($E$88=0,"",100*$E92/$E$88)</f>
        <v>19.74836582466689</v>
      </c>
      <c r="H92" s="59">
        <f t="shared" si="12"/>
        <v>113.00372395391217</v>
      </c>
    </row>
    <row r="94" spans="2:8" ht="12.75">
      <c r="B94" s="41" t="s">
        <v>16</v>
      </c>
      <c r="C94" s="90" t="s">
        <v>17</v>
      </c>
      <c r="D94" s="89"/>
      <c r="E94" s="90" t="s">
        <v>1</v>
      </c>
      <c r="F94" s="89"/>
      <c r="G94" s="19" t="s">
        <v>26</v>
      </c>
      <c r="H94" s="19" t="s">
        <v>27</v>
      </c>
    </row>
    <row r="95" spans="2:8" ht="12.75">
      <c r="B95" s="41"/>
      <c r="C95" s="94" t="s">
        <v>81</v>
      </c>
      <c r="D95" s="95"/>
      <c r="E95" s="95"/>
      <c r="F95" s="96"/>
      <c r="G95" s="100" t="s">
        <v>4</v>
      </c>
      <c r="H95" s="101"/>
    </row>
    <row r="96" spans="2:8" ht="12.75">
      <c r="B96" s="39">
        <v>1</v>
      </c>
      <c r="C96" s="43">
        <v>2</v>
      </c>
      <c r="D96" s="44"/>
      <c r="E96" s="43">
        <v>3</v>
      </c>
      <c r="F96" s="44"/>
      <c r="G96" s="40">
        <v>4</v>
      </c>
      <c r="H96" s="40">
        <v>5</v>
      </c>
    </row>
    <row r="97" spans="2:8" ht="22.5">
      <c r="B97" s="57" t="s">
        <v>84</v>
      </c>
      <c r="C97" s="52">
        <f>26633503192.95</f>
        <v>26633503192.95</v>
      </c>
      <c r="D97" s="49"/>
      <c r="E97" s="52">
        <f>0</f>
        <v>0</v>
      </c>
      <c r="F97" s="46"/>
      <c r="G97" s="42"/>
      <c r="H97" s="34"/>
    </row>
    <row r="98" spans="2:8" ht="56.25">
      <c r="B98" s="51" t="s">
        <v>85</v>
      </c>
      <c r="C98" s="54">
        <f>629088684.99</f>
        <v>629088684.99</v>
      </c>
      <c r="D98" s="53"/>
      <c r="E98" s="54">
        <f>0</f>
        <v>0</v>
      </c>
      <c r="F98" s="53"/>
      <c r="G98" s="58"/>
      <c r="H98" s="59"/>
    </row>
    <row r="99" spans="2:8" ht="12.75">
      <c r="B99" s="51" t="s">
        <v>86</v>
      </c>
      <c r="C99" s="54">
        <f>16041554749.27</f>
        <v>16041554749.27</v>
      </c>
      <c r="D99" s="53"/>
      <c r="E99" s="54">
        <f>0</f>
        <v>0</v>
      </c>
      <c r="F99" s="53"/>
      <c r="G99" s="58"/>
      <c r="H99" s="59"/>
    </row>
    <row r="100" spans="2:8" ht="33.75">
      <c r="B100" s="51" t="s">
        <v>87</v>
      </c>
      <c r="C100" s="54">
        <f>0</f>
        <v>0</v>
      </c>
      <c r="D100" s="53"/>
      <c r="E100" s="54">
        <f>0</f>
        <v>0</v>
      </c>
      <c r="F100" s="53"/>
      <c r="G100" s="58"/>
      <c r="H100" s="59"/>
    </row>
    <row r="101" spans="2:8" ht="33.75">
      <c r="B101" s="51" t="s">
        <v>88</v>
      </c>
      <c r="C101" s="54">
        <f>1125700074.15</f>
        <v>1125700074.15</v>
      </c>
      <c r="D101" s="53"/>
      <c r="E101" s="54">
        <f>0</f>
        <v>0</v>
      </c>
      <c r="F101" s="53"/>
      <c r="G101" s="58"/>
      <c r="H101" s="59"/>
    </row>
    <row r="102" spans="2:8" ht="101.25">
      <c r="B102" s="51" t="s">
        <v>89</v>
      </c>
      <c r="C102" s="54">
        <f>7307587046.89</f>
        <v>7307587046.89</v>
      </c>
      <c r="D102" s="53"/>
      <c r="E102" s="54">
        <f>0</f>
        <v>0</v>
      </c>
      <c r="F102" s="53"/>
      <c r="G102" s="58"/>
      <c r="H102" s="59"/>
    </row>
    <row r="104" spans="2:6" ht="12.75">
      <c r="B104" s="41" t="s">
        <v>16</v>
      </c>
      <c r="C104" s="90" t="s">
        <v>111</v>
      </c>
      <c r="D104" s="88"/>
      <c r="E104" s="88"/>
      <c r="F104" s="89"/>
    </row>
    <row r="105" spans="2:6" ht="12.75">
      <c r="B105" s="41"/>
      <c r="C105" s="94" t="s">
        <v>81</v>
      </c>
      <c r="D105" s="95"/>
      <c r="E105" s="95"/>
      <c r="F105" s="96"/>
    </row>
    <row r="106" spans="2:6" ht="12.75">
      <c r="B106" s="39">
        <v>1</v>
      </c>
      <c r="C106" s="91">
        <v>2</v>
      </c>
      <c r="D106" s="92"/>
      <c r="E106" s="92"/>
      <c r="F106" s="93"/>
    </row>
    <row r="107" spans="2:6" ht="56.25">
      <c r="B107" s="57" t="s">
        <v>90</v>
      </c>
      <c r="C107" s="87">
        <f>0</f>
        <v>0</v>
      </c>
      <c r="D107" s="88"/>
      <c r="E107" s="88"/>
      <c r="F107" s="89"/>
    </row>
    <row r="108" spans="2:6" ht="45">
      <c r="B108" s="86" t="s">
        <v>91</v>
      </c>
      <c r="C108" s="87">
        <f>0</f>
        <v>0</v>
      </c>
      <c r="D108" s="88"/>
      <c r="E108" s="88"/>
      <c r="F108" s="89"/>
    </row>
    <row r="109" spans="2:6" ht="45">
      <c r="B109" s="86" t="s">
        <v>92</v>
      </c>
      <c r="C109" s="87">
        <f>0</f>
        <v>0</v>
      </c>
      <c r="D109" s="88"/>
      <c r="E109" s="88"/>
      <c r="F109" s="89"/>
    </row>
    <row r="110" spans="2:6" ht="78.75">
      <c r="B110" s="86" t="s">
        <v>93</v>
      </c>
      <c r="C110" s="87">
        <f>0</f>
        <v>0</v>
      </c>
      <c r="D110" s="88"/>
      <c r="E110" s="88"/>
      <c r="F110" s="89"/>
    </row>
    <row r="111" spans="2:6" ht="56.25">
      <c r="B111" s="86" t="s">
        <v>94</v>
      </c>
      <c r="C111" s="87">
        <f>0</f>
        <v>0</v>
      </c>
      <c r="D111" s="88"/>
      <c r="E111" s="88"/>
      <c r="F111" s="89"/>
    </row>
    <row r="112" spans="2:6" ht="56.25">
      <c r="B112" s="86" t="s">
        <v>95</v>
      </c>
      <c r="C112" s="87">
        <f>0</f>
        <v>0</v>
      </c>
      <c r="D112" s="88"/>
      <c r="E112" s="88"/>
      <c r="F112" s="89"/>
    </row>
    <row r="113" spans="2:6" ht="56.25">
      <c r="B113" s="86" t="s">
        <v>96</v>
      </c>
      <c r="C113" s="87">
        <f>0</f>
        <v>0</v>
      </c>
      <c r="D113" s="88"/>
      <c r="E113" s="88"/>
      <c r="F113" s="89"/>
    </row>
    <row r="114" spans="2:6" ht="112.5">
      <c r="B114" s="86" t="s">
        <v>109</v>
      </c>
      <c r="C114" s="87">
        <f>0</f>
        <v>0</v>
      </c>
      <c r="D114" s="88"/>
      <c r="E114" s="88"/>
      <c r="F114" s="89"/>
    </row>
    <row r="115" spans="2:6" ht="112.5">
      <c r="B115" s="86" t="s">
        <v>110</v>
      </c>
      <c r="C115" s="87">
        <f>0</f>
        <v>0</v>
      </c>
      <c r="D115" s="88"/>
      <c r="E115" s="88"/>
      <c r="F115" s="89"/>
    </row>
  </sheetData>
  <sheetProtection/>
  <mergeCells count="54">
    <mergeCell ref="I58:J58"/>
    <mergeCell ref="I75:J75"/>
    <mergeCell ref="I67:J67"/>
    <mergeCell ref="I65:J65"/>
    <mergeCell ref="I66:J66"/>
    <mergeCell ref="I68:J68"/>
    <mergeCell ref="I69:J69"/>
    <mergeCell ref="I73:J73"/>
    <mergeCell ref="I74:J74"/>
    <mergeCell ref="I63:J63"/>
    <mergeCell ref="I64:J64"/>
    <mergeCell ref="I59:J59"/>
    <mergeCell ref="I60:J60"/>
    <mergeCell ref="I61:J61"/>
    <mergeCell ref="I62:J62"/>
    <mergeCell ref="B1:M1"/>
    <mergeCell ref="B3:B4"/>
    <mergeCell ref="K4:M4"/>
    <mergeCell ref="C4:J4"/>
    <mergeCell ref="B52:M52"/>
    <mergeCell ref="B76:M76"/>
    <mergeCell ref="I54:J56"/>
    <mergeCell ref="D54:D56"/>
    <mergeCell ref="E54:E56"/>
    <mergeCell ref="F55:F56"/>
    <mergeCell ref="F54:H54"/>
    <mergeCell ref="G55:H55"/>
    <mergeCell ref="L54:L56"/>
    <mergeCell ref="I70:J70"/>
    <mergeCell ref="C57:J57"/>
    <mergeCell ref="C54:C56"/>
    <mergeCell ref="B54:B57"/>
    <mergeCell ref="K54:K56"/>
    <mergeCell ref="K57:L57"/>
    <mergeCell ref="G78:H78"/>
    <mergeCell ref="C105:F105"/>
    <mergeCell ref="C94:D94"/>
    <mergeCell ref="E94:F94"/>
    <mergeCell ref="C95:F95"/>
    <mergeCell ref="G95:H95"/>
    <mergeCell ref="C104:F104"/>
    <mergeCell ref="C106:F106"/>
    <mergeCell ref="C107:F107"/>
    <mergeCell ref="C77:D77"/>
    <mergeCell ref="E77:F77"/>
    <mergeCell ref="C78:F78"/>
    <mergeCell ref="C112:F112"/>
    <mergeCell ref="C113:F113"/>
    <mergeCell ref="C114:F114"/>
    <mergeCell ref="C115:F115"/>
    <mergeCell ref="C111:F111"/>
    <mergeCell ref="C108:F108"/>
    <mergeCell ref="C109:F109"/>
    <mergeCell ref="C110:F110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55" r:id="rId3"/>
  <headerFooter alignWithMargins="0">
    <oddFooter>&amp;RStrona &amp;P z &amp;N</oddFooter>
  </headerFooter>
  <rowBreaks count="4" manualBreakCount="4">
    <brk id="21" max="255" man="1"/>
    <brk id="51" max="255" man="1"/>
    <brk id="75" max="12" man="1"/>
    <brk id="103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2018-03-19T09:12:59Z</cp:lastPrinted>
  <dcterms:created xsi:type="dcterms:W3CDTF">2001-05-17T08:58:03Z</dcterms:created>
  <dcterms:modified xsi:type="dcterms:W3CDTF">2020-08-24T20:33:23Z</dcterms:modified>
  <cp:category/>
  <cp:version/>
  <cp:contentType/>
  <cp:contentStatus/>
</cp:coreProperties>
</file>