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babraj\Desktop\Publikacja\Plany NFZ - 20.04.2018\"/>
    </mc:Choice>
  </mc:AlternateContent>
  <bookViews>
    <workbookView xWindow="-15" yWindow="705" windowWidth="19440" windowHeight="11760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WarmińskoMazurski!$A$6:$C$65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CENTRALA!$A$1:$F$66</definedName>
    <definedName name="_xlnm.Print_Area" localSheetId="3">Dolnośląski!$A$1:$F$66</definedName>
    <definedName name="_xlnm.Print_Area" localSheetId="4">KujawskoPomorski!$A$1:$F$66</definedName>
    <definedName name="_xlnm.Print_Area" localSheetId="5">Lubelski!$A$1:$F$66</definedName>
    <definedName name="_xlnm.Print_Area" localSheetId="6">Lubuski!$A$1:$F$66</definedName>
    <definedName name="_xlnm.Print_Area" localSheetId="7">Łódzki!$A$1:$F$66</definedName>
    <definedName name="_xlnm.Print_Area" localSheetId="8">Małopolski!$A$1:$F$66</definedName>
    <definedName name="_xlnm.Print_Area" localSheetId="9">Mazowiecki!$A$1:$F$66</definedName>
    <definedName name="_xlnm.Print_Area" localSheetId="0">NFZ!$A$1:$F$94</definedName>
    <definedName name="_xlnm.Print_Area" localSheetId="10">Opolski!$A$1:$F$66</definedName>
    <definedName name="_xlnm.Print_Area" localSheetId="11">Podkarpacki!$A$1:$F$66</definedName>
    <definedName name="_xlnm.Print_Area" localSheetId="12">Podlaski!$A$1:$F$66</definedName>
    <definedName name="_xlnm.Print_Area" localSheetId="13">Pomorski!$A$1:$F$66</definedName>
    <definedName name="_xlnm.Print_Area" localSheetId="2">'Razem OW'!$A$1:$F$66</definedName>
    <definedName name="_xlnm.Print_Area" localSheetId="14">Śląski!$A$1:$F$66</definedName>
    <definedName name="_xlnm.Print_Area" localSheetId="15">Świętokrzyski!$A$1:$F$66</definedName>
    <definedName name="_xlnm.Print_Area" localSheetId="16">WarmińskoMazurski!$A$1:$F$66</definedName>
    <definedName name="_xlnm.Print_Area" localSheetId="17">Wielkopolski!$A$1:$F$66</definedName>
    <definedName name="_xlnm.Print_Area" localSheetId="18">Zachodniopomorski!$A$1:$F$66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calcMode="manual" fullPrecision="0"/>
</workbook>
</file>

<file path=xl/calcChain.xml><?xml version="1.0" encoding="utf-8"?>
<calcChain xmlns="http://schemas.openxmlformats.org/spreadsheetml/2006/main">
  <c r="D9" i="3" l="1"/>
  <c r="D8" i="3"/>
  <c r="D9" i="5"/>
  <c r="D8" i="5"/>
  <c r="D9" i="6"/>
  <c r="D8" i="6"/>
  <c r="D9" i="7"/>
  <c r="D8" i="7"/>
  <c r="D9" i="8"/>
  <c r="D8" i="8"/>
  <c r="D9" i="9"/>
  <c r="D8" i="9"/>
  <c r="D9" i="10"/>
  <c r="D8" i="10"/>
  <c r="D9" i="11"/>
  <c r="D8" i="11"/>
  <c r="D9" i="12"/>
  <c r="D8" i="12"/>
  <c r="D9" i="13"/>
  <c r="D8" i="13"/>
  <c r="D9" i="14"/>
  <c r="D8" i="14"/>
  <c r="D9" i="15"/>
  <c r="D8" i="15"/>
  <c r="D9" i="16"/>
  <c r="D8" i="16"/>
  <c r="D9" i="17"/>
  <c r="D8" i="17"/>
  <c r="D9" i="18"/>
  <c r="D8" i="18"/>
  <c r="D9" i="19"/>
  <c r="D8" i="19"/>
  <c r="D25" i="23"/>
  <c r="D35" i="3" l="1"/>
  <c r="D14" i="3"/>
  <c r="D10" i="3"/>
  <c r="D35" i="5"/>
  <c r="D14" i="5"/>
  <c r="D10" i="5"/>
  <c r="D35" i="6"/>
  <c r="D14" i="6"/>
  <c r="D10" i="6"/>
  <c r="D35" i="7"/>
  <c r="D14" i="7"/>
  <c r="D10" i="7"/>
  <c r="D35" i="8"/>
  <c r="D14" i="8"/>
  <c r="D10" i="8"/>
  <c r="D35" i="9"/>
  <c r="D14" i="9"/>
  <c r="D10" i="9"/>
  <c r="D35" i="10"/>
  <c r="D14" i="10"/>
  <c r="D10" i="10"/>
  <c r="D35" i="11"/>
  <c r="D14" i="11"/>
  <c r="D10" i="11"/>
  <c r="D35" i="12"/>
  <c r="D14" i="12"/>
  <c r="D10" i="12"/>
  <c r="D35" i="13"/>
  <c r="D14" i="13"/>
  <c r="D10" i="13"/>
  <c r="D35" i="14"/>
  <c r="D14" i="14"/>
  <c r="D10" i="14"/>
  <c r="D35" i="15"/>
  <c r="D14" i="15"/>
  <c r="D10" i="15"/>
  <c r="D35" i="16"/>
  <c r="D14" i="16"/>
  <c r="D10" i="16"/>
  <c r="D35" i="17"/>
  <c r="D14" i="17"/>
  <c r="D35" i="18"/>
  <c r="D14" i="18"/>
  <c r="D35" i="19"/>
  <c r="D14" i="19"/>
  <c r="F35" i="18" l="1"/>
  <c r="F35" i="17"/>
  <c r="E35" i="16"/>
  <c r="F35" i="14"/>
  <c r="F35" i="12"/>
  <c r="F35" i="10"/>
  <c r="F35" i="8"/>
  <c r="F35" i="6"/>
  <c r="E35" i="6"/>
  <c r="F35" i="3"/>
  <c r="E35" i="19"/>
  <c r="E35" i="17" l="1"/>
  <c r="F35" i="16"/>
  <c r="E35" i="10"/>
  <c r="E35" i="14"/>
  <c r="F35" i="15"/>
  <c r="E35" i="18"/>
  <c r="E35" i="3"/>
  <c r="E35" i="8"/>
  <c r="E35" i="12"/>
  <c r="F35" i="19"/>
  <c r="E35" i="11" l="1"/>
  <c r="F35" i="11"/>
  <c r="E35" i="9"/>
  <c r="F35" i="9"/>
  <c r="E35" i="7"/>
  <c r="F35" i="7"/>
  <c r="E35" i="13"/>
  <c r="F35" i="13"/>
  <c r="E35" i="5"/>
  <c r="F35" i="5"/>
  <c r="E35" i="15"/>
  <c r="C35" i="20"/>
  <c r="C55" i="23" s="1"/>
  <c r="F35" i="22" l="1"/>
  <c r="D35" i="20"/>
  <c r="E35" i="20" s="1"/>
  <c r="D35" i="22"/>
  <c r="F35" i="20" l="1"/>
  <c r="D55" i="23"/>
  <c r="F55" i="23" s="1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E55" i="23"/>
  <c r="D10" i="17"/>
  <c r="D11" i="17"/>
  <c r="D12" i="17"/>
  <c r="D13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11" i="16"/>
  <c r="D12" i="16"/>
  <c r="D13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11" i="15"/>
  <c r="D12" i="15"/>
  <c r="D13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11" i="14"/>
  <c r="D12" i="14"/>
  <c r="D13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11" i="13"/>
  <c r="D12" i="13"/>
  <c r="D13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11" i="12"/>
  <c r="D12" i="12"/>
  <c r="D13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11" i="11"/>
  <c r="D12" i="11"/>
  <c r="D13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11" i="10"/>
  <c r="D12" i="10"/>
  <c r="D13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11" i="9"/>
  <c r="D12" i="9"/>
  <c r="D13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11" i="8"/>
  <c r="D12" i="8"/>
  <c r="D13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11" i="7"/>
  <c r="D12" i="7"/>
  <c r="D13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11" i="6"/>
  <c r="D12" i="6"/>
  <c r="D13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11" i="5"/>
  <c r="D12" i="5"/>
  <c r="D13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11" i="3"/>
  <c r="D12" i="3"/>
  <c r="D1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0" i="18"/>
  <c r="D11" i="18"/>
  <c r="D12" i="18"/>
  <c r="D13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10" i="19"/>
  <c r="D11" i="19"/>
  <c r="D12" i="19"/>
  <c r="D13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7" i="18" l="1"/>
  <c r="D6" i="18" s="1"/>
  <c r="D7" i="17"/>
  <c r="D6" i="17" s="1"/>
  <c r="D7" i="16"/>
  <c r="D6" i="16" s="1"/>
  <c r="D7" i="15"/>
  <c r="D6" i="15" s="1"/>
  <c r="D7" i="14"/>
  <c r="D6" i="14" s="1"/>
  <c r="D7" i="13"/>
  <c r="D6" i="13" s="1"/>
  <c r="D7" i="12"/>
  <c r="D6" i="12" s="1"/>
  <c r="D7" i="11"/>
  <c r="D6" i="11" s="1"/>
  <c r="D7" i="10"/>
  <c r="D6" i="10" s="1"/>
  <c r="D7" i="9"/>
  <c r="D6" i="9" s="1"/>
  <c r="D7" i="8"/>
  <c r="D6" i="8" s="1"/>
  <c r="D7" i="7"/>
  <c r="D6" i="7" s="1"/>
  <c r="D7" i="6"/>
  <c r="D6" i="6" s="1"/>
  <c r="D7" i="5"/>
  <c r="D6" i="5" s="1"/>
  <c r="D7" i="3"/>
  <c r="D6" i="3" s="1"/>
  <c r="D7" i="19"/>
  <c r="D6" i="19" s="1"/>
  <c r="D23" i="23"/>
  <c r="D37" i="8" l="1"/>
  <c r="D37" i="13"/>
  <c r="D37" i="15"/>
  <c r="D37" i="18"/>
  <c r="D23" i="22"/>
  <c r="D23" i="20" l="1"/>
  <c r="D82" i="23"/>
  <c r="D22" i="23"/>
  <c r="D60" i="3"/>
  <c r="D57" i="3"/>
  <c r="D56" i="3"/>
  <c r="D52" i="3"/>
  <c r="D48" i="3"/>
  <c r="D44" i="3"/>
  <c r="D42" i="3"/>
  <c r="D37" i="3"/>
  <c r="D36" i="3"/>
  <c r="D66" i="5"/>
  <c r="D64" i="5"/>
  <c r="D63" i="5"/>
  <c r="D62" i="5"/>
  <c r="D58" i="5"/>
  <c r="D57" i="5"/>
  <c r="D55" i="5"/>
  <c r="D52" i="5"/>
  <c r="D50" i="5"/>
  <c r="D49" i="5"/>
  <c r="D48" i="5"/>
  <c r="D44" i="5"/>
  <c r="D37" i="5"/>
  <c r="D65" i="6"/>
  <c r="D60" i="6"/>
  <c r="D56" i="6"/>
  <c r="D52" i="6"/>
  <c r="D48" i="6"/>
  <c r="D47" i="6"/>
  <c r="D44" i="6"/>
  <c r="D42" i="6"/>
  <c r="D37" i="6"/>
  <c r="C39" i="6"/>
  <c r="D66" i="7"/>
  <c r="D63" i="7"/>
  <c r="D62" i="7"/>
  <c r="D59" i="7"/>
  <c r="D57" i="7"/>
  <c r="D55" i="7"/>
  <c r="D54" i="7"/>
  <c r="D52" i="7"/>
  <c r="D49" i="7"/>
  <c r="D48" i="7"/>
  <c r="D45" i="7"/>
  <c r="D44" i="7"/>
  <c r="D41" i="7"/>
  <c r="D37" i="7"/>
  <c r="D66" i="8"/>
  <c r="D65" i="8"/>
  <c r="D62" i="8"/>
  <c r="D60" i="8"/>
  <c r="D57" i="8"/>
  <c r="D52" i="8"/>
  <c r="D51" i="8"/>
  <c r="D48" i="8"/>
  <c r="D47" i="8"/>
  <c r="D44" i="8"/>
  <c r="D42" i="8"/>
  <c r="D36" i="8"/>
  <c r="D64" i="9"/>
  <c r="D63" i="9"/>
  <c r="D59" i="9"/>
  <c r="D55" i="9"/>
  <c r="D50" i="9"/>
  <c r="D49" i="9"/>
  <c r="D45" i="9"/>
  <c r="D41" i="9"/>
  <c r="D38" i="9"/>
  <c r="D66" i="10"/>
  <c r="D65" i="10"/>
  <c r="D63" i="10"/>
  <c r="D60" i="10"/>
  <c r="D58" i="10"/>
  <c r="D57" i="10"/>
  <c r="D56" i="10"/>
  <c r="D54" i="10"/>
  <c r="D51" i="10"/>
  <c r="D45" i="10"/>
  <c r="D44" i="10"/>
  <c r="D38" i="10"/>
  <c r="D36" i="10"/>
  <c r="D66" i="11"/>
  <c r="D64" i="11"/>
  <c r="D63" i="11"/>
  <c r="D62" i="11"/>
  <c r="D59" i="11"/>
  <c r="D58" i="11"/>
  <c r="D55" i="11"/>
  <c r="D54" i="11"/>
  <c r="D52" i="11"/>
  <c r="D50" i="11"/>
  <c r="D49" i="11"/>
  <c r="D48" i="11"/>
  <c r="D45" i="11"/>
  <c r="D44" i="11"/>
  <c r="D38" i="11"/>
  <c r="D66" i="12"/>
  <c r="D65" i="12"/>
  <c r="D62" i="12"/>
  <c r="D60" i="12"/>
  <c r="D57" i="12"/>
  <c r="D56" i="12"/>
  <c r="D52" i="12"/>
  <c r="D51" i="12"/>
  <c r="D48" i="12"/>
  <c r="D47" i="12"/>
  <c r="D44" i="12"/>
  <c r="D42" i="12"/>
  <c r="D37" i="12"/>
  <c r="D36" i="12"/>
  <c r="D66" i="13"/>
  <c r="D63" i="13"/>
  <c r="D58" i="13"/>
  <c r="D57" i="13"/>
  <c r="D55" i="13"/>
  <c r="D50" i="13"/>
  <c r="D49" i="13"/>
  <c r="D46" i="13"/>
  <c r="D45" i="13"/>
  <c r="D38" i="13"/>
  <c r="D66" i="14"/>
  <c r="D65" i="14"/>
  <c r="D60" i="14"/>
  <c r="D57" i="14"/>
  <c r="D56" i="14"/>
  <c r="D52" i="14"/>
  <c r="D51" i="14"/>
  <c r="D48" i="14"/>
  <c r="D47" i="14"/>
  <c r="D63" i="15"/>
  <c r="D62" i="15"/>
  <c r="D59" i="15"/>
  <c r="D58" i="15"/>
  <c r="D57" i="15"/>
  <c r="D54" i="15"/>
  <c r="D49" i="15"/>
  <c r="D45" i="15"/>
  <c r="D41" i="15"/>
  <c r="D38" i="15"/>
  <c r="D66" i="16"/>
  <c r="D65" i="16"/>
  <c r="D64" i="16"/>
  <c r="D62" i="16"/>
  <c r="D60" i="16"/>
  <c r="D59" i="16"/>
  <c r="D57" i="16"/>
  <c r="D56" i="16"/>
  <c r="D55" i="16"/>
  <c r="D42" i="16"/>
  <c r="D36" i="16"/>
  <c r="E36" i="16" s="1"/>
  <c r="D64" i="17"/>
  <c r="D63" i="17"/>
  <c r="D59" i="17"/>
  <c r="D58" i="17"/>
  <c r="D57" i="17"/>
  <c r="D55" i="17"/>
  <c r="D52" i="17"/>
  <c r="D50" i="17"/>
  <c r="D49" i="17"/>
  <c r="D48" i="17"/>
  <c r="D45" i="17"/>
  <c r="D44" i="17"/>
  <c r="D41" i="17"/>
  <c r="D38" i="17"/>
  <c r="D37" i="17"/>
  <c r="D36" i="17"/>
  <c r="E36" i="17" s="1"/>
  <c r="D65" i="18"/>
  <c r="D60" i="18"/>
  <c r="D59" i="18"/>
  <c r="D50" i="18"/>
  <c r="D48" i="18"/>
  <c r="D47" i="18"/>
  <c r="D46" i="18"/>
  <c r="D42" i="18"/>
  <c r="D41" i="18"/>
  <c r="C39" i="18"/>
  <c r="D64" i="22"/>
  <c r="D59" i="22"/>
  <c r="D55" i="22"/>
  <c r="D54" i="22"/>
  <c r="D41" i="22"/>
  <c r="D38" i="22"/>
  <c r="D34" i="22"/>
  <c r="D33" i="22"/>
  <c r="D30" i="22"/>
  <c r="D29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6" i="22"/>
  <c r="D65" i="22"/>
  <c r="D62" i="22"/>
  <c r="D60" i="22"/>
  <c r="D58" i="22"/>
  <c r="D57" i="22"/>
  <c r="D56" i="22"/>
  <c r="C53" i="22"/>
  <c r="D52" i="22"/>
  <c r="D51" i="22"/>
  <c r="D50" i="22"/>
  <c r="D49" i="22"/>
  <c r="D48" i="22"/>
  <c r="D47" i="22"/>
  <c r="D46" i="22"/>
  <c r="D45" i="22"/>
  <c r="D42" i="22"/>
  <c r="D37" i="22"/>
  <c r="D36" i="22"/>
  <c r="D32" i="22"/>
  <c r="D31" i="22"/>
  <c r="D28" i="22"/>
  <c r="D27" i="22"/>
  <c r="D18" i="22"/>
  <c r="D16" i="22"/>
  <c r="D8" i="22"/>
  <c r="D66" i="17"/>
  <c r="D65" i="17"/>
  <c r="D62" i="17"/>
  <c r="D60" i="17"/>
  <c r="D56" i="17"/>
  <c r="D54" i="17"/>
  <c r="D51" i="17"/>
  <c r="D47" i="17"/>
  <c r="D46" i="17"/>
  <c r="D42" i="17"/>
  <c r="D63" i="16"/>
  <c r="D58" i="16"/>
  <c r="D54" i="16"/>
  <c r="D52" i="16"/>
  <c r="D51" i="16"/>
  <c r="D50" i="16"/>
  <c r="D49" i="16"/>
  <c r="D48" i="16"/>
  <c r="D47" i="16"/>
  <c r="D46" i="16"/>
  <c r="D45" i="16"/>
  <c r="D38" i="16"/>
  <c r="D37" i="16"/>
  <c r="D66" i="15"/>
  <c r="D65" i="15"/>
  <c r="D60" i="15"/>
  <c r="D56" i="15"/>
  <c r="D55" i="15"/>
  <c r="D52" i="15"/>
  <c r="D51" i="15"/>
  <c r="D50" i="15"/>
  <c r="D48" i="15"/>
  <c r="D47" i="15"/>
  <c r="D46" i="15"/>
  <c r="D44" i="15"/>
  <c r="D42" i="15"/>
  <c r="D36" i="15"/>
  <c r="D64" i="14"/>
  <c r="D63" i="14"/>
  <c r="D59" i="14"/>
  <c r="D58" i="14"/>
  <c r="D55" i="14"/>
  <c r="D50" i="14"/>
  <c r="D49" i="14"/>
  <c r="D46" i="14"/>
  <c r="D45" i="14"/>
  <c r="D42" i="14"/>
  <c r="D41" i="14"/>
  <c r="D38" i="14"/>
  <c r="D37" i="14"/>
  <c r="D36" i="14"/>
  <c r="D65" i="13"/>
  <c r="D64" i="13"/>
  <c r="D60" i="13"/>
  <c r="D59" i="13"/>
  <c r="D56" i="13"/>
  <c r="D52" i="13"/>
  <c r="D51" i="13"/>
  <c r="D48" i="13"/>
  <c r="D47" i="13"/>
  <c r="D42" i="13"/>
  <c r="D41" i="13"/>
  <c r="D36" i="13"/>
  <c r="D64" i="12"/>
  <c r="D63" i="12"/>
  <c r="D59" i="12"/>
  <c r="D58" i="12"/>
  <c r="D55" i="12"/>
  <c r="D54" i="12"/>
  <c r="D50" i="12"/>
  <c r="D46" i="12"/>
  <c r="D45" i="12"/>
  <c r="D38" i="12"/>
  <c r="D65" i="11"/>
  <c r="C61" i="11"/>
  <c r="D60" i="11"/>
  <c r="D57" i="11"/>
  <c r="D56" i="11"/>
  <c r="C53" i="11"/>
  <c r="D51" i="11"/>
  <c r="D47" i="11"/>
  <c r="D46" i="11"/>
  <c r="D42" i="11"/>
  <c r="D37" i="11"/>
  <c r="D36" i="11"/>
  <c r="D64" i="10"/>
  <c r="D62" i="10"/>
  <c r="D59" i="10"/>
  <c r="D55" i="10"/>
  <c r="C53" i="10"/>
  <c r="D52" i="10"/>
  <c r="D50" i="10"/>
  <c r="D48" i="10"/>
  <c r="D47" i="10"/>
  <c r="D46" i="10"/>
  <c r="D41" i="10"/>
  <c r="D37" i="10"/>
  <c r="D66" i="9"/>
  <c r="D65" i="9"/>
  <c r="D60" i="9"/>
  <c r="D58" i="9"/>
  <c r="D57" i="9"/>
  <c r="D56" i="9"/>
  <c r="D52" i="9"/>
  <c r="D51" i="9"/>
  <c r="D48" i="9"/>
  <c r="D47" i="9"/>
  <c r="D46" i="9"/>
  <c r="D42" i="9"/>
  <c r="D37" i="9"/>
  <c r="D36" i="9"/>
  <c r="D64" i="8"/>
  <c r="D63" i="8"/>
  <c r="D59" i="8"/>
  <c r="D58" i="8"/>
  <c r="D55" i="8"/>
  <c r="D54" i="8"/>
  <c r="D50" i="8"/>
  <c r="D49" i="8"/>
  <c r="D46" i="8"/>
  <c r="D45" i="8"/>
  <c r="D41" i="8"/>
  <c r="D38" i="8"/>
  <c r="D65" i="7"/>
  <c r="D64" i="7"/>
  <c r="D60" i="7"/>
  <c r="D58" i="7"/>
  <c r="D56" i="7"/>
  <c r="D51" i="7"/>
  <c r="D50" i="7"/>
  <c r="D47" i="7"/>
  <c r="D46" i="7"/>
  <c r="D42" i="7"/>
  <c r="D38" i="7"/>
  <c r="D36" i="7"/>
  <c r="D66" i="6"/>
  <c r="D64" i="6"/>
  <c r="D63" i="6"/>
  <c r="C61" i="6"/>
  <c r="D59" i="6"/>
  <c r="D58" i="6"/>
  <c r="D57" i="6"/>
  <c r="D55" i="6"/>
  <c r="D51" i="6"/>
  <c r="D50" i="6"/>
  <c r="D49" i="6"/>
  <c r="D46" i="6"/>
  <c r="D45" i="6"/>
  <c r="D41" i="6"/>
  <c r="D38" i="6"/>
  <c r="D36" i="6"/>
  <c r="E36" i="6" s="1"/>
  <c r="D65" i="5"/>
  <c r="D60" i="5"/>
  <c r="D59" i="5"/>
  <c r="D56" i="5"/>
  <c r="D54" i="5"/>
  <c r="D51" i="5"/>
  <c r="D47" i="5"/>
  <c r="D46" i="5"/>
  <c r="D45" i="5"/>
  <c r="D42" i="5"/>
  <c r="D41" i="5"/>
  <c r="D38" i="5"/>
  <c r="D36" i="5"/>
  <c r="D66" i="3"/>
  <c r="D65" i="3"/>
  <c r="D64" i="3"/>
  <c r="D63" i="3"/>
  <c r="D59" i="3"/>
  <c r="D58" i="3"/>
  <c r="D55" i="3"/>
  <c r="C53" i="3"/>
  <c r="D51" i="3"/>
  <c r="D50" i="3"/>
  <c r="D49" i="3"/>
  <c r="D47" i="3"/>
  <c r="D46" i="3"/>
  <c r="D45" i="3"/>
  <c r="D41" i="3"/>
  <c r="D38" i="3"/>
  <c r="D66" i="18"/>
  <c r="D64" i="18"/>
  <c r="D63" i="18"/>
  <c r="D62" i="18"/>
  <c r="D58" i="18"/>
  <c r="D57" i="18"/>
  <c r="D56" i="18"/>
  <c r="D54" i="18"/>
  <c r="D52" i="18"/>
  <c r="D51" i="18"/>
  <c r="D49" i="18"/>
  <c r="D45" i="18"/>
  <c r="D44" i="18"/>
  <c r="D38" i="18"/>
  <c r="D36" i="18"/>
  <c r="E36" i="18" s="1"/>
  <c r="D38" i="19"/>
  <c r="C34" i="20"/>
  <c r="E36" i="12" l="1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3" i="22"/>
  <c r="D61" i="22" s="1"/>
  <c r="C61" i="22"/>
  <c r="C53" i="8"/>
  <c r="D56" i="8"/>
  <c r="D53" i="8" s="1"/>
  <c r="C61" i="10"/>
  <c r="C39" i="8"/>
  <c r="D43" i="8"/>
  <c r="D43" i="6"/>
  <c r="C43" i="22"/>
  <c r="C40" i="22" s="1"/>
  <c r="D39" i="13"/>
  <c r="C53" i="6"/>
  <c r="C39" i="3"/>
  <c r="C61" i="3"/>
  <c r="C53" i="18"/>
  <c r="C61" i="18"/>
  <c r="C39" i="17"/>
  <c r="C61" i="17"/>
  <c r="C43" i="5"/>
  <c r="C43" i="7"/>
  <c r="D39" i="7"/>
  <c r="C39" i="9"/>
  <c r="C53" i="15"/>
  <c r="D53" i="15"/>
  <c r="D53" i="16"/>
  <c r="C53" i="16"/>
  <c r="D61" i="16"/>
  <c r="D53" i="17"/>
  <c r="C43" i="18"/>
  <c r="D55" i="18"/>
  <c r="D53" i="18" s="1"/>
  <c r="D24" i="22"/>
  <c r="D39" i="22" s="1"/>
  <c r="D53" i="22"/>
  <c r="D7" i="22"/>
  <c r="C39" i="22"/>
  <c r="D44" i="22"/>
  <c r="D43" i="22" s="1"/>
  <c r="D43" i="18"/>
  <c r="D43" i="3"/>
  <c r="D61" i="18"/>
  <c r="C43" i="3"/>
  <c r="D43" i="7"/>
  <c r="C43" i="8"/>
  <c r="D54" i="3"/>
  <c r="D53" i="3" s="1"/>
  <c r="D62" i="3"/>
  <c r="D61" i="3" s="1"/>
  <c r="C61" i="5"/>
  <c r="C53" i="7"/>
  <c r="C61" i="7"/>
  <c r="C43" i="9"/>
  <c r="D49" i="10"/>
  <c r="D43" i="10" s="1"/>
  <c r="C43" i="10"/>
  <c r="C39" i="5"/>
  <c r="D43" i="5"/>
  <c r="C43" i="6"/>
  <c r="C39" i="7"/>
  <c r="C53" i="9"/>
  <c r="D54" i="9"/>
  <c r="D53" i="9" s="1"/>
  <c r="C53" i="5"/>
  <c r="D54" i="6"/>
  <c r="D53" i="6" s="1"/>
  <c r="D62" i="6"/>
  <c r="D61" i="6" s="1"/>
  <c r="C61" i="8"/>
  <c r="D44" i="9"/>
  <c r="D43" i="9" s="1"/>
  <c r="C61" i="9"/>
  <c r="D62" i="9"/>
  <c r="D61" i="9" s="1"/>
  <c r="D41" i="11"/>
  <c r="D49" i="12"/>
  <c r="D43" i="12" s="1"/>
  <c r="C43" i="12"/>
  <c r="C43" i="14"/>
  <c r="D44" i="14"/>
  <c r="D43" i="14" s="1"/>
  <c r="C39" i="15"/>
  <c r="D53" i="5"/>
  <c r="D61" i="5"/>
  <c r="D53" i="7"/>
  <c r="D61" i="7"/>
  <c r="D61" i="8"/>
  <c r="C39" i="10"/>
  <c r="D42" i="10"/>
  <c r="D39" i="11"/>
  <c r="D43" i="11"/>
  <c r="D41" i="12"/>
  <c r="D53" i="10"/>
  <c r="D61" i="10"/>
  <c r="D53" i="11"/>
  <c r="D61" i="11"/>
  <c r="D53" i="12"/>
  <c r="D61" i="12"/>
  <c r="C61" i="13"/>
  <c r="D62" i="13"/>
  <c r="D61" i="13" s="1"/>
  <c r="C39" i="11"/>
  <c r="C43" i="11"/>
  <c r="C39" i="12"/>
  <c r="C53" i="12"/>
  <c r="C61" i="12"/>
  <c r="D64" i="15"/>
  <c r="D61" i="15" s="1"/>
  <c r="C61" i="15"/>
  <c r="C43" i="13"/>
  <c r="D44" i="13"/>
  <c r="D43" i="13" s="1"/>
  <c r="C61" i="14"/>
  <c r="D62" i="14"/>
  <c r="D61" i="14" s="1"/>
  <c r="D41" i="16"/>
  <c r="C53" i="17"/>
  <c r="C53" i="13"/>
  <c r="D54" i="13"/>
  <c r="D53" i="13" s="1"/>
  <c r="C53" i="14"/>
  <c r="D54" i="14"/>
  <c r="D53" i="14" s="1"/>
  <c r="C39" i="16"/>
  <c r="C43" i="16"/>
  <c r="D44" i="16"/>
  <c r="D43" i="16" s="1"/>
  <c r="C61" i="16"/>
  <c r="D61" i="17"/>
  <c r="C39" i="13"/>
  <c r="C39" i="14"/>
  <c r="C43" i="15"/>
  <c r="C43" i="17"/>
  <c r="D43" i="15"/>
  <c r="D43" i="17"/>
  <c r="D40" i="22" l="1"/>
  <c r="D6" i="22"/>
  <c r="C40" i="11"/>
  <c r="C40" i="10"/>
  <c r="C40" i="3"/>
  <c r="C40" i="13"/>
  <c r="D40" i="17"/>
  <c r="D39" i="5"/>
  <c r="C40" i="17"/>
  <c r="D39" i="12"/>
  <c r="D40" i="6"/>
  <c r="C40" i="6"/>
  <c r="D39" i="9"/>
  <c r="D39" i="15"/>
  <c r="D40" i="14"/>
  <c r="D40" i="8"/>
  <c r="D40" i="15"/>
  <c r="D39" i="16"/>
  <c r="D40" i="7"/>
  <c r="D39" i="14"/>
  <c r="D40" i="13"/>
  <c r="C40" i="16"/>
  <c r="C40" i="12"/>
  <c r="C40" i="8"/>
  <c r="C40" i="18"/>
  <c r="C40" i="7"/>
  <c r="D39" i="17"/>
  <c r="D40" i="9"/>
  <c r="D39" i="6"/>
  <c r="C40" i="5"/>
  <c r="D39" i="3"/>
  <c r="D40" i="5"/>
  <c r="C40" i="9"/>
  <c r="D39" i="10"/>
  <c r="D40" i="10"/>
  <c r="C40" i="15"/>
  <c r="D39" i="18"/>
  <c r="D40" i="18"/>
  <c r="D40" i="11"/>
  <c r="D40" i="3"/>
  <c r="D40" i="16"/>
  <c r="D40" i="12"/>
  <c r="C40" i="14"/>
  <c r="D39" i="8"/>
  <c r="C38" i="20" l="1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D58" i="23" s="1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E58" i="23" l="1"/>
  <c r="F58" i="23"/>
  <c r="F38" i="20"/>
  <c r="E38" i="20"/>
  <c r="D34" i="20"/>
  <c r="F25" i="13"/>
  <c r="F14" i="12"/>
  <c r="E10" i="17"/>
  <c r="E10" i="13"/>
  <c r="E14" i="9"/>
  <c r="E12" i="19"/>
  <c r="E59" i="8"/>
  <c r="F23" i="23"/>
  <c r="F37" i="10"/>
  <c r="F82" i="23"/>
  <c r="E54" i="22"/>
  <c r="E42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7" i="19"/>
  <c r="E37" i="19" s="1"/>
  <c r="E59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3" i="19"/>
  <c r="C43" i="19"/>
  <c r="F42" i="18"/>
  <c r="E45" i="18"/>
  <c r="F50" i="18"/>
  <c r="E52" i="18"/>
  <c r="F55" i="18"/>
  <c r="E60" i="18"/>
  <c r="F42" i="17"/>
  <c r="E44" i="17"/>
  <c r="E45" i="17"/>
  <c r="E49" i="17"/>
  <c r="F54" i="17"/>
  <c r="E58" i="17"/>
  <c r="F59" i="17"/>
  <c r="F60" i="17"/>
  <c r="E42" i="16"/>
  <c r="E45" i="16"/>
  <c r="E47" i="16"/>
  <c r="E50" i="16"/>
  <c r="F52" i="16"/>
  <c r="E54" i="16"/>
  <c r="E57" i="16"/>
  <c r="F42" i="15"/>
  <c r="E46" i="15"/>
  <c r="E48" i="15"/>
  <c r="F50" i="15"/>
  <c r="E52" i="15"/>
  <c r="E54" i="15"/>
  <c r="F55" i="15"/>
  <c r="E58" i="15"/>
  <c r="E60" i="15"/>
  <c r="F44" i="14"/>
  <c r="E47" i="14"/>
  <c r="E51" i="14"/>
  <c r="E54" i="14"/>
  <c r="E55" i="14"/>
  <c r="E58" i="14"/>
  <c r="E59" i="14"/>
  <c r="E44" i="13"/>
  <c r="F45" i="13"/>
  <c r="F49" i="13"/>
  <c r="F50" i="13"/>
  <c r="E51" i="13"/>
  <c r="E52" i="13"/>
  <c r="E54" i="13"/>
  <c r="F55" i="13"/>
  <c r="E57" i="13"/>
  <c r="F60" i="13"/>
  <c r="E44" i="12"/>
  <c r="F45" i="12"/>
  <c r="E46" i="12"/>
  <c r="E47" i="12"/>
  <c r="F49" i="12"/>
  <c r="F54" i="12"/>
  <c r="F57" i="12"/>
  <c r="E58" i="12"/>
  <c r="E59" i="12"/>
  <c r="F44" i="11"/>
  <c r="E46" i="11"/>
  <c r="E48" i="11"/>
  <c r="F49" i="11"/>
  <c r="E52" i="11"/>
  <c r="E54" i="11"/>
  <c r="E56" i="11"/>
  <c r="F59" i="11"/>
  <c r="F42" i="10"/>
  <c r="F45" i="10"/>
  <c r="F46" i="10"/>
  <c r="F47" i="10"/>
  <c r="E49" i="10"/>
  <c r="E52" i="10"/>
  <c r="E54" i="10"/>
  <c r="F55" i="10"/>
  <c r="F57" i="10"/>
  <c r="E60" i="10"/>
  <c r="E42" i="9"/>
  <c r="E44" i="9"/>
  <c r="E48" i="9"/>
  <c r="F49" i="9"/>
  <c r="E55" i="9"/>
  <c r="E56" i="9"/>
  <c r="F57" i="9"/>
  <c r="E59" i="9"/>
  <c r="F44" i="8"/>
  <c r="E45" i="8"/>
  <c r="E47" i="8"/>
  <c r="E49" i="8"/>
  <c r="F50" i="8"/>
  <c r="E51" i="8"/>
  <c r="F52" i="8"/>
  <c r="E54" i="8"/>
  <c r="E55" i="8"/>
  <c r="E60" i="8"/>
  <c r="F42" i="7"/>
  <c r="E46" i="7"/>
  <c r="F49" i="7"/>
  <c r="E54" i="7"/>
  <c r="E55" i="7"/>
  <c r="E57" i="7"/>
  <c r="F59" i="7"/>
  <c r="F60" i="7"/>
  <c r="F42" i="6"/>
  <c r="E44" i="6"/>
  <c r="F45" i="6"/>
  <c r="F46" i="6"/>
  <c r="F51" i="6"/>
  <c r="E55" i="6"/>
  <c r="E57" i="6"/>
  <c r="F59" i="6"/>
  <c r="E42" i="5"/>
  <c r="E44" i="5"/>
  <c r="E45" i="5"/>
  <c r="F46" i="5"/>
  <c r="F49" i="5"/>
  <c r="E50" i="5"/>
  <c r="E52" i="5"/>
  <c r="E56" i="5"/>
  <c r="F57" i="5"/>
  <c r="F59" i="5"/>
  <c r="F60" i="5"/>
  <c r="E42" i="3"/>
  <c r="E45" i="3"/>
  <c r="E47" i="3"/>
  <c r="F49" i="3"/>
  <c r="E50" i="3"/>
  <c r="E56" i="3"/>
  <c r="E58" i="3"/>
  <c r="D42" i="19"/>
  <c r="D44" i="19"/>
  <c r="D45" i="19"/>
  <c r="F45" i="19" s="1"/>
  <c r="D46" i="19"/>
  <c r="E46" i="19" s="1"/>
  <c r="D47" i="19"/>
  <c r="D48" i="19"/>
  <c r="D49" i="19"/>
  <c r="F49" i="19" s="1"/>
  <c r="D50" i="19"/>
  <c r="D51" i="19"/>
  <c r="D52" i="19"/>
  <c r="D54" i="19"/>
  <c r="D55" i="19"/>
  <c r="D56" i="19"/>
  <c r="D57" i="19"/>
  <c r="F57" i="19" s="1"/>
  <c r="D58" i="19"/>
  <c r="E58" i="19" s="1"/>
  <c r="D59" i="19"/>
  <c r="D60" i="19"/>
  <c r="E60" i="19" s="1"/>
  <c r="F41" i="17"/>
  <c r="E41" i="16"/>
  <c r="E41" i="15"/>
  <c r="F41" i="13"/>
  <c r="E41" i="12"/>
  <c r="E41" i="9"/>
  <c r="E41" i="8"/>
  <c r="E41" i="7"/>
  <c r="F41" i="3"/>
  <c r="D41" i="19"/>
  <c r="E41" i="19" s="1"/>
  <c r="F42" i="22"/>
  <c r="E32" i="19"/>
  <c r="D36" i="19"/>
  <c r="F36" i="19" s="1"/>
  <c r="D62" i="19"/>
  <c r="E62" i="19" s="1"/>
  <c r="D63" i="19"/>
  <c r="F63" i="19" s="1"/>
  <c r="D64" i="19"/>
  <c r="E64" i="19" s="1"/>
  <c r="D65" i="19"/>
  <c r="F65" i="19" s="1"/>
  <c r="D66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9" i="22"/>
  <c r="F48" i="9"/>
  <c r="F18" i="3"/>
  <c r="F28" i="3"/>
  <c r="F31" i="3"/>
  <c r="F33" i="3"/>
  <c r="F47" i="3"/>
  <c r="F48" i="3"/>
  <c r="F56" i="3"/>
  <c r="F58" i="3"/>
  <c r="E62" i="3"/>
  <c r="F62" i="3"/>
  <c r="F64" i="3"/>
  <c r="F65" i="3"/>
  <c r="F28" i="5"/>
  <c r="F33" i="5"/>
  <c r="F47" i="5"/>
  <c r="F48" i="5"/>
  <c r="F51" i="5"/>
  <c r="F56" i="5"/>
  <c r="F58" i="5"/>
  <c r="F63" i="5"/>
  <c r="E64" i="5"/>
  <c r="F64" i="5"/>
  <c r="F66" i="5"/>
  <c r="F28" i="6"/>
  <c r="F33" i="6"/>
  <c r="F47" i="6"/>
  <c r="F48" i="6"/>
  <c r="F56" i="6"/>
  <c r="F58" i="6"/>
  <c r="F62" i="6"/>
  <c r="F64" i="6"/>
  <c r="F28" i="7"/>
  <c r="F31" i="7"/>
  <c r="F33" i="7"/>
  <c r="F47" i="7"/>
  <c r="F48" i="7"/>
  <c r="F56" i="7"/>
  <c r="F58" i="7"/>
  <c r="F62" i="7"/>
  <c r="F64" i="7"/>
  <c r="F28" i="8"/>
  <c r="F33" i="8"/>
  <c r="F45" i="8"/>
  <c r="F48" i="8"/>
  <c r="F56" i="8"/>
  <c r="F58" i="8"/>
  <c r="F63" i="8"/>
  <c r="F64" i="8"/>
  <c r="E66" i="8"/>
  <c r="F28" i="9"/>
  <c r="F33" i="9"/>
  <c r="F56" i="9"/>
  <c r="F58" i="9"/>
  <c r="E64" i="9"/>
  <c r="F64" i="9"/>
  <c r="F28" i="10"/>
  <c r="F30" i="10"/>
  <c r="F33" i="10"/>
  <c r="F48" i="10"/>
  <c r="F52" i="10"/>
  <c r="F56" i="10"/>
  <c r="F58" i="10"/>
  <c r="F62" i="10"/>
  <c r="E63" i="10"/>
  <c r="F64" i="10"/>
  <c r="F28" i="11"/>
  <c r="F33" i="11"/>
  <c r="F47" i="11"/>
  <c r="F48" i="11"/>
  <c r="F56" i="11"/>
  <c r="F58" i="11"/>
  <c r="F62" i="11"/>
  <c r="F64" i="11"/>
  <c r="F66" i="11"/>
  <c r="F28" i="12"/>
  <c r="F33" i="12"/>
  <c r="F44" i="12"/>
  <c r="F47" i="12"/>
  <c r="F48" i="12"/>
  <c r="F56" i="12"/>
  <c r="F58" i="12"/>
  <c r="E60" i="12"/>
  <c r="F62" i="12"/>
  <c r="F63" i="12"/>
  <c r="F64" i="12"/>
  <c r="E16" i="13"/>
  <c r="F16" i="13"/>
  <c r="F28" i="13"/>
  <c r="F30" i="13"/>
  <c r="F33" i="13"/>
  <c r="F48" i="13"/>
  <c r="F56" i="13"/>
  <c r="F58" i="13"/>
  <c r="F62" i="13"/>
  <c r="E63" i="13"/>
  <c r="F64" i="13"/>
  <c r="F28" i="14"/>
  <c r="F33" i="14"/>
  <c r="F47" i="14"/>
  <c r="F48" i="14"/>
  <c r="E50" i="14"/>
  <c r="F56" i="14"/>
  <c r="F58" i="14"/>
  <c r="F62" i="14"/>
  <c r="E63" i="14"/>
  <c r="F64" i="14"/>
  <c r="F28" i="15"/>
  <c r="F30" i="15"/>
  <c r="F31" i="15"/>
  <c r="F33" i="15"/>
  <c r="F47" i="15"/>
  <c r="F48" i="15"/>
  <c r="F56" i="15"/>
  <c r="F58" i="15"/>
  <c r="F62" i="15"/>
  <c r="F64" i="15"/>
  <c r="F65" i="15"/>
  <c r="F28" i="16"/>
  <c r="F33" i="16"/>
  <c r="F46" i="16"/>
  <c r="F48" i="16"/>
  <c r="F56" i="16"/>
  <c r="F58" i="16"/>
  <c r="F62" i="16"/>
  <c r="F64" i="16"/>
  <c r="F28" i="17"/>
  <c r="F33" i="17"/>
  <c r="F47" i="17"/>
  <c r="F48" i="17"/>
  <c r="F56" i="17"/>
  <c r="F58" i="17"/>
  <c r="F62" i="17"/>
  <c r="E63" i="17"/>
  <c r="E64" i="17"/>
  <c r="F64" i="17"/>
  <c r="F28" i="18"/>
  <c r="E32" i="18"/>
  <c r="F33" i="18"/>
  <c r="F48" i="18"/>
  <c r="F52" i="18"/>
  <c r="F56" i="18"/>
  <c r="F58" i="18"/>
  <c r="F62" i="18"/>
  <c r="F64" i="18"/>
  <c r="F65" i="18"/>
  <c r="F28" i="19"/>
  <c r="F31" i="19"/>
  <c r="F33" i="19"/>
  <c r="F48" i="19"/>
  <c r="F56" i="19"/>
  <c r="F58" i="19"/>
  <c r="C61" i="19"/>
  <c r="F62" i="19"/>
  <c r="F64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1" i="20"/>
  <c r="C42" i="20"/>
  <c r="C44" i="20"/>
  <c r="C45" i="20"/>
  <c r="C46" i="20"/>
  <c r="C47" i="20"/>
  <c r="C48" i="20"/>
  <c r="C49" i="20"/>
  <c r="C50" i="20"/>
  <c r="C51" i="20"/>
  <c r="C52" i="20"/>
  <c r="C54" i="20"/>
  <c r="C55" i="20"/>
  <c r="C56" i="20"/>
  <c r="C57" i="20"/>
  <c r="C58" i="20"/>
  <c r="C59" i="20"/>
  <c r="C60" i="20"/>
  <c r="C62" i="20"/>
  <c r="C63" i="20"/>
  <c r="C64" i="20"/>
  <c r="C65" i="20"/>
  <c r="C66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6" i="22"/>
  <c r="F46" i="22"/>
  <c r="F48" i="22"/>
  <c r="E49" i="22"/>
  <c r="E56" i="22"/>
  <c r="F56" i="22"/>
  <c r="F58" i="22"/>
  <c r="E60" i="22"/>
  <c r="F62" i="22"/>
  <c r="E63" i="22"/>
  <c r="F64" i="22"/>
  <c r="F65" i="22"/>
  <c r="E66" i="22"/>
  <c r="F66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C88" i="23"/>
  <c r="D89" i="23"/>
  <c r="E89" i="23" s="1"/>
  <c r="D90" i="23"/>
  <c r="E90" i="23" s="1"/>
  <c r="C25" i="20"/>
  <c r="F50" i="9"/>
  <c r="F47" i="9"/>
  <c r="F16" i="15"/>
  <c r="F18" i="12"/>
  <c r="F54" i="22"/>
  <c r="F12" i="18"/>
  <c r="E26" i="9"/>
  <c r="F14" i="15"/>
  <c r="E14" i="15"/>
  <c r="F15" i="15"/>
  <c r="E18" i="15"/>
  <c r="F63" i="22"/>
  <c r="F41" i="22"/>
  <c r="F47" i="22"/>
  <c r="E41" i="22"/>
  <c r="E64" i="22"/>
  <c r="E62" i="22"/>
  <c r="E50" i="22"/>
  <c r="E45" i="22"/>
  <c r="E31" i="22"/>
  <c r="E30" i="22"/>
  <c r="E29" i="22"/>
  <c r="E48" i="12"/>
  <c r="E47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9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5" i="22"/>
  <c r="F49" i="22"/>
  <c r="E58" i="22"/>
  <c r="F50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5" i="10"/>
  <c r="F59" i="14"/>
  <c r="F44" i="16"/>
  <c r="F42" i="11"/>
  <c r="E50" i="10"/>
  <c r="F50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2" i="22"/>
  <c r="F12" i="19"/>
  <c r="F21" i="23" l="1"/>
  <c r="E36" i="19"/>
  <c r="C91" i="23"/>
  <c r="C84" i="23"/>
  <c r="C78" i="23"/>
  <c r="C73" i="23"/>
  <c r="C65" i="23"/>
  <c r="C50" i="23"/>
  <c r="C46" i="23"/>
  <c r="C39" i="23"/>
  <c r="C45" i="23"/>
  <c r="C87" i="23"/>
  <c r="C81" i="23"/>
  <c r="C77" i="23"/>
  <c r="C72" i="23"/>
  <c r="C68" i="23"/>
  <c r="C63" i="23"/>
  <c r="C49" i="23"/>
  <c r="C43" i="23"/>
  <c r="C38" i="23"/>
  <c r="C86" i="23"/>
  <c r="C80" i="23"/>
  <c r="C76" i="23"/>
  <c r="C71" i="23"/>
  <c r="C67" i="23"/>
  <c r="C62" i="23"/>
  <c r="C52" i="23"/>
  <c r="C41" i="23"/>
  <c r="C37" i="23"/>
  <c r="C42" i="23"/>
  <c r="C85" i="23"/>
  <c r="C79" i="23"/>
  <c r="C66" i="23"/>
  <c r="C57" i="23"/>
  <c r="C51" i="23"/>
  <c r="C47" i="23"/>
  <c r="C40" i="23"/>
  <c r="D54" i="23"/>
  <c r="F34" i="20"/>
  <c r="F25" i="19"/>
  <c r="E24" i="19"/>
  <c r="F60" i="10"/>
  <c r="E46" i="3"/>
  <c r="E58" i="8"/>
  <c r="E19" i="14"/>
  <c r="F12" i="8"/>
  <c r="E50" i="18"/>
  <c r="F9" i="23"/>
  <c r="E7" i="14"/>
  <c r="F27" i="7"/>
  <c r="E7" i="17"/>
  <c r="E44" i="7"/>
  <c r="E7" i="15"/>
  <c r="E7" i="10"/>
  <c r="E7" i="16"/>
  <c r="E7" i="6"/>
  <c r="E7" i="19"/>
  <c r="F59" i="18"/>
  <c r="F50" i="19"/>
  <c r="F25" i="8"/>
  <c r="F29" i="18"/>
  <c r="E26" i="18"/>
  <c r="E54" i="17"/>
  <c r="C40" i="19"/>
  <c r="E34" i="20"/>
  <c r="E11" i="11"/>
  <c r="E57" i="12"/>
  <c r="F41" i="8"/>
  <c r="E55" i="18"/>
  <c r="E42" i="15"/>
  <c r="F44" i="6"/>
  <c r="F8" i="14"/>
  <c r="E8" i="14"/>
  <c r="E15" i="17"/>
  <c r="E21" i="16"/>
  <c r="E48" i="8"/>
  <c r="E48" i="16"/>
  <c r="F13" i="8"/>
  <c r="F90" i="23"/>
  <c r="F37" i="15"/>
  <c r="F29" i="11"/>
  <c r="F17" i="16"/>
  <c r="F29" i="7"/>
  <c r="F25" i="11"/>
  <c r="F26" i="14"/>
  <c r="E66" i="11"/>
  <c r="E29" i="14"/>
  <c r="F55" i="7"/>
  <c r="F59" i="8"/>
  <c r="F11" i="8"/>
  <c r="E59" i="16"/>
  <c r="D6" i="23"/>
  <c r="E6" i="23" s="1"/>
  <c r="E19" i="11"/>
  <c r="F29" i="14"/>
  <c r="E11" i="12"/>
  <c r="F13" i="16"/>
  <c r="E49" i="11"/>
  <c r="E14" i="14"/>
  <c r="E37" i="11"/>
  <c r="F7" i="15"/>
  <c r="E58" i="9"/>
  <c r="E45" i="9"/>
  <c r="F59" i="12"/>
  <c r="F55" i="11"/>
  <c r="E33" i="5"/>
  <c r="E8" i="11"/>
  <c r="F27" i="13"/>
  <c r="E33" i="9"/>
  <c r="E42" i="17"/>
  <c r="F37" i="6"/>
  <c r="F65" i="10"/>
  <c r="F57" i="18"/>
  <c r="F22" i="3"/>
  <c r="F42" i="12"/>
  <c r="F54" i="9"/>
  <c r="F22" i="10"/>
  <c r="E62" i="17"/>
  <c r="E37" i="6"/>
  <c r="E49" i="3"/>
  <c r="F66" i="10"/>
  <c r="F25" i="23"/>
  <c r="F20" i="23"/>
  <c r="E54" i="9"/>
  <c r="E42" i="6"/>
  <c r="F44" i="7"/>
  <c r="F57" i="8"/>
  <c r="F57" i="7"/>
  <c r="E46" i="5"/>
  <c r="E23" i="6"/>
  <c r="F45" i="9"/>
  <c r="E51" i="12"/>
  <c r="E45" i="10"/>
  <c r="E55" i="11"/>
  <c r="E45" i="19"/>
  <c r="F25" i="14"/>
  <c r="E27" i="13"/>
  <c r="E15" i="11"/>
  <c r="F7" i="6"/>
  <c r="E25" i="11"/>
  <c r="E52" i="7"/>
  <c r="E52" i="8"/>
  <c r="F52" i="7"/>
  <c r="F12" i="11"/>
  <c r="F19" i="14"/>
  <c r="E44" i="8"/>
  <c r="E41" i="3"/>
  <c r="E56" i="6"/>
  <c r="E21" i="14"/>
  <c r="E29" i="16"/>
  <c r="F9" i="14"/>
  <c r="E41" i="13"/>
  <c r="E55" i="16"/>
  <c r="E51" i="16"/>
  <c r="E49" i="9"/>
  <c r="E54" i="3"/>
  <c r="F26" i="5"/>
  <c r="F29" i="16"/>
  <c r="F23" i="17"/>
  <c r="E33" i="8"/>
  <c r="E57" i="8"/>
  <c r="F51" i="13"/>
  <c r="E56" i="12"/>
  <c r="F11" i="10"/>
  <c r="E48" i="5"/>
  <c r="F65" i="8"/>
  <c r="E9" i="10"/>
  <c r="E46" i="10"/>
  <c r="E52" i="6"/>
  <c r="F41" i="7"/>
  <c r="F51" i="3"/>
  <c r="F49" i="17"/>
  <c r="E59" i="18"/>
  <c r="E49" i="13"/>
  <c r="E47" i="15"/>
  <c r="E33" i="14"/>
  <c r="E13" i="5"/>
  <c r="F20" i="8"/>
  <c r="E31" i="15"/>
  <c r="E58" i="7"/>
  <c r="F19" i="15"/>
  <c r="F50" i="14"/>
  <c r="E65" i="8"/>
  <c r="E53" i="22"/>
  <c r="E11" i="10"/>
  <c r="E44" i="15"/>
  <c r="E12" i="10"/>
  <c r="E25" i="16"/>
  <c r="E55" i="13"/>
  <c r="E66" i="5"/>
  <c r="F9" i="10"/>
  <c r="E30" i="15"/>
  <c r="E32" i="5"/>
  <c r="E42" i="11"/>
  <c r="F54" i="13"/>
  <c r="E44" i="11"/>
  <c r="E45" i="12"/>
  <c r="F60" i="9"/>
  <c r="F15" i="14"/>
  <c r="E17" i="18"/>
  <c r="E31" i="8"/>
  <c r="E56" i="15"/>
  <c r="E65" i="18"/>
  <c r="E66" i="10"/>
  <c r="F37" i="17"/>
  <c r="E64" i="7"/>
  <c r="E51" i="5"/>
  <c r="F9" i="11"/>
  <c r="F55" i="6"/>
  <c r="F7" i="13"/>
  <c r="E23" i="7"/>
  <c r="F26" i="16"/>
  <c r="E47" i="17"/>
  <c r="E13" i="3"/>
  <c r="E32" i="3"/>
  <c r="E37" i="16"/>
  <c r="E22" i="6"/>
  <c r="F30" i="14"/>
  <c r="E10" i="5"/>
  <c r="E32" i="12"/>
  <c r="F59" i="13"/>
  <c r="F52" i="14"/>
  <c r="E44" i="3"/>
  <c r="F46" i="13"/>
  <c r="F42" i="3"/>
  <c r="F44" i="5"/>
  <c r="F46" i="12"/>
  <c r="F51" i="7"/>
  <c r="E14" i="5"/>
  <c r="E27" i="5"/>
  <c r="E29" i="11"/>
  <c r="F8" i="7"/>
  <c r="F23" i="7"/>
  <c r="F12" i="10"/>
  <c r="F18" i="5"/>
  <c r="E15" i="14"/>
  <c r="F17" i="7"/>
  <c r="E18" i="7"/>
  <c r="E26" i="6"/>
  <c r="F19" i="16"/>
  <c r="E46" i="13"/>
  <c r="E56" i="19"/>
  <c r="E21" i="8"/>
  <c r="F17" i="3"/>
  <c r="F41" i="11"/>
  <c r="F49" i="15"/>
  <c r="E8" i="7"/>
  <c r="F52" i="15"/>
  <c r="E37" i="10"/>
  <c r="E48" i="14"/>
  <c r="F8" i="18"/>
  <c r="E18" i="8"/>
  <c r="E30" i="19"/>
  <c r="F10" i="14"/>
  <c r="F52" i="3"/>
  <c r="F46" i="7"/>
  <c r="E48" i="18"/>
  <c r="E54" i="12"/>
  <c r="E17" i="5"/>
  <c r="E8" i="5"/>
  <c r="F21" i="5"/>
  <c r="F17" i="11"/>
  <c r="F8" i="5"/>
  <c r="F13" i="19"/>
  <c r="E17" i="8"/>
  <c r="F23" i="18"/>
  <c r="F26" i="12"/>
  <c r="E19" i="10"/>
  <c r="E50" i="13"/>
  <c r="E62" i="10"/>
  <c r="F22" i="6"/>
  <c r="F20" i="10"/>
  <c r="F21" i="11"/>
  <c r="E41" i="11"/>
  <c r="E65" i="3"/>
  <c r="E26" i="16"/>
  <c r="E24" i="13"/>
  <c r="F32" i="12"/>
  <c r="E63" i="18"/>
  <c r="F66" i="14"/>
  <c r="E37" i="3"/>
  <c r="F37" i="9"/>
  <c r="E37" i="9"/>
  <c r="E45" i="14"/>
  <c r="E56" i="16"/>
  <c r="F42" i="16"/>
  <c r="E54" i="18"/>
  <c r="F54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6" i="15"/>
  <c r="F44" i="17"/>
  <c r="F45" i="18"/>
  <c r="E63" i="19"/>
  <c r="E15" i="8"/>
  <c r="F20" i="16"/>
  <c r="E26" i="19"/>
  <c r="F26" i="19"/>
  <c r="F21" i="7"/>
  <c r="F16" i="7"/>
  <c r="E16" i="7"/>
  <c r="E60" i="13"/>
  <c r="F47" i="13"/>
  <c r="E47" i="13"/>
  <c r="E42" i="13"/>
  <c r="F42" i="13"/>
  <c r="F54" i="15"/>
  <c r="F45" i="15"/>
  <c r="E51" i="17"/>
  <c r="E7" i="18"/>
  <c r="F7" i="18"/>
  <c r="E28" i="18"/>
  <c r="F27" i="8"/>
  <c r="E27" i="8"/>
  <c r="E14" i="8"/>
  <c r="E52" i="3"/>
  <c r="E54" i="5"/>
  <c r="F51" i="8"/>
  <c r="F51" i="16"/>
  <c r="F50" i="12"/>
  <c r="E55" i="15"/>
  <c r="E44" i="18"/>
  <c r="E32" i="17"/>
  <c r="F16" i="18"/>
  <c r="F27" i="6"/>
  <c r="F32" i="15"/>
  <c r="E28" i="6"/>
  <c r="E49" i="5"/>
  <c r="E52" i="14"/>
  <c r="E58" i="5"/>
  <c r="E50" i="12"/>
  <c r="E60" i="17"/>
  <c r="F44" i="18"/>
  <c r="F59" i="15"/>
  <c r="E57" i="9"/>
  <c r="E14" i="10"/>
  <c r="F20" i="19"/>
  <c r="F32" i="7"/>
  <c r="F21" i="17"/>
  <c r="E31" i="7"/>
  <c r="E19" i="16"/>
  <c r="E56" i="17"/>
  <c r="E50" i="15"/>
  <c r="E57" i="18"/>
  <c r="E62" i="12"/>
  <c r="F27" i="3"/>
  <c r="F49" i="18"/>
  <c r="F65" i="12"/>
  <c r="F62" i="9"/>
  <c r="E62" i="9"/>
  <c r="E33" i="19"/>
  <c r="F22" i="12"/>
  <c r="E22" i="16"/>
  <c r="F22" i="16"/>
  <c r="E10" i="8"/>
  <c r="E30" i="17"/>
  <c r="F30" i="17"/>
  <c r="E30" i="8"/>
  <c r="E29" i="5"/>
  <c r="E29" i="15"/>
  <c r="F52" i="13"/>
  <c r="E48" i="13"/>
  <c r="E60" i="16"/>
  <c r="E58" i="18"/>
  <c r="F27" i="15"/>
  <c r="E8" i="15"/>
  <c r="F8" i="15"/>
  <c r="F27" i="16"/>
  <c r="E27" i="16"/>
  <c r="F57" i="13"/>
  <c r="E19" i="5"/>
  <c r="E31" i="5"/>
  <c r="F32" i="13"/>
  <c r="E23" i="8"/>
  <c r="F45" i="14"/>
  <c r="E28" i="5"/>
  <c r="F41" i="5"/>
  <c r="E41" i="5"/>
  <c r="E48" i="19"/>
  <c r="F45" i="11"/>
  <c r="E45" i="11"/>
  <c r="F55" i="12"/>
  <c r="E55" i="12"/>
  <c r="F57" i="14"/>
  <c r="E57" i="14"/>
  <c r="E19" i="18"/>
  <c r="F22" i="8"/>
  <c r="F26" i="15"/>
  <c r="E26" i="15"/>
  <c r="E32" i="16"/>
  <c r="F32" i="16"/>
  <c r="F44" i="10"/>
  <c r="F22" i="11"/>
  <c r="F16" i="19"/>
  <c r="F18" i="8"/>
  <c r="E41" i="18"/>
  <c r="F51" i="17"/>
  <c r="E20" i="16"/>
  <c r="F66" i="17"/>
  <c r="E66" i="17"/>
  <c r="F60" i="16"/>
  <c r="F63" i="3"/>
  <c r="E63" i="3"/>
  <c r="E19" i="7"/>
  <c r="F19" i="7"/>
  <c r="E13" i="10"/>
  <c r="E25" i="17"/>
  <c r="F20" i="17"/>
  <c r="C39" i="19"/>
  <c r="E32" i="11"/>
  <c r="E27" i="14"/>
  <c r="E59" i="7"/>
  <c r="F57" i="11"/>
  <c r="E57" i="11"/>
  <c r="F52" i="11"/>
  <c r="E33" i="6"/>
  <c r="E7" i="5"/>
  <c r="F17" i="14"/>
  <c r="F46" i="8"/>
  <c r="E47" i="9"/>
  <c r="F51" i="10"/>
  <c r="E12" i="7"/>
  <c r="E7" i="12"/>
  <c r="F41" i="10"/>
  <c r="E41" i="10"/>
  <c r="F9" i="3"/>
  <c r="E24" i="22"/>
  <c r="F13" i="3"/>
  <c r="E50" i="8"/>
  <c r="E60" i="9"/>
  <c r="E55" i="19"/>
  <c r="E56" i="10"/>
  <c r="E65" i="19"/>
  <c r="E18" i="10"/>
  <c r="E31" i="3"/>
  <c r="E37" i="8"/>
  <c r="F37" i="13"/>
  <c r="E42" i="14"/>
  <c r="F45" i="16"/>
  <c r="E59" i="17"/>
  <c r="F51" i="18"/>
  <c r="E7" i="8"/>
  <c r="F7" i="8"/>
  <c r="E27" i="18"/>
  <c r="E31" i="16"/>
  <c r="F30" i="5"/>
  <c r="F30" i="6"/>
  <c r="E30" i="10"/>
  <c r="E11" i="5"/>
  <c r="F11" i="5"/>
  <c r="F12" i="5"/>
  <c r="E9" i="12"/>
  <c r="F47" i="19"/>
  <c r="F44" i="15"/>
  <c r="E51" i="10"/>
  <c r="E50" i="19"/>
  <c r="E47" i="19"/>
  <c r="E20" i="14"/>
  <c r="F15" i="11"/>
  <c r="E20" i="15"/>
  <c r="F32" i="6"/>
  <c r="E8" i="16"/>
  <c r="E33" i="16"/>
  <c r="E13" i="16"/>
  <c r="F25" i="16"/>
  <c r="E25" i="15"/>
  <c r="E46" i="8"/>
  <c r="E57" i="15"/>
  <c r="E13" i="14"/>
  <c r="E51" i="3"/>
  <c r="F42" i="9"/>
  <c r="E55" i="17"/>
  <c r="F42" i="14"/>
  <c r="E64" i="11"/>
  <c r="F60" i="8"/>
  <c r="F55" i="8"/>
  <c r="F15" i="19"/>
  <c r="E15" i="7"/>
  <c r="E7" i="7"/>
  <c r="F7" i="7"/>
  <c r="E8" i="10"/>
  <c r="F8" i="10"/>
  <c r="F55" i="19"/>
  <c r="E50" i="6"/>
  <c r="F50" i="6"/>
  <c r="E42" i="7"/>
  <c r="E56" i="8"/>
  <c r="E48" i="10"/>
  <c r="E64" i="13"/>
  <c r="F7" i="11"/>
  <c r="E21" i="10"/>
  <c r="F42" i="19"/>
  <c r="E42" i="19"/>
  <c r="E51" i="9"/>
  <c r="E7" i="9"/>
  <c r="F7" i="9"/>
  <c r="F23" i="11"/>
  <c r="F21" i="10"/>
  <c r="E26" i="10"/>
  <c r="E41" i="17"/>
  <c r="E63" i="12"/>
  <c r="E16" i="3"/>
  <c r="F16" i="3"/>
  <c r="E58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5" i="6"/>
  <c r="E58" i="6"/>
  <c r="F18" i="10"/>
  <c r="E62" i="14"/>
  <c r="F63" i="10"/>
  <c r="E66" i="9"/>
  <c r="F66" i="9"/>
  <c r="F63" i="9"/>
  <c r="E63" i="9"/>
  <c r="F51" i="9"/>
  <c r="F52" i="5"/>
  <c r="F21" i="3"/>
  <c r="F15" i="3"/>
  <c r="E15" i="3"/>
  <c r="F37" i="14"/>
  <c r="E37" i="14"/>
  <c r="F37" i="18"/>
  <c r="E37" i="18"/>
  <c r="F21" i="8"/>
  <c r="E23" i="19"/>
  <c r="E31" i="11"/>
  <c r="E59" i="11"/>
  <c r="E50" i="11"/>
  <c r="F50" i="11"/>
  <c r="F60" i="12"/>
  <c r="F55" i="14"/>
  <c r="E52" i="16"/>
  <c r="F45" i="17"/>
  <c r="F46" i="18"/>
  <c r="E46" i="18"/>
  <c r="F21" i="18"/>
  <c r="F25" i="6"/>
  <c r="E25" i="6"/>
  <c r="F16" i="8"/>
  <c r="E16" i="8"/>
  <c r="F23" i="15"/>
  <c r="E16" i="16"/>
  <c r="F16" i="16"/>
  <c r="F8" i="17"/>
  <c r="E8" i="17"/>
  <c r="F53" i="22"/>
  <c r="E10" i="3"/>
  <c r="F8" i="23"/>
  <c r="F89" i="23"/>
  <c r="F7" i="23"/>
  <c r="D88" i="23"/>
  <c r="E88" i="23" s="1"/>
  <c r="E82" i="23"/>
  <c r="E23" i="23"/>
  <c r="F22" i="23"/>
  <c r="F18" i="23"/>
  <c r="F14" i="23"/>
  <c r="C19" i="23"/>
  <c r="F24" i="22"/>
  <c r="F54" i="3"/>
  <c r="F45" i="3"/>
  <c r="E23" i="3"/>
  <c r="E17" i="3"/>
  <c r="F37" i="3"/>
  <c r="E21" i="3"/>
  <c r="F50" i="3"/>
  <c r="D55" i="20"/>
  <c r="E55" i="20" s="1"/>
  <c r="E59" i="5"/>
  <c r="F54" i="5"/>
  <c r="F45" i="5"/>
  <c r="E26" i="5"/>
  <c r="E15" i="5"/>
  <c r="D10" i="20"/>
  <c r="E57" i="5"/>
  <c r="F7" i="5"/>
  <c r="E63" i="5"/>
  <c r="F23" i="5"/>
  <c r="F57" i="6"/>
  <c r="E59" i="6"/>
  <c r="F52" i="6"/>
  <c r="E48" i="6"/>
  <c r="E41" i="6"/>
  <c r="F41" i="6"/>
  <c r="F54" i="7"/>
  <c r="F13" i="7"/>
  <c r="F18" i="7"/>
  <c r="E51" i="7"/>
  <c r="E47" i="7"/>
  <c r="F32" i="8"/>
  <c r="E8" i="8"/>
  <c r="F19" i="8"/>
  <c r="F54" i="8"/>
  <c r="F37" i="8"/>
  <c r="E13" i="8"/>
  <c r="F23" i="8"/>
  <c r="F65" i="9"/>
  <c r="E65" i="9"/>
  <c r="F13" i="10"/>
  <c r="E65" i="10"/>
  <c r="E58" i="10"/>
  <c r="F10" i="10"/>
  <c r="E44" i="10"/>
  <c r="F49" i="10"/>
  <c r="E18" i="11"/>
  <c r="E7" i="11"/>
  <c r="F14" i="11"/>
  <c r="F18" i="11"/>
  <c r="E33" i="11"/>
  <c r="F51" i="12"/>
  <c r="F7" i="12"/>
  <c r="E28" i="12"/>
  <c r="E37" i="12"/>
  <c r="E65" i="12"/>
  <c r="E42" i="12"/>
  <c r="E49" i="12"/>
  <c r="D11" i="20"/>
  <c r="E59" i="13"/>
  <c r="E45" i="13"/>
  <c r="E56" i="14"/>
  <c r="E66" i="14"/>
  <c r="F63" i="14"/>
  <c r="F65" i="14"/>
  <c r="F12" i="14"/>
  <c r="D12" i="20"/>
  <c r="E9" i="14"/>
  <c r="F21" i="14"/>
  <c r="E12" i="14"/>
  <c r="E51" i="15"/>
  <c r="E21" i="15"/>
  <c r="E49" i="15"/>
  <c r="E23" i="15"/>
  <c r="D54" i="20"/>
  <c r="D75" i="23" s="1"/>
  <c r="D60" i="20"/>
  <c r="D81" i="23" s="1"/>
  <c r="E59" i="15"/>
  <c r="F51" i="15"/>
  <c r="E33" i="15"/>
  <c r="E45" i="15"/>
  <c r="F55" i="16"/>
  <c r="E44" i="16"/>
  <c r="F57" i="16"/>
  <c r="F59" i="16"/>
  <c r="E14" i="16"/>
  <c r="E46" i="16"/>
  <c r="D48" i="20"/>
  <c r="E48" i="20" s="1"/>
  <c r="F8" i="16"/>
  <c r="D52" i="20"/>
  <c r="E52" i="20" s="1"/>
  <c r="F25" i="17"/>
  <c r="F14" i="17"/>
  <c r="F7" i="17"/>
  <c r="E33" i="17"/>
  <c r="F55" i="17"/>
  <c r="D37" i="20"/>
  <c r="F37" i="20" s="1"/>
  <c r="E57" i="17"/>
  <c r="D47" i="20"/>
  <c r="D68" i="23" s="1"/>
  <c r="F68" i="23" s="1"/>
  <c r="D58" i="20"/>
  <c r="D79" i="23" s="1"/>
  <c r="F79" i="23" s="1"/>
  <c r="F18" i="18"/>
  <c r="E42" i="18"/>
  <c r="E62" i="18"/>
  <c r="E20" i="18"/>
  <c r="E31" i="18"/>
  <c r="F66" i="18"/>
  <c r="F60" i="18"/>
  <c r="D56" i="20"/>
  <c r="D77" i="23" s="1"/>
  <c r="D63" i="20"/>
  <c r="F22" i="18"/>
  <c r="E66" i="18"/>
  <c r="F63" i="18"/>
  <c r="F41" i="18"/>
  <c r="F65" i="16"/>
  <c r="E65" i="16"/>
  <c r="E62" i="13"/>
  <c r="E64" i="10"/>
  <c r="E61" i="10"/>
  <c r="E65" i="5"/>
  <c r="F65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1" i="16"/>
  <c r="F57" i="3"/>
  <c r="E57" i="3"/>
  <c r="F50" i="7"/>
  <c r="F47" i="8"/>
  <c r="E52" i="9"/>
  <c r="F52" i="9"/>
  <c r="E57" i="10"/>
  <c r="F51" i="11"/>
  <c r="E51" i="11"/>
  <c r="F47" i="16"/>
  <c r="F52" i="17"/>
  <c r="E52" i="17"/>
  <c r="F9" i="7"/>
  <c r="E30" i="11"/>
  <c r="F30" i="11"/>
  <c r="F30" i="7"/>
  <c r="E29" i="10"/>
  <c r="F29" i="10"/>
  <c r="F9" i="16"/>
  <c r="F11" i="14"/>
  <c r="E30" i="7"/>
  <c r="F29" i="5"/>
  <c r="F59" i="3"/>
  <c r="E10" i="12"/>
  <c r="F41" i="9"/>
  <c r="D41" i="20"/>
  <c r="F41" i="20" s="1"/>
  <c r="F41" i="12"/>
  <c r="F54" i="11"/>
  <c r="E56" i="18"/>
  <c r="D45" i="20"/>
  <c r="D66" i="23" s="1"/>
  <c r="E60" i="5"/>
  <c r="F46" i="3"/>
  <c r="F44" i="9"/>
  <c r="E51" i="6"/>
  <c r="F42" i="8"/>
  <c r="F60" i="14"/>
  <c r="E60" i="14"/>
  <c r="D42" i="20"/>
  <c r="F42" i="20" s="1"/>
  <c r="F7" i="14"/>
  <c r="F32" i="17"/>
  <c r="E26" i="14"/>
  <c r="E28" i="17"/>
  <c r="E21" i="17"/>
  <c r="F29" i="12"/>
  <c r="F7" i="3"/>
  <c r="E10" i="16"/>
  <c r="E48" i="17"/>
  <c r="F22" i="7"/>
  <c r="F14" i="7"/>
  <c r="E14" i="7"/>
  <c r="E64" i="12"/>
  <c r="E63" i="11"/>
  <c r="F63" i="11"/>
  <c r="E8" i="9"/>
  <c r="F27" i="12"/>
  <c r="F20" i="12"/>
  <c r="F26" i="17"/>
  <c r="F25" i="3"/>
  <c r="F16" i="14"/>
  <c r="E16" i="14"/>
  <c r="E25" i="5"/>
  <c r="F8" i="13"/>
  <c r="F41" i="14"/>
  <c r="E41" i="14"/>
  <c r="E60" i="6"/>
  <c r="F60" i="6"/>
  <c r="F49" i="8"/>
  <c r="E50" i="9"/>
  <c r="F46" i="9"/>
  <c r="E46" i="9"/>
  <c r="F44" i="13"/>
  <c r="F49" i="14"/>
  <c r="E49" i="14"/>
  <c r="E46" i="14"/>
  <c r="F46" i="14"/>
  <c r="E49" i="16"/>
  <c r="F49" i="16"/>
  <c r="F50" i="17"/>
  <c r="E50" i="17"/>
  <c r="F46" i="17"/>
  <c r="E46" i="17"/>
  <c r="F47" i="18"/>
  <c r="E47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9" i="10"/>
  <c r="F10" i="3"/>
  <c r="F12" i="3"/>
  <c r="E11" i="7"/>
  <c r="D26" i="20"/>
  <c r="D46" i="23" s="1"/>
  <c r="E9" i="16"/>
  <c r="E59" i="3"/>
  <c r="F54" i="14"/>
  <c r="F60" i="15"/>
  <c r="F51" i="14"/>
  <c r="F57" i="17"/>
  <c r="D50" i="20"/>
  <c r="F50" i="20" s="1"/>
  <c r="E42" i="8"/>
  <c r="E51" i="18"/>
  <c r="D28" i="20"/>
  <c r="E28" i="20" s="1"/>
  <c r="E7" i="13"/>
  <c r="E23" i="20"/>
  <c r="F16" i="5"/>
  <c r="E33" i="13"/>
  <c r="E27" i="12"/>
  <c r="F23" i="16"/>
  <c r="E28" i="13"/>
  <c r="E50" i="7"/>
  <c r="E49" i="18"/>
  <c r="E59" i="10"/>
  <c r="F57" i="15"/>
  <c r="E66" i="13"/>
  <c r="E62" i="15"/>
  <c r="F66" i="7"/>
  <c r="E66" i="7"/>
  <c r="E28" i="7"/>
  <c r="E27" i="10"/>
  <c r="F27" i="10"/>
  <c r="F15" i="10"/>
  <c r="D15" i="20"/>
  <c r="F63" i="17"/>
  <c r="F63" i="16"/>
  <c r="E63" i="16"/>
  <c r="E65" i="15"/>
  <c r="E66" i="3"/>
  <c r="F66" i="3"/>
  <c r="E28" i="16"/>
  <c r="F12" i="16"/>
  <c r="E12" i="16"/>
  <c r="F65" i="13"/>
  <c r="E65" i="13"/>
  <c r="E63" i="8"/>
  <c r="E33" i="18"/>
  <c r="F46" i="11"/>
  <c r="F50" i="16"/>
  <c r="F22" i="5"/>
  <c r="F66" i="19"/>
  <c r="C56" i="23"/>
  <c r="D57" i="20"/>
  <c r="F57" i="20" s="1"/>
  <c r="E57" i="19"/>
  <c r="F56" i="20"/>
  <c r="E59" i="19"/>
  <c r="F58" i="20"/>
  <c r="D44" i="20"/>
  <c r="F44" i="20" s="1"/>
  <c r="F44" i="19"/>
  <c r="F29" i="19"/>
  <c r="D14" i="20"/>
  <c r="D51" i="20"/>
  <c r="D72" i="23" s="1"/>
  <c r="F41" i="19"/>
  <c r="F7" i="19"/>
  <c r="F14" i="19"/>
  <c r="E44" i="19"/>
  <c r="D46" i="20"/>
  <c r="F46" i="20" s="1"/>
  <c r="F59" i="19"/>
  <c r="D33" i="20"/>
  <c r="D53" i="23" s="1"/>
  <c r="F27" i="19"/>
  <c r="F64" i="20"/>
  <c r="E66" i="19"/>
  <c r="D59" i="20"/>
  <c r="D80" i="23" s="1"/>
  <c r="F51" i="19"/>
  <c r="E51" i="19"/>
  <c r="E49" i="19"/>
  <c r="F46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5" i="23"/>
  <c r="C53" i="20"/>
  <c r="F28" i="20"/>
  <c r="C48" i="23"/>
  <c r="F65" i="17"/>
  <c r="E65" i="17"/>
  <c r="E64" i="16"/>
  <c r="F66" i="12"/>
  <c r="E62" i="7"/>
  <c r="E62" i="5"/>
  <c r="E31" i="10"/>
  <c r="F17" i="10"/>
  <c r="D19" i="20"/>
  <c r="F19" i="20" s="1"/>
  <c r="E19" i="17"/>
  <c r="F29" i="3"/>
  <c r="E29" i="3"/>
  <c r="E52" i="22"/>
  <c r="D25" i="20"/>
  <c r="D45" i="23" s="1"/>
  <c r="C70" i="23"/>
  <c r="E26" i="13"/>
  <c r="E31" i="12"/>
  <c r="E64" i="6"/>
  <c r="F13" i="12"/>
  <c r="E22" i="19"/>
  <c r="F22" i="19"/>
  <c r="E11" i="16"/>
  <c r="F9" i="5"/>
  <c r="E30" i="9"/>
  <c r="E30" i="3"/>
  <c r="F30" i="3"/>
  <c r="F29" i="17"/>
  <c r="E29" i="17"/>
  <c r="E29" i="8"/>
  <c r="E29" i="6"/>
  <c r="F55" i="22"/>
  <c r="F51" i="22"/>
  <c r="E51" i="22"/>
  <c r="E10" i="7"/>
  <c r="F11" i="16"/>
  <c r="E11" i="3"/>
  <c r="F32" i="5"/>
  <c r="E27" i="7"/>
  <c r="F11" i="12"/>
  <c r="F26" i="13"/>
  <c r="D62" i="20"/>
  <c r="F65" i="11"/>
  <c r="E65" i="11"/>
  <c r="E64" i="8"/>
  <c r="F65" i="7"/>
  <c r="E65" i="7"/>
  <c r="E63" i="7"/>
  <c r="F63" i="7"/>
  <c r="E63" i="6"/>
  <c r="F63" i="6"/>
  <c r="E57" i="22"/>
  <c r="F57" i="22"/>
  <c r="E48" i="22"/>
  <c r="E29" i="12"/>
  <c r="F54" i="19"/>
  <c r="E54" i="19"/>
  <c r="D49" i="20"/>
  <c r="D70" i="23" s="1"/>
  <c r="F60" i="3"/>
  <c r="E60" i="3"/>
  <c r="E55" i="3"/>
  <c r="F55" i="3"/>
  <c r="E48" i="3"/>
  <c r="F44" i="3"/>
  <c r="E55" i="5"/>
  <c r="F55" i="5"/>
  <c r="F50" i="5"/>
  <c r="E47" i="5"/>
  <c r="F42" i="5"/>
  <c r="E54" i="6"/>
  <c r="F54" i="6"/>
  <c r="E49" i="6"/>
  <c r="F49" i="6"/>
  <c r="E46" i="6"/>
  <c r="E60" i="7"/>
  <c r="E56" i="7"/>
  <c r="E48" i="7"/>
  <c r="F45" i="7"/>
  <c r="E45" i="7"/>
  <c r="F59" i="9"/>
  <c r="F55" i="9"/>
  <c r="E47" i="10"/>
  <c r="E42" i="10"/>
  <c r="E47" i="11"/>
  <c r="E52" i="12"/>
  <c r="F52" i="12"/>
  <c r="E58" i="13"/>
  <c r="F54" i="16"/>
  <c r="E17" i="19"/>
  <c r="F17" i="19"/>
  <c r="E32" i="22"/>
  <c r="F28" i="22"/>
  <c r="E28" i="22"/>
  <c r="F66" i="16"/>
  <c r="E66" i="16"/>
  <c r="E62" i="16"/>
  <c r="E25" i="10"/>
  <c r="E8" i="12"/>
  <c r="F8" i="12"/>
  <c r="E18" i="19"/>
  <c r="E29" i="9"/>
  <c r="F32" i="10"/>
  <c r="E32" i="10"/>
  <c r="C43" i="20"/>
  <c r="E17" i="10"/>
  <c r="D66" i="20"/>
  <c r="E65" i="22"/>
  <c r="D36" i="20"/>
  <c r="E36" i="20" s="1"/>
  <c r="E56" i="13"/>
  <c r="E9" i="5"/>
  <c r="D13" i="20"/>
  <c r="E13" i="20" s="1"/>
  <c r="D27" i="20"/>
  <c r="D17" i="20"/>
  <c r="F17" i="20" s="1"/>
  <c r="D22" i="20"/>
  <c r="F19" i="17"/>
  <c r="E55" i="22"/>
  <c r="D7" i="20"/>
  <c r="D18" i="20"/>
  <c r="D38" i="23" s="1"/>
  <c r="E38" i="23" s="1"/>
  <c r="E65" i="14"/>
  <c r="D64" i="20"/>
  <c r="D86" i="23" s="1"/>
  <c r="E64" i="14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F31" i="20" s="1"/>
  <c r="E33" i="22"/>
  <c r="C61" i="20"/>
  <c r="F48" i="20"/>
  <c r="C69" i="23"/>
  <c r="E66" i="15"/>
  <c r="F66" i="15"/>
  <c r="E62" i="11"/>
  <c r="E62" i="8"/>
  <c r="F62" i="8"/>
  <c r="F61" i="8"/>
  <c r="E37" i="7"/>
  <c r="E47" i="22"/>
  <c r="E44" i="22"/>
  <c r="F44" i="22"/>
  <c r="F23" i="12"/>
  <c r="E23" i="10"/>
  <c r="E16" i="10"/>
  <c r="F16" i="10"/>
  <c r="F41" i="15"/>
  <c r="F60" i="19"/>
  <c r="F52" i="19"/>
  <c r="E52" i="19"/>
  <c r="F54" i="10"/>
  <c r="F60" i="11"/>
  <c r="E60" i="11"/>
  <c r="E58" i="11"/>
  <c r="E44" i="14"/>
  <c r="D16" i="20"/>
  <c r="E19" i="22"/>
  <c r="F63" i="13"/>
  <c r="F66" i="8"/>
  <c r="F66" i="6"/>
  <c r="E62" i="6"/>
  <c r="E64" i="3"/>
  <c r="E20" i="3"/>
  <c r="F20" i="3"/>
  <c r="E14" i="3"/>
  <c r="F18" i="17"/>
  <c r="F60" i="22"/>
  <c r="D61" i="19"/>
  <c r="F61" i="19" s="1"/>
  <c r="E31" i="19"/>
  <c r="E65" i="6"/>
  <c r="F65" i="6"/>
  <c r="F23" i="14"/>
  <c r="D65" i="20"/>
  <c r="D87" i="23" s="1"/>
  <c r="E53" i="15"/>
  <c r="D43" i="19"/>
  <c r="E43" i="7"/>
  <c r="E53" i="9"/>
  <c r="D53" i="19"/>
  <c r="E13" i="23"/>
  <c r="D12" i="23"/>
  <c r="F12" i="23" s="1"/>
  <c r="D9" i="23"/>
  <c r="C93" i="23"/>
  <c r="D15" i="23"/>
  <c r="E17" i="23"/>
  <c r="E25" i="23"/>
  <c r="F16" i="23"/>
  <c r="E25" i="22"/>
  <c r="E20" i="22"/>
  <c r="E64" i="15"/>
  <c r="E63" i="15"/>
  <c r="F66" i="13"/>
  <c r="E66" i="12"/>
  <c r="E36" i="22"/>
  <c r="E26" i="22"/>
  <c r="E21" i="22"/>
  <c r="E17" i="22"/>
  <c r="E64" i="18"/>
  <c r="F63" i="15"/>
  <c r="E66" i="6"/>
  <c r="F62" i="5"/>
  <c r="E16" i="19"/>
  <c r="D29" i="20"/>
  <c r="E25" i="19"/>
  <c r="E8" i="19"/>
  <c r="E10" i="11"/>
  <c r="E25" i="13"/>
  <c r="E53" i="13"/>
  <c r="F37" i="19"/>
  <c r="E77" i="23" l="1"/>
  <c r="F45" i="23"/>
  <c r="F36" i="20"/>
  <c r="E7" i="20"/>
  <c r="F80" i="23"/>
  <c r="E66" i="23"/>
  <c r="E46" i="23"/>
  <c r="F81" i="23"/>
  <c r="F69" i="23"/>
  <c r="F77" i="23"/>
  <c r="E54" i="23"/>
  <c r="F54" i="23"/>
  <c r="F62" i="20"/>
  <c r="D84" i="23"/>
  <c r="F84" i="23" s="1"/>
  <c r="D85" i="23"/>
  <c r="F85" i="23" s="1"/>
  <c r="F33" i="20"/>
  <c r="F6" i="23"/>
  <c r="E9" i="23"/>
  <c r="E6" i="9"/>
  <c r="E61" i="9"/>
  <c r="E61" i="16"/>
  <c r="E10" i="20"/>
  <c r="F52" i="20"/>
  <c r="F61" i="9"/>
  <c r="E61" i="15"/>
  <c r="F10" i="20"/>
  <c r="F61" i="16"/>
  <c r="F61" i="18"/>
  <c r="F61" i="15"/>
  <c r="F88" i="23"/>
  <c r="F11" i="20"/>
  <c r="F55" i="20"/>
  <c r="E12" i="23"/>
  <c r="D76" i="23"/>
  <c r="F76" i="23" s="1"/>
  <c r="E79" i="23"/>
  <c r="E12" i="20"/>
  <c r="F14" i="20"/>
  <c r="D50" i="23"/>
  <c r="E50" i="23" s="1"/>
  <c r="F26" i="20"/>
  <c r="F54" i="20"/>
  <c r="F63" i="20"/>
  <c r="E68" i="23"/>
  <c r="E11" i="20"/>
  <c r="D69" i="23"/>
  <c r="E69" i="23" s="1"/>
  <c r="E37" i="20"/>
  <c r="E58" i="20"/>
  <c r="D57" i="23"/>
  <c r="E57" i="23" s="1"/>
  <c r="F12" i="20"/>
  <c r="E15" i="20"/>
  <c r="E75" i="23"/>
  <c r="E63" i="20"/>
  <c r="E54" i="20"/>
  <c r="F15" i="20"/>
  <c r="E47" i="20"/>
  <c r="D73" i="23"/>
  <c r="E73" i="23" s="1"/>
  <c r="E60" i="20"/>
  <c r="F60" i="20"/>
  <c r="D43" i="23"/>
  <c r="F43" i="23" s="1"/>
  <c r="E56" i="20"/>
  <c r="F18" i="20"/>
  <c r="F47" i="20"/>
  <c r="E19" i="20"/>
  <c r="E45" i="20"/>
  <c r="E50" i="20"/>
  <c r="F38" i="23"/>
  <c r="F66" i="23"/>
  <c r="F9" i="20"/>
  <c r="E61" i="18"/>
  <c r="D48" i="23"/>
  <c r="F48" i="23" s="1"/>
  <c r="F30" i="20"/>
  <c r="F46" i="23"/>
  <c r="E59" i="20"/>
  <c r="E24" i="5"/>
  <c r="F24" i="5"/>
  <c r="E24" i="9"/>
  <c r="E18" i="20"/>
  <c r="F23" i="20"/>
  <c r="F61" i="10"/>
  <c r="D65" i="23"/>
  <c r="E65" i="23" s="1"/>
  <c r="D78" i="23"/>
  <c r="E44" i="20"/>
  <c r="D62" i="23"/>
  <c r="E62" i="23" s="1"/>
  <c r="D71" i="23"/>
  <c r="E71" i="23" s="1"/>
  <c r="E26" i="20"/>
  <c r="E24" i="16"/>
  <c r="F24" i="16"/>
  <c r="F61" i="13"/>
  <c r="E61" i="13"/>
  <c r="D63" i="23"/>
  <c r="E42" i="20"/>
  <c r="E39" i="5"/>
  <c r="F45" i="20"/>
  <c r="F53" i="23"/>
  <c r="E41" i="20"/>
  <c r="F24" i="9"/>
  <c r="F25" i="20"/>
  <c r="D56" i="23"/>
  <c r="E56" i="23" s="1"/>
  <c r="E14" i="20"/>
  <c r="E57" i="20"/>
  <c r="E33" i="20"/>
  <c r="F59" i="20"/>
  <c r="D53" i="20"/>
  <c r="F53" i="20" s="1"/>
  <c r="E45" i="23"/>
  <c r="F20" i="20"/>
  <c r="E53" i="23"/>
  <c r="C44" i="23"/>
  <c r="E46" i="20"/>
  <c r="D67" i="23"/>
  <c r="D40" i="23"/>
  <c r="E40" i="23" s="1"/>
  <c r="E80" i="23"/>
  <c r="F51" i="20"/>
  <c r="E51" i="20"/>
  <c r="F75" i="23"/>
  <c r="E70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3" i="10"/>
  <c r="F53" i="10"/>
  <c r="E24" i="3"/>
  <c r="F24" i="3"/>
  <c r="E24" i="8"/>
  <c r="F24" i="8"/>
  <c r="F6" i="8"/>
  <c r="C83" i="23"/>
  <c r="D51" i="23"/>
  <c r="E31" i="20"/>
  <c r="D91" i="23"/>
  <c r="F66" i="20"/>
  <c r="E66" i="20"/>
  <c r="F43" i="22"/>
  <c r="E43" i="22"/>
  <c r="E24" i="7"/>
  <c r="F24" i="7"/>
  <c r="F43" i="15"/>
  <c r="E43" i="15"/>
  <c r="F24" i="18"/>
  <c r="E24" i="18"/>
  <c r="F24" i="11"/>
  <c r="E24" i="11"/>
  <c r="F61" i="12"/>
  <c r="E61" i="12"/>
  <c r="E53" i="6"/>
  <c r="F53" i="6"/>
  <c r="E53" i="3"/>
  <c r="F53" i="3"/>
  <c r="F61" i="6"/>
  <c r="E61" i="6"/>
  <c r="C74" i="23"/>
  <c r="D37" i="23"/>
  <c r="D40" i="19"/>
  <c r="E43" i="19"/>
  <c r="F43" i="19"/>
  <c r="F53" i="15"/>
  <c r="F65" i="20"/>
  <c r="E65" i="20"/>
  <c r="E43" i="9"/>
  <c r="F43" i="9"/>
  <c r="E61" i="19"/>
  <c r="E53" i="11"/>
  <c r="F53" i="11"/>
  <c r="E61" i="8"/>
  <c r="F53" i="5"/>
  <c r="E53" i="5"/>
  <c r="F70" i="23"/>
  <c r="E62" i="20"/>
  <c r="E49" i="20"/>
  <c r="F61" i="17"/>
  <c r="E61" i="17"/>
  <c r="D43" i="20"/>
  <c r="C39" i="20"/>
  <c r="F43" i="7"/>
  <c r="F43" i="11"/>
  <c r="F61" i="11"/>
  <c r="E61" i="22"/>
  <c r="F61" i="22"/>
  <c r="D47" i="23"/>
  <c r="E27" i="20"/>
  <c r="F43" i="3"/>
  <c r="E43" i="3"/>
  <c r="F27" i="20"/>
  <c r="E53" i="19"/>
  <c r="F53" i="19"/>
  <c r="F53" i="7"/>
  <c r="E53" i="7"/>
  <c r="F43" i="14"/>
  <c r="E43" i="14"/>
  <c r="E64" i="20"/>
  <c r="E43" i="11"/>
  <c r="D61" i="20"/>
  <c r="F61" i="20" s="1"/>
  <c r="E81" i="23"/>
  <c r="E17" i="20"/>
  <c r="F16" i="20"/>
  <c r="F53" i="9"/>
  <c r="F24" i="12"/>
  <c r="E24" i="12"/>
  <c r="E53" i="12"/>
  <c r="F53" i="12"/>
  <c r="F61" i="3"/>
  <c r="E61" i="3"/>
  <c r="E61" i="11"/>
  <c r="E39" i="16"/>
  <c r="F39" i="16"/>
  <c r="F61" i="14"/>
  <c r="E61" i="14"/>
  <c r="E61" i="5"/>
  <c r="F61" i="5"/>
  <c r="F7" i="20"/>
  <c r="F72" i="23"/>
  <c r="E72" i="23"/>
  <c r="E22" i="20"/>
  <c r="D42" i="23"/>
  <c r="F22" i="20"/>
  <c r="C40" i="20"/>
  <c r="F24" i="10"/>
  <c r="E24" i="10"/>
  <c r="C64" i="23"/>
  <c r="E61" i="7"/>
  <c r="F61" i="7"/>
  <c r="F49" i="20"/>
  <c r="F6" i="9"/>
  <c r="D93" i="23"/>
  <c r="F93" i="23" s="1"/>
  <c r="D19" i="23"/>
  <c r="E15" i="23"/>
  <c r="F15" i="23"/>
  <c r="E52" i="23"/>
  <c r="F52" i="23"/>
  <c r="E43" i="18"/>
  <c r="F43" i="18"/>
  <c r="F43" i="13"/>
  <c r="E43" i="13"/>
  <c r="F43" i="12"/>
  <c r="E43" i="12"/>
  <c r="E53" i="16"/>
  <c r="F53" i="16"/>
  <c r="F43" i="10"/>
  <c r="E43" i="10"/>
  <c r="F24" i="17"/>
  <c r="E24" i="17"/>
  <c r="F53" i="8"/>
  <c r="E53" i="8"/>
  <c r="E24" i="15"/>
  <c r="F24" i="15"/>
  <c r="F43" i="8"/>
  <c r="E43" i="8"/>
  <c r="F53" i="13"/>
  <c r="F24" i="13"/>
  <c r="F43" i="6"/>
  <c r="E43" i="6"/>
  <c r="F24" i="19"/>
  <c r="D39" i="19"/>
  <c r="D24" i="20"/>
  <c r="D6" i="20" s="1"/>
  <c r="D49" i="23"/>
  <c r="F29" i="20"/>
  <c r="E29" i="20"/>
  <c r="F24" i="6"/>
  <c r="E24" i="6"/>
  <c r="E53" i="18"/>
  <c r="F53" i="18"/>
  <c r="F24" i="14"/>
  <c r="E24" i="14"/>
  <c r="F43" i="16"/>
  <c r="E43" i="16"/>
  <c r="F53" i="17"/>
  <c r="E53" i="17"/>
  <c r="F43" i="5"/>
  <c r="E43" i="5"/>
  <c r="F53" i="14"/>
  <c r="E53" i="14"/>
  <c r="E43" i="17"/>
  <c r="F43" i="17"/>
  <c r="F56" i="23" l="1"/>
  <c r="E51" i="23"/>
  <c r="F51" i="23"/>
  <c r="E85" i="23"/>
  <c r="E76" i="23"/>
  <c r="F39" i="5"/>
  <c r="F6" i="5"/>
  <c r="E6" i="5"/>
  <c r="E93" i="23"/>
  <c r="F50" i="23"/>
  <c r="E43" i="23"/>
  <c r="F57" i="23"/>
  <c r="E39" i="8"/>
  <c r="F65" i="23"/>
  <c r="F73" i="23"/>
  <c r="E48" i="23"/>
  <c r="C61" i="23"/>
  <c r="F62" i="23"/>
  <c r="E78" i="23"/>
  <c r="F78" i="23"/>
  <c r="D64" i="23"/>
  <c r="F64" i="23" s="1"/>
  <c r="D74" i="23"/>
  <c r="E74" i="23" s="1"/>
  <c r="E6" i="16"/>
  <c r="F6" i="16"/>
  <c r="E63" i="23"/>
  <c r="F63" i="23"/>
  <c r="F39" i="8"/>
  <c r="F71" i="23"/>
  <c r="E39" i="9"/>
  <c r="F39" i="9"/>
  <c r="E53" i="20"/>
  <c r="D40" i="20"/>
  <c r="E40" i="20" s="1"/>
  <c r="E39" i="23"/>
  <c r="F40" i="23"/>
  <c r="F67" i="23"/>
  <c r="E67" i="23"/>
  <c r="E61" i="20"/>
  <c r="E43" i="20"/>
  <c r="F43" i="20"/>
  <c r="E41" i="23"/>
  <c r="F41" i="23"/>
  <c r="E39" i="3"/>
  <c r="F39" i="3"/>
  <c r="F39" i="10"/>
  <c r="E39" i="10"/>
  <c r="E40" i="7"/>
  <c r="F40" i="7"/>
  <c r="F40" i="9"/>
  <c r="E40" i="9"/>
  <c r="F87" i="23"/>
  <c r="E87" i="23"/>
  <c r="E37" i="23"/>
  <c r="F37" i="23"/>
  <c r="E39" i="11"/>
  <c r="F39" i="11"/>
  <c r="D83" i="23"/>
  <c r="F83" i="23" s="1"/>
  <c r="F86" i="23"/>
  <c r="E86" i="23"/>
  <c r="F39" i="18"/>
  <c r="E39" i="18"/>
  <c r="F40" i="15"/>
  <c r="E40" i="15"/>
  <c r="E6" i="7"/>
  <c r="F6" i="7"/>
  <c r="F91" i="23"/>
  <c r="E91" i="23"/>
  <c r="E84" i="23"/>
  <c r="F39" i="12"/>
  <c r="E39" i="12"/>
  <c r="E47" i="23"/>
  <c r="F47" i="23"/>
  <c r="F40" i="11"/>
  <c r="E40" i="11"/>
  <c r="E39" i="7"/>
  <c r="F39" i="7"/>
  <c r="E6" i="8"/>
  <c r="F42" i="23"/>
  <c r="E42" i="23"/>
  <c r="F6" i="18"/>
  <c r="E6" i="18"/>
  <c r="F40" i="3"/>
  <c r="E40" i="3"/>
  <c r="F40" i="19"/>
  <c r="E40" i="19"/>
  <c r="E6" i="11"/>
  <c r="F6" i="11"/>
  <c r="F40" i="22"/>
  <c r="E40" i="22"/>
  <c r="E6" i="3"/>
  <c r="F6" i="3"/>
  <c r="F19" i="23"/>
  <c r="E19" i="23"/>
  <c r="E40" i="14"/>
  <c r="F40" i="14"/>
  <c r="E39" i="14"/>
  <c r="F39" i="14"/>
  <c r="F49" i="23"/>
  <c r="E49" i="23"/>
  <c r="F6" i="13"/>
  <c r="E6" i="13"/>
  <c r="E6" i="6"/>
  <c r="F6" i="6"/>
  <c r="E39" i="6"/>
  <c r="F39" i="6"/>
  <c r="D44" i="23"/>
  <c r="E24" i="20"/>
  <c r="F24" i="20"/>
  <c r="F6" i="17"/>
  <c r="E6" i="17"/>
  <c r="F40" i="12"/>
  <c r="E40" i="12"/>
  <c r="E40" i="13"/>
  <c r="F40" i="13"/>
  <c r="E40" i="18"/>
  <c r="F40" i="18"/>
  <c r="F40" i="17"/>
  <c r="E40" i="17"/>
  <c r="F40" i="5"/>
  <c r="E40" i="5"/>
  <c r="F40" i="16"/>
  <c r="E40" i="16"/>
  <c r="F6" i="19"/>
  <c r="E6" i="19"/>
  <c r="F40" i="6"/>
  <c r="E40" i="6"/>
  <c r="F6" i="15"/>
  <c r="E6" i="15"/>
  <c r="F6" i="14"/>
  <c r="E6" i="14"/>
  <c r="F39" i="19"/>
  <c r="D39" i="20"/>
  <c r="E39" i="19"/>
  <c r="E39" i="13"/>
  <c r="F39" i="13"/>
  <c r="E40" i="8"/>
  <c r="F40" i="8"/>
  <c r="F39" i="15"/>
  <c r="E39" i="15"/>
  <c r="F39" i="17"/>
  <c r="E39" i="17"/>
  <c r="E40" i="10"/>
  <c r="F40" i="10"/>
  <c r="D61" i="23" l="1"/>
  <c r="F61" i="23" s="1"/>
  <c r="E64" i="23"/>
  <c r="F74" i="23"/>
  <c r="F40" i="20"/>
  <c r="E83" i="23"/>
  <c r="F39" i="20"/>
  <c r="E39" i="20"/>
  <c r="F6" i="20"/>
  <c r="E6" i="20"/>
  <c r="E44" i="23"/>
  <c r="F44" i="23"/>
  <c r="E61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9" i="22"/>
  <c r="C26" i="23" l="1"/>
  <c r="E34" i="23"/>
  <c r="D30" i="23"/>
  <c r="F30" i="23" s="1"/>
  <c r="D28" i="23"/>
  <c r="E28" i="23" s="1"/>
  <c r="E7" i="22"/>
  <c r="E16" i="22"/>
  <c r="D33" i="23"/>
  <c r="E33" i="23" s="1"/>
  <c r="F34" i="23"/>
  <c r="C59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D26" i="23" l="1"/>
  <c r="C94" i="23"/>
  <c r="F27" i="23"/>
  <c r="E27" i="23"/>
  <c r="F28" i="23"/>
  <c r="E30" i="23"/>
  <c r="D59" i="23"/>
  <c r="F59" i="23" s="1"/>
  <c r="E39" i="22"/>
  <c r="C24" i="23"/>
  <c r="F33" i="23"/>
  <c r="F29" i="23"/>
  <c r="E6" i="22"/>
  <c r="E31" i="23"/>
  <c r="F35" i="23"/>
  <c r="F6" i="22"/>
  <c r="F32" i="23"/>
  <c r="C60" i="23" l="1"/>
  <c r="C92" i="23" s="1"/>
  <c r="D94" i="23"/>
  <c r="D24" i="23"/>
  <c r="E59" i="23"/>
  <c r="F26" i="23"/>
  <c r="E26" i="23"/>
  <c r="D60" i="23" l="1"/>
  <c r="F24" i="23"/>
  <c r="E24" i="23"/>
  <c r="F94" i="23"/>
  <c r="E94" i="23"/>
  <c r="D92" i="23" l="1"/>
  <c r="F60" i="23"/>
  <c r="E60" i="23"/>
  <c r="E92" i="23" l="1"/>
  <c r="F92" i="23"/>
</calcChain>
</file>

<file path=xl/sharedStrings.xml><?xml version="1.0" encoding="utf-8"?>
<sst xmlns="http://schemas.openxmlformats.org/spreadsheetml/2006/main" count="2540" uniqueCount="203">
  <si>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</si>
  <si>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</si>
  <si>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</si>
  <si>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</si>
  <si>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</si>
  <si>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</si>
  <si>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</si>
  <si>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</si>
  <si>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</si>
  <si>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</si>
  <si>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</si>
  <si>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</si>
  <si>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</si>
  <si>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</si>
  <si>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</si>
  <si>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</si>
  <si>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</si>
  <si>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</si>
  <si>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</si>
  <si>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</si>
  <si>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</si>
  <si>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</si>
  <si>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</si>
  <si>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</si>
  <si>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</si>
  <si>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</si>
  <si>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</si>
  <si>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</si>
  <si>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</si>
  <si>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</si>
  <si>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</si>
  <si>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</si>
  <si>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</si>
  <si>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</si>
  <si>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</si>
  <si>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</si>
  <si>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</si>
  <si>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</si>
  <si>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</si>
  <si>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</si>
  <si>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</si>
  <si>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</si>
  <si>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</si>
  <si>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</si>
  <si>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</si>
  <si>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</si>
  <si>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</si>
  <si>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</si>
  <si>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</si>
  <si>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</si>
  <si>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</si>
  <si>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</si>
  <si>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</si>
  <si>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</si>
  <si>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</si>
  <si>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</si>
  <si>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</si>
  <si>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</si>
  <si>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</si>
  <si>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</si>
  <si>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</si>
  <si>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</si>
  <si>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</si>
  <si>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</si>
  <si>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</si>
  <si>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</si>
  <si>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</si>
  <si>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</si>
  <si>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</si>
  <si>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</si>
  <si>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</si>
  <si>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</si>
  <si>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</si>
  <si>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</si>
  <si>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</si>
  <si>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</si>
  <si>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</si>
  <si>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</si>
  <si>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</si>
  <si>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</si>
  <si>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</si>
  <si>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</si>
  <si>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</si>
  <si>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</si>
  <si>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</si>
  <si>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</si>
  <si>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</si>
  <si>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</si>
  <si>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</si>
  <si>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</si>
  <si>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</si>
  <si>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</si>
  <si>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</si>
  <si>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</si>
  <si>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</si>
  <si>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</si>
  <si>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</si>
  <si>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</si>
  <si>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</si>
  <si>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</si>
  <si>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</si>
  <si>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</si>
  <si>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</si>
  <si>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</si>
  <si>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</si>
  <si>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</si>
  <si>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</si>
  <si>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</si>
  <si>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</si>
  <si>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</si>
  <si>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</si>
  <si>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</si>
  <si>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</si>
  <si>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</si>
  <si>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</si>
  <si>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</si>
  <si>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</si>
  <si>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</si>
  <si>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</si>
  <si>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</si>
  <si>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</si>
  <si>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</si>
  <si>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</si>
  <si>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</si>
  <si>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</si>
  <si>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</si>
  <si>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</si>
  <si>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</si>
  <si>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</si>
  <si>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</si>
  <si>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</si>
  <si>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</si>
  <si>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</si>
  <si>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</si>
  <si>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</si>
  <si>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</si>
  <si>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</si>
  <si>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</si>
  <si>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</si>
  <si>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</si>
  <si>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</si>
  <si>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</si>
  <si>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</si>
  <si>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</si>
  <si>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</si>
  <si>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</si>
  <si>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</si>
  <si>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</si>
  <si>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</si>
  <si>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</si>
  <si>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</si>
  <si>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</si>
  <si>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</si>
  <si>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</si>
  <si>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</si>
  <si>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</si>
  <si>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</si>
  <si>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</si>
  <si>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</si>
  <si>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</si>
  <si>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</si>
  <si>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</si>
  <si>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</si>
  <si>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</si>
  <si>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</si>
  <si>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</si>
  <si>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</si>
  <si>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</si>
  <si>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</si>
  <si>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</si>
  <si>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</si>
  <si>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</si>
  <si>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</si>
  <si>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</si>
  <si>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</si>
  <si>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</si>
  <si>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</si>
  <si>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</si>
  <si>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</si>
  <si>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</si>
  <si>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</si>
  <si>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</si>
  <si>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</si>
  <si>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</si>
  <si>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</si>
  <si>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</si>
  <si>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</si>
  <si>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</si>
  <si>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</si>
  <si>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</si>
  <si>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</si>
  <si>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</si>
  <si>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</si>
  <si>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</si>
  <si>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</si>
  <si>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Plan na
2018 rok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</si>
  <si>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</si>
  <si>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</si>
  <si>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</si>
  <si>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</si>
  <si>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</si>
  <si>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</si>
  <si>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 xml:space="preserve">Załącznik do zarządzenia Nr 33/2018/DEF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16 kwietnia 2018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</si>
</sst>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3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righ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activeCell="B48" sqref="B48"/>
      <selection pane="topRight" activeCell="B48" sqref="B48"/>
      <selection pane="bottomLeft" activeCell="B48" sqref="B48"/>
      <selection pane="bottomRight" activeCell="I9" sqref="I9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8" width="9.140625" style="3"/>
    <col min="9" max="9" width="25.85546875" style="3" bestFit="1" customWidth="1"/>
    <col min="10" max="11" width="9.140625" style="3" customWidth="1"/>
    <col min="12" max="16384" width="9.140625" style="3"/>
  </cols>
  <sheetData>
    <row r="1" spans="1:9" s="28" customFormat="1" ht="72.75" customHeight="1" x14ac:dyDescent="0.35">
      <c r="A1" s="112" t="s">
        <v>202</v>
      </c>
      <c r="B1" s="112"/>
      <c r="C1" s="112"/>
      <c r="D1" s="112"/>
      <c r="E1" s="112"/>
      <c r="F1" s="112"/>
    </row>
    <row r="2" spans="1:9" s="21" customFormat="1" ht="35.25" customHeight="1" x14ac:dyDescent="0.3">
      <c r="A2" s="111" t="s">
        <v>164</v>
      </c>
      <c r="B2" s="111"/>
      <c r="C2" s="36"/>
    </row>
    <row r="3" spans="1:9" s="6" customFormat="1" ht="36" customHeight="1" x14ac:dyDescent="0.25">
      <c r="A3" s="4"/>
      <c r="B3" s="5"/>
      <c r="C3" s="35"/>
      <c r="D3" s="35"/>
      <c r="E3" s="35" t="s">
        <v>138</v>
      </c>
    </row>
    <row r="4" spans="1:9" s="59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9" ht="19.5" customHeight="1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s="10" customFormat="1" ht="63.75" customHeight="1" x14ac:dyDescent="0.4">
      <c r="A6" s="100">
        <v>1</v>
      </c>
      <c r="B6" s="67" t="s">
        <v>173</v>
      </c>
      <c r="C6" s="68">
        <f>C7+C8</f>
        <v>79137176</v>
      </c>
      <c r="D6" s="68">
        <f>D7+D8</f>
        <v>79137176</v>
      </c>
      <c r="E6" s="68" t="str">
        <f>IF(C6=D6,"-",D6-C6)</f>
        <v>-</v>
      </c>
      <c r="F6" s="69">
        <f>IF(C6=0,"-",D6/C6)</f>
        <v>1</v>
      </c>
      <c r="I6" s="89"/>
    </row>
    <row r="7" spans="1:9" ht="30" customHeight="1" x14ac:dyDescent="0.4">
      <c r="A7" s="101" t="s">
        <v>75</v>
      </c>
      <c r="B7" s="24" t="s">
        <v>76</v>
      </c>
      <c r="C7" s="7">
        <v>75773210</v>
      </c>
      <c r="D7" s="7">
        <f>C7</f>
        <v>75773210</v>
      </c>
      <c r="E7" s="7" t="str">
        <f t="shared" ref="E7:E82" si="0">IF(C7=D7,"-",D7-C7)</f>
        <v>-</v>
      </c>
      <c r="F7" s="42">
        <f t="shared" ref="F7:F82" si="1">IF(C7=0,"-",D7/C7)</f>
        <v>1</v>
      </c>
      <c r="I7" s="89"/>
    </row>
    <row r="8" spans="1:9" ht="30" customHeight="1" x14ac:dyDescent="0.4">
      <c r="A8" s="101" t="s">
        <v>77</v>
      </c>
      <c r="B8" s="24" t="s">
        <v>78</v>
      </c>
      <c r="C8" s="7">
        <v>3363966</v>
      </c>
      <c r="D8" s="7">
        <f>C8</f>
        <v>3363966</v>
      </c>
      <c r="E8" s="7" t="str">
        <f t="shared" si="0"/>
        <v>-</v>
      </c>
      <c r="F8" s="42">
        <f t="shared" si="1"/>
        <v>1</v>
      </c>
      <c r="I8" s="89"/>
    </row>
    <row r="9" spans="1:9" s="10" customFormat="1" ht="38.25" customHeight="1" x14ac:dyDescent="0.4">
      <c r="A9" s="100">
        <v>2</v>
      </c>
      <c r="B9" s="67" t="s">
        <v>174</v>
      </c>
      <c r="C9" s="68">
        <f>C10+C11</f>
        <v>0</v>
      </c>
      <c r="D9" s="68">
        <f>D10+D11</f>
        <v>0</v>
      </c>
      <c r="E9" s="68" t="str">
        <f t="shared" si="0"/>
        <v>-</v>
      </c>
      <c r="F9" s="69" t="str">
        <f t="shared" si="1"/>
        <v>-</v>
      </c>
      <c r="I9" s="89"/>
    </row>
    <row r="10" spans="1:9" ht="30" customHeight="1" x14ac:dyDescent="0.4">
      <c r="A10" s="101" t="s">
        <v>79</v>
      </c>
      <c r="B10" s="24" t="s">
        <v>80</v>
      </c>
      <c r="C10" s="7"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  <c r="I10" s="89"/>
    </row>
    <row r="11" spans="1:9" ht="30" customHeight="1" x14ac:dyDescent="0.4">
      <c r="A11" s="101" t="s">
        <v>81</v>
      </c>
      <c r="B11" s="24" t="s">
        <v>82</v>
      </c>
      <c r="C11" s="7"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  <c r="I11" s="89"/>
    </row>
    <row r="12" spans="1:9" s="10" customFormat="1" ht="39.75" customHeight="1" x14ac:dyDescent="0.4">
      <c r="A12" s="100">
        <v>3</v>
      </c>
      <c r="B12" s="67" t="s">
        <v>175</v>
      </c>
      <c r="C12" s="68">
        <f>C13+C14</f>
        <v>150000</v>
      </c>
      <c r="D12" s="68">
        <f>D13+D14</f>
        <v>150000</v>
      </c>
      <c r="E12" s="68" t="str">
        <f t="shared" si="0"/>
        <v>-</v>
      </c>
      <c r="F12" s="69">
        <f t="shared" si="1"/>
        <v>1</v>
      </c>
      <c r="I12" s="89"/>
    </row>
    <row r="13" spans="1:9" ht="30" customHeight="1" x14ac:dyDescent="0.4">
      <c r="A13" s="101" t="s">
        <v>83</v>
      </c>
      <c r="B13" s="24" t="s">
        <v>76</v>
      </c>
      <c r="C13" s="7"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  <c r="I13" s="89"/>
    </row>
    <row r="14" spans="1:9" ht="30" customHeight="1" x14ac:dyDescent="0.4">
      <c r="A14" s="101" t="s">
        <v>84</v>
      </c>
      <c r="B14" s="24" t="s">
        <v>78</v>
      </c>
      <c r="C14" s="7">
        <v>0</v>
      </c>
      <c r="D14" s="7">
        <f>C14</f>
        <v>0</v>
      </c>
      <c r="E14" s="7" t="str">
        <f t="shared" si="0"/>
        <v>-</v>
      </c>
      <c r="F14" s="42" t="str">
        <f t="shared" si="1"/>
        <v>-</v>
      </c>
      <c r="I14" s="89"/>
    </row>
    <row r="15" spans="1:9" s="10" customFormat="1" ht="39" customHeight="1" x14ac:dyDescent="0.4">
      <c r="A15" s="100">
        <v>4</v>
      </c>
      <c r="B15" s="67" t="s">
        <v>176</v>
      </c>
      <c r="C15" s="68">
        <f>C16+C17</f>
        <v>154550</v>
      </c>
      <c r="D15" s="68">
        <f>D16+D17</f>
        <v>154550</v>
      </c>
      <c r="E15" s="68" t="str">
        <f t="shared" si="0"/>
        <v>-</v>
      </c>
      <c r="F15" s="69">
        <f t="shared" si="1"/>
        <v>1</v>
      </c>
      <c r="I15" s="89"/>
    </row>
    <row r="16" spans="1:9" ht="30" customHeight="1" x14ac:dyDescent="0.4">
      <c r="A16" s="102" t="s">
        <v>85</v>
      </c>
      <c r="B16" s="24" t="s">
        <v>86</v>
      </c>
      <c r="C16" s="7">
        <v>151546</v>
      </c>
      <c r="D16" s="7">
        <f>C16</f>
        <v>151546</v>
      </c>
      <c r="E16" s="7" t="str">
        <f t="shared" si="0"/>
        <v>-</v>
      </c>
      <c r="F16" s="42">
        <f t="shared" si="1"/>
        <v>1</v>
      </c>
      <c r="I16" s="89"/>
    </row>
    <row r="17" spans="1:9" ht="30" customHeight="1" x14ac:dyDescent="0.4">
      <c r="A17" s="102" t="s">
        <v>87</v>
      </c>
      <c r="B17" s="24" t="s">
        <v>88</v>
      </c>
      <c r="C17" s="7">
        <v>3004</v>
      </c>
      <c r="D17" s="7">
        <f>C17</f>
        <v>3004</v>
      </c>
      <c r="E17" s="7" t="str">
        <f t="shared" si="0"/>
        <v>-</v>
      </c>
      <c r="F17" s="42">
        <f t="shared" si="1"/>
        <v>1</v>
      </c>
      <c r="I17" s="89"/>
    </row>
    <row r="18" spans="1:9" s="10" customFormat="1" ht="51" x14ac:dyDescent="0.4">
      <c r="A18" s="100">
        <v>5</v>
      </c>
      <c r="B18" s="67" t="s">
        <v>201</v>
      </c>
      <c r="C18" s="68">
        <v>26148</v>
      </c>
      <c r="D18" s="68">
        <f>C18</f>
        <v>26148</v>
      </c>
      <c r="E18" s="68" t="str">
        <f t="shared" si="0"/>
        <v>-</v>
      </c>
      <c r="F18" s="69">
        <f t="shared" si="1"/>
        <v>1</v>
      </c>
      <c r="I18" s="89"/>
    </row>
    <row r="19" spans="1:9" s="10" customFormat="1" ht="63.75" customHeight="1" x14ac:dyDescent="0.4">
      <c r="A19" s="103" t="s">
        <v>127</v>
      </c>
      <c r="B19" s="70" t="s">
        <v>170</v>
      </c>
      <c r="C19" s="68">
        <f>(C6-C9+C12-C15-C18)+C20+C21+C22+C23</f>
        <v>82676989</v>
      </c>
      <c r="D19" s="68">
        <f>(D6-D9+D12-D15-D18)+D20+D21+D22+D23</f>
        <v>82676989</v>
      </c>
      <c r="E19" s="68" t="str">
        <f t="shared" si="0"/>
        <v>-</v>
      </c>
      <c r="F19" s="69">
        <f t="shared" si="1"/>
        <v>1</v>
      </c>
      <c r="I19" s="89"/>
    </row>
    <row r="20" spans="1:9" ht="31.5" customHeight="1" x14ac:dyDescent="0.4">
      <c r="A20" s="101" t="s">
        <v>89</v>
      </c>
      <c r="B20" s="25" t="s">
        <v>90</v>
      </c>
      <c r="C20" s="7">
        <v>241860</v>
      </c>
      <c r="D20" s="7">
        <f>C20</f>
        <v>241860</v>
      </c>
      <c r="E20" s="7" t="str">
        <f t="shared" si="0"/>
        <v>-</v>
      </c>
      <c r="F20" s="42">
        <f t="shared" si="1"/>
        <v>1</v>
      </c>
      <c r="I20" s="89"/>
    </row>
    <row r="21" spans="1:9" ht="31.5" customHeight="1" x14ac:dyDescent="0.4">
      <c r="A21" s="101" t="s">
        <v>91</v>
      </c>
      <c r="B21" s="25" t="s">
        <v>92</v>
      </c>
      <c r="C21" s="7">
        <v>4790</v>
      </c>
      <c r="D21" s="7">
        <f>C21</f>
        <v>4790</v>
      </c>
      <c r="E21" s="7" t="str">
        <f t="shared" si="0"/>
        <v>-</v>
      </c>
      <c r="F21" s="42">
        <f t="shared" si="1"/>
        <v>1</v>
      </c>
      <c r="I21" s="89"/>
    </row>
    <row r="22" spans="1:9" ht="50.25" customHeight="1" x14ac:dyDescent="0.4">
      <c r="A22" s="101" t="s">
        <v>93</v>
      </c>
      <c r="B22" s="25" t="s">
        <v>194</v>
      </c>
      <c r="C22" s="7">
        <v>1412558</v>
      </c>
      <c r="D22" s="7">
        <f>C22</f>
        <v>1412558</v>
      </c>
      <c r="E22" s="7" t="str">
        <f t="shared" si="0"/>
        <v>-</v>
      </c>
      <c r="F22" s="42">
        <f t="shared" si="1"/>
        <v>1</v>
      </c>
      <c r="I22" s="89"/>
    </row>
    <row r="23" spans="1:9" ht="31.5" customHeight="1" x14ac:dyDescent="0.4">
      <c r="A23" s="101" t="s">
        <v>94</v>
      </c>
      <c r="B23" s="26" t="s">
        <v>95</v>
      </c>
      <c r="C23" s="7">
        <v>1911303</v>
      </c>
      <c r="D23" s="7">
        <f>C23</f>
        <v>1911303</v>
      </c>
      <c r="E23" s="7" t="str">
        <f t="shared" si="0"/>
        <v>-</v>
      </c>
      <c r="F23" s="42">
        <f t="shared" si="1"/>
        <v>1</v>
      </c>
      <c r="I23" s="89"/>
    </row>
    <row r="24" spans="1:9" s="10" customFormat="1" ht="36" customHeight="1" x14ac:dyDescent="0.4">
      <c r="A24" s="103" t="s">
        <v>128</v>
      </c>
      <c r="B24" s="70" t="s">
        <v>189</v>
      </c>
      <c r="C24" s="68">
        <f>C25+C26+C56+C57+C58</f>
        <v>81949854</v>
      </c>
      <c r="D24" s="68">
        <f>D25+D26+D56+D57+D58</f>
        <v>81949854</v>
      </c>
      <c r="E24" s="68" t="str">
        <f t="shared" si="0"/>
        <v>-</v>
      </c>
      <c r="F24" s="69">
        <f t="shared" si="1"/>
        <v>1</v>
      </c>
      <c r="I24" s="89"/>
    </row>
    <row r="25" spans="1:9" s="10" customFormat="1" ht="36" customHeight="1" x14ac:dyDescent="0.4">
      <c r="A25" s="103" t="s">
        <v>96</v>
      </c>
      <c r="B25" s="70" t="s">
        <v>97</v>
      </c>
      <c r="C25" s="68">
        <v>791372</v>
      </c>
      <c r="D25" s="68">
        <f>C25-280860</f>
        <v>510512</v>
      </c>
      <c r="E25" s="68">
        <f t="shared" si="0"/>
        <v>-280860</v>
      </c>
      <c r="F25" s="69">
        <f t="shared" si="1"/>
        <v>0.64510000000000001</v>
      </c>
      <c r="I25" s="89"/>
    </row>
    <row r="26" spans="1:9" s="10" customFormat="1" ht="36" customHeight="1" x14ac:dyDescent="0.4">
      <c r="A26" s="103" t="s">
        <v>0</v>
      </c>
      <c r="B26" s="70" t="s">
        <v>200</v>
      </c>
      <c r="C26" s="71">
        <f>C27+C28+C29+C34+C35+C36+C37+C38+C39+C40+C41+C42+C43+C44+C48+C49+C51+C52+C53+C54+C55</f>
        <v>78599089</v>
      </c>
      <c r="D26" s="71">
        <f>D27+D28+D29+D34+D35+D36+D37+D38+D39+D40+D41+D42+D43+D44+D48+D49+D51+D52+D53+D54+D55</f>
        <v>78879949</v>
      </c>
      <c r="E26" s="72">
        <f>IF(C26=D26,"-",D26-C26)</f>
        <v>280860</v>
      </c>
      <c r="F26" s="73">
        <f t="shared" si="1"/>
        <v>1.0036</v>
      </c>
      <c r="I26" s="89"/>
    </row>
    <row r="27" spans="1:9" ht="30" customHeight="1" x14ac:dyDescent="0.4">
      <c r="A27" s="104" t="s">
        <v>1</v>
      </c>
      <c r="B27" s="48" t="s">
        <v>116</v>
      </c>
      <c r="C27" s="7">
        <f>CENTRALA!C7+'Razem OW'!C7</f>
        <v>10544040</v>
      </c>
      <c r="D27" s="7">
        <f>CENTRALA!D7+'Razem OW'!D7</f>
        <v>10544040</v>
      </c>
      <c r="E27" s="7" t="str">
        <f t="shared" si="0"/>
        <v>-</v>
      </c>
      <c r="F27" s="42">
        <f t="shared" si="1"/>
        <v>1</v>
      </c>
      <c r="I27" s="89"/>
    </row>
    <row r="28" spans="1:9" ht="30" customHeight="1" x14ac:dyDescent="0.4">
      <c r="A28" s="104" t="s">
        <v>2</v>
      </c>
      <c r="B28" s="48" t="s">
        <v>117</v>
      </c>
      <c r="C28" s="7">
        <f>CENTRALA!C8+'Razem OW'!C8</f>
        <v>4498003</v>
      </c>
      <c r="D28" s="7">
        <f>CENTRALA!D8+'Razem OW'!D8</f>
        <v>4498003</v>
      </c>
      <c r="E28" s="7" t="str">
        <f>IF(C28=D28,"-",D28-C28)</f>
        <v>-</v>
      </c>
      <c r="F28" s="42">
        <f t="shared" si="1"/>
        <v>1</v>
      </c>
      <c r="I28" s="89"/>
    </row>
    <row r="29" spans="1:9" ht="30" customHeight="1" x14ac:dyDescent="0.4">
      <c r="A29" s="104" t="s">
        <v>3</v>
      </c>
      <c r="B29" s="48" t="s">
        <v>114</v>
      </c>
      <c r="C29" s="7">
        <f>CENTRALA!C9+'Razem OW'!C9</f>
        <v>40134546</v>
      </c>
      <c r="D29" s="7">
        <f>CENTRALA!D9+'Razem OW'!D9</f>
        <v>40314546</v>
      </c>
      <c r="E29" s="7">
        <f t="shared" si="0"/>
        <v>180000</v>
      </c>
      <c r="F29" s="42">
        <f t="shared" si="1"/>
        <v>1.0044999999999999</v>
      </c>
      <c r="I29" s="89"/>
    </row>
    <row r="30" spans="1:9" ht="30" customHeight="1" x14ac:dyDescent="0.4">
      <c r="A30" s="105" t="s">
        <v>54</v>
      </c>
      <c r="B30" s="49" t="s">
        <v>199</v>
      </c>
      <c r="C30" s="7">
        <f>CENTRALA!C10+'Razem OW'!C10</f>
        <v>3626597</v>
      </c>
      <c r="D30" s="7">
        <f>CENTRALA!D10+'Razem OW'!D10</f>
        <v>3626597</v>
      </c>
      <c r="E30" s="7" t="str">
        <f t="shared" si="0"/>
        <v>-</v>
      </c>
      <c r="F30" s="42">
        <f t="shared" si="1"/>
        <v>1</v>
      </c>
      <c r="I30" s="89"/>
    </row>
    <row r="31" spans="1:9" ht="30" customHeight="1" x14ac:dyDescent="0.4">
      <c r="A31" s="105" t="s">
        <v>139</v>
      </c>
      <c r="B31" s="49" t="s">
        <v>142</v>
      </c>
      <c r="C31" s="7">
        <f>CENTRALA!C11+'Razem OW'!C11</f>
        <v>3297242</v>
      </c>
      <c r="D31" s="7">
        <f>CENTRALA!D11+'Razem OW'!D11</f>
        <v>3297242</v>
      </c>
      <c r="E31" s="7" t="str">
        <f t="shared" si="0"/>
        <v>-</v>
      </c>
      <c r="F31" s="42">
        <f t="shared" si="1"/>
        <v>1</v>
      </c>
      <c r="I31" s="89"/>
    </row>
    <row r="32" spans="1:9" ht="30" customHeight="1" x14ac:dyDescent="0.4">
      <c r="A32" s="105" t="s">
        <v>140</v>
      </c>
      <c r="B32" s="49" t="s">
        <v>143</v>
      </c>
      <c r="C32" s="7">
        <f>CENTRALA!C12+'Razem OW'!C12</f>
        <v>1448100</v>
      </c>
      <c r="D32" s="7">
        <f>CENTRALA!D12+'Razem OW'!D12</f>
        <v>1448100</v>
      </c>
      <c r="E32" s="7" t="str">
        <f t="shared" si="0"/>
        <v>-</v>
      </c>
      <c r="F32" s="42">
        <f t="shared" si="1"/>
        <v>1</v>
      </c>
      <c r="I32" s="89"/>
    </row>
    <row r="33" spans="1:9" ht="30" customHeight="1" x14ac:dyDescent="0.4">
      <c r="A33" s="105" t="s">
        <v>141</v>
      </c>
      <c r="B33" s="49" t="s">
        <v>144</v>
      </c>
      <c r="C33" s="7">
        <f>CENTRALA!C13+'Razem OW'!C13</f>
        <v>683143</v>
      </c>
      <c r="D33" s="7">
        <f>CENTRALA!D13+'Razem OW'!D13</f>
        <v>683143</v>
      </c>
      <c r="E33" s="7" t="str">
        <f t="shared" si="0"/>
        <v>-</v>
      </c>
      <c r="F33" s="42">
        <f t="shared" si="1"/>
        <v>1</v>
      </c>
      <c r="I33" s="89"/>
    </row>
    <row r="34" spans="1:9" ht="30" customHeight="1" x14ac:dyDescent="0.4">
      <c r="A34" s="104" t="s">
        <v>4</v>
      </c>
      <c r="B34" s="48" t="s">
        <v>122</v>
      </c>
      <c r="C34" s="7">
        <f>CENTRALA!C14+'Razem OW'!C14</f>
        <v>2852304</v>
      </c>
      <c r="D34" s="7">
        <f>CENTRALA!D14+'Razem OW'!D14</f>
        <v>2910044</v>
      </c>
      <c r="E34" s="7">
        <f t="shared" si="0"/>
        <v>57740</v>
      </c>
      <c r="F34" s="42">
        <f t="shared" si="1"/>
        <v>1.0202</v>
      </c>
      <c r="I34" s="89"/>
    </row>
    <row r="35" spans="1:9" ht="30" customHeight="1" x14ac:dyDescent="0.4">
      <c r="A35" s="104" t="s">
        <v>5</v>
      </c>
      <c r="B35" s="48" t="s">
        <v>118</v>
      </c>
      <c r="C35" s="7">
        <f>CENTRALA!C15+'Razem OW'!C15</f>
        <v>2419700</v>
      </c>
      <c r="D35" s="7">
        <f>CENTRALA!D15+'Razem OW'!D15</f>
        <v>2419700</v>
      </c>
      <c r="E35" s="7" t="str">
        <f t="shared" si="0"/>
        <v>-</v>
      </c>
      <c r="F35" s="42">
        <f t="shared" si="1"/>
        <v>1</v>
      </c>
      <c r="I35" s="89"/>
    </row>
    <row r="36" spans="1:9" ht="30" customHeight="1" x14ac:dyDescent="0.4">
      <c r="A36" s="104" t="s">
        <v>6</v>
      </c>
      <c r="B36" s="48" t="s">
        <v>124</v>
      </c>
      <c r="C36" s="7">
        <f>CENTRALA!C16+'Razem OW'!C16</f>
        <v>1567282</v>
      </c>
      <c r="D36" s="7">
        <f>CENTRALA!D16+'Razem OW'!D16</f>
        <v>1567282</v>
      </c>
      <c r="E36" s="7" t="str">
        <f t="shared" si="0"/>
        <v>-</v>
      </c>
      <c r="F36" s="42">
        <f t="shared" si="1"/>
        <v>1</v>
      </c>
      <c r="I36" s="89"/>
    </row>
    <row r="37" spans="1:9" ht="30" customHeight="1" x14ac:dyDescent="0.4">
      <c r="A37" s="104" t="s">
        <v>7</v>
      </c>
      <c r="B37" s="48" t="s">
        <v>123</v>
      </c>
      <c r="C37" s="7">
        <f>CENTRALA!C17+'Razem OW'!C17</f>
        <v>711836</v>
      </c>
      <c r="D37" s="7">
        <f>CENTRALA!D17+'Razem OW'!D17</f>
        <v>711836</v>
      </c>
      <c r="E37" s="7" t="str">
        <f>IF(C37=D37,"-",D37-C37)</f>
        <v>-</v>
      </c>
      <c r="F37" s="42">
        <f>IF(C37=0,"-",D37/C37)</f>
        <v>1</v>
      </c>
      <c r="I37" s="89"/>
    </row>
    <row r="38" spans="1:9" ht="30" customHeight="1" x14ac:dyDescent="0.4">
      <c r="A38" s="104" t="s">
        <v>8</v>
      </c>
      <c r="B38" s="48" t="s">
        <v>119</v>
      </c>
      <c r="C38" s="7">
        <f>CENTRALA!C18+'Razem OW'!C18</f>
        <v>1896520</v>
      </c>
      <c r="D38" s="7">
        <f>CENTRALA!D18+'Razem OW'!D18</f>
        <v>1896520</v>
      </c>
      <c r="E38" s="7" t="str">
        <f t="shared" si="0"/>
        <v>-</v>
      </c>
      <c r="F38" s="42">
        <f t="shared" si="1"/>
        <v>1</v>
      </c>
      <c r="I38" s="89"/>
    </row>
    <row r="39" spans="1:9" ht="30" customHeight="1" x14ac:dyDescent="0.4">
      <c r="A39" s="104" t="s">
        <v>9</v>
      </c>
      <c r="B39" s="48" t="s">
        <v>120</v>
      </c>
      <c r="C39" s="7">
        <f>CENTRALA!C19+'Razem OW'!C19</f>
        <v>683924</v>
      </c>
      <c r="D39" s="7">
        <f>CENTRALA!D19+'Razem OW'!D19</f>
        <v>683924</v>
      </c>
      <c r="E39" s="7" t="str">
        <f t="shared" si="0"/>
        <v>-</v>
      </c>
      <c r="F39" s="42">
        <f t="shared" si="1"/>
        <v>1</v>
      </c>
      <c r="I39" s="89"/>
    </row>
    <row r="40" spans="1:9" ht="30" customHeight="1" x14ac:dyDescent="0.4">
      <c r="A40" s="104" t="s">
        <v>10</v>
      </c>
      <c r="B40" s="48" t="s">
        <v>125</v>
      </c>
      <c r="C40" s="7">
        <f>CENTRALA!C20+'Razem OW'!C20</f>
        <v>49909</v>
      </c>
      <c r="D40" s="7">
        <f>CENTRALA!D20+'Razem OW'!D20</f>
        <v>49909</v>
      </c>
      <c r="E40" s="7" t="str">
        <f t="shared" si="0"/>
        <v>-</v>
      </c>
      <c r="F40" s="42">
        <f t="shared" si="1"/>
        <v>1</v>
      </c>
      <c r="I40" s="89"/>
    </row>
    <row r="41" spans="1:9" ht="40.5" x14ac:dyDescent="0.4">
      <c r="A41" s="104" t="s">
        <v>11</v>
      </c>
      <c r="B41" s="48" t="s">
        <v>121</v>
      </c>
      <c r="C41" s="7">
        <f>CENTRALA!C21+'Razem OW'!C21</f>
        <v>203266</v>
      </c>
      <c r="D41" s="7">
        <f>CENTRALA!D21+'Razem OW'!D21</f>
        <v>203266</v>
      </c>
      <c r="E41" s="7" t="str">
        <f t="shared" si="0"/>
        <v>-</v>
      </c>
      <c r="F41" s="42">
        <f t="shared" si="1"/>
        <v>1</v>
      </c>
      <c r="I41" s="89"/>
    </row>
    <row r="42" spans="1:9" ht="30" customHeight="1" x14ac:dyDescent="0.4">
      <c r="A42" s="104" t="s">
        <v>12</v>
      </c>
      <c r="B42" s="48" t="s">
        <v>161</v>
      </c>
      <c r="C42" s="7">
        <f>CENTRALA!C22+'Razem OW'!C22</f>
        <v>2032132</v>
      </c>
      <c r="D42" s="7">
        <f>CENTRALA!D22+'Razem OW'!D22</f>
        <v>2032132</v>
      </c>
      <c r="E42" s="7" t="str">
        <f t="shared" si="0"/>
        <v>-</v>
      </c>
      <c r="F42" s="42">
        <f t="shared" si="1"/>
        <v>1</v>
      </c>
      <c r="I42" s="89"/>
    </row>
    <row r="43" spans="1:9" ht="40.5" x14ac:dyDescent="0.4">
      <c r="A43" s="104" t="s">
        <v>13</v>
      </c>
      <c r="B43" s="48" t="s">
        <v>145</v>
      </c>
      <c r="C43" s="7">
        <f>CENTRALA!C23+'Razem OW'!C23</f>
        <v>1076269</v>
      </c>
      <c r="D43" s="7">
        <f>CENTRALA!D23+'Razem OW'!D23</f>
        <v>1076269</v>
      </c>
      <c r="E43" s="7" t="str">
        <f t="shared" si="0"/>
        <v>-</v>
      </c>
      <c r="F43" s="42">
        <f t="shared" si="1"/>
        <v>1</v>
      </c>
      <c r="I43" s="89"/>
    </row>
    <row r="44" spans="1:9" ht="30" customHeight="1" x14ac:dyDescent="0.4">
      <c r="A44" s="106" t="s">
        <v>14</v>
      </c>
      <c r="B44" s="50" t="s">
        <v>177</v>
      </c>
      <c r="C44" s="7">
        <f>CENTRALA!C24+'Razem OW'!C24</f>
        <v>8355367</v>
      </c>
      <c r="D44" s="7">
        <f>CENTRALA!D24+'Razem OW'!D24</f>
        <v>8355367</v>
      </c>
      <c r="E44" s="7" t="str">
        <f t="shared" si="0"/>
        <v>-</v>
      </c>
      <c r="F44" s="42">
        <f t="shared" si="1"/>
        <v>1</v>
      </c>
      <c r="I44" s="89"/>
    </row>
    <row r="45" spans="1:9" ht="41.25" customHeight="1" x14ac:dyDescent="0.4">
      <c r="A45" s="105" t="s">
        <v>126</v>
      </c>
      <c r="B45" s="49" t="s">
        <v>147</v>
      </c>
      <c r="C45" s="7">
        <f>CENTRALA!C25+'Razem OW'!C25</f>
        <v>8321856</v>
      </c>
      <c r="D45" s="7">
        <f>CENTRALA!D25+'Razem OW'!D25</f>
        <v>8321856</v>
      </c>
      <c r="E45" s="7" t="str">
        <f t="shared" si="0"/>
        <v>-</v>
      </c>
      <c r="F45" s="42">
        <f t="shared" si="1"/>
        <v>1</v>
      </c>
      <c r="I45" s="89"/>
    </row>
    <row r="46" spans="1:9" ht="30" customHeight="1" x14ac:dyDescent="0.4">
      <c r="A46" s="105" t="s">
        <v>146</v>
      </c>
      <c r="B46" s="49" t="s">
        <v>149</v>
      </c>
      <c r="C46" s="7">
        <f>CENTRALA!C26+'Razem OW'!C26</f>
        <v>20622</v>
      </c>
      <c r="D46" s="7">
        <f>CENTRALA!D26+'Razem OW'!D26</f>
        <v>20622</v>
      </c>
      <c r="E46" s="7" t="str">
        <f t="shared" si="0"/>
        <v>-</v>
      </c>
      <c r="F46" s="42">
        <f t="shared" si="1"/>
        <v>1</v>
      </c>
      <c r="I46" s="89"/>
    </row>
    <row r="47" spans="1:9" ht="41.25" customHeight="1" x14ac:dyDescent="0.4">
      <c r="A47" s="105" t="s">
        <v>150</v>
      </c>
      <c r="B47" s="49" t="s">
        <v>148</v>
      </c>
      <c r="C47" s="7">
        <f>CENTRALA!C27+'Razem OW'!C27</f>
        <v>12889</v>
      </c>
      <c r="D47" s="7">
        <f>CENTRALA!D27+'Razem OW'!D27</f>
        <v>12889</v>
      </c>
      <c r="E47" s="7" t="str">
        <f t="shared" si="0"/>
        <v>-</v>
      </c>
      <c r="F47" s="42">
        <f t="shared" si="1"/>
        <v>1</v>
      </c>
      <c r="I47" s="89"/>
    </row>
    <row r="48" spans="1:9" ht="31.5" customHeight="1" x14ac:dyDescent="0.4">
      <c r="A48" s="96" t="s">
        <v>15</v>
      </c>
      <c r="B48" s="51" t="s">
        <v>110</v>
      </c>
      <c r="C48" s="7">
        <f>CENTRALA!C28+'Razem OW'!C28</f>
        <v>668390</v>
      </c>
      <c r="D48" s="7">
        <f>CENTRALA!D28+'Razem OW'!D28</f>
        <v>668390</v>
      </c>
      <c r="E48" s="7" t="str">
        <f t="shared" si="0"/>
        <v>-</v>
      </c>
      <c r="F48" s="42">
        <f t="shared" si="1"/>
        <v>1</v>
      </c>
      <c r="I48" s="89"/>
    </row>
    <row r="49" spans="1:9" ht="31.5" customHeight="1" x14ac:dyDescent="0.4">
      <c r="A49" s="96" t="s">
        <v>107</v>
      </c>
      <c r="B49" s="24" t="s">
        <v>151</v>
      </c>
      <c r="C49" s="7">
        <f>CENTRALA!C29+'Razem OW'!C29</f>
        <v>115784</v>
      </c>
      <c r="D49" s="7">
        <f>CENTRALA!D29+'Razem OW'!D29</f>
        <v>115784</v>
      </c>
      <c r="E49" s="7" t="str">
        <f t="shared" si="0"/>
        <v>-</v>
      </c>
      <c r="F49" s="42">
        <f t="shared" si="1"/>
        <v>1</v>
      </c>
      <c r="I49" s="89"/>
    </row>
    <row r="50" spans="1:9" ht="30" customHeight="1" x14ac:dyDescent="0.4">
      <c r="A50" s="105" t="s">
        <v>152</v>
      </c>
      <c r="B50" s="49" t="s">
        <v>163</v>
      </c>
      <c r="C50" s="7">
        <f>CENTRALA!C30+'Razem OW'!C30</f>
        <v>12390</v>
      </c>
      <c r="D50" s="7">
        <f>CENTRALA!D30+'Razem OW'!D30</f>
        <v>12390</v>
      </c>
      <c r="E50" s="7" t="str">
        <f t="shared" si="0"/>
        <v>-</v>
      </c>
      <c r="F50" s="42">
        <f t="shared" si="1"/>
        <v>1</v>
      </c>
      <c r="I50" s="89"/>
    </row>
    <row r="51" spans="1:9" ht="30" customHeight="1" x14ac:dyDescent="0.4">
      <c r="A51" s="96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  <c r="I51" s="89"/>
    </row>
    <row r="52" spans="1:9" ht="30" customHeight="1" x14ac:dyDescent="0.4">
      <c r="A52" s="96" t="s">
        <v>109</v>
      </c>
      <c r="B52" s="24" t="s">
        <v>162</v>
      </c>
      <c r="C52" s="7">
        <f>CENTRALA!C32+'Razem OW'!C32</f>
        <v>345506</v>
      </c>
      <c r="D52" s="7">
        <f>CENTRALA!D32+'Razem OW'!D32</f>
        <v>345506</v>
      </c>
      <c r="E52" s="7" t="str">
        <f t="shared" si="0"/>
        <v>-</v>
      </c>
      <c r="F52" s="42">
        <f t="shared" si="1"/>
        <v>1</v>
      </c>
      <c r="I52" s="89"/>
    </row>
    <row r="53" spans="1:9" ht="40.5" x14ac:dyDescent="0.4">
      <c r="A53" s="96" t="s">
        <v>178</v>
      </c>
      <c r="B53" s="24" t="s">
        <v>179</v>
      </c>
      <c r="C53" s="7">
        <f>CENTRALA!C33+'Razem OW'!C33</f>
        <v>404999</v>
      </c>
      <c r="D53" s="7">
        <f>CENTRALA!D33+'Razem OW'!D33</f>
        <v>404999</v>
      </c>
      <c r="E53" s="7" t="str">
        <f>IF(C53=D53,"-",D53-C53)</f>
        <v>-</v>
      </c>
      <c r="F53" s="42">
        <f>IF(C53=0,"-",D53/C53)</f>
        <v>1</v>
      </c>
      <c r="I53" s="89"/>
    </row>
    <row r="54" spans="1:9" ht="30" customHeight="1" x14ac:dyDescent="0.4">
      <c r="A54" s="96" t="s">
        <v>185</v>
      </c>
      <c r="B54" s="24" t="s">
        <v>186</v>
      </c>
      <c r="C54" s="7">
        <f>CENTRALA!C34+'Razem OW'!C34</f>
        <v>22877</v>
      </c>
      <c r="D54" s="7">
        <f>CENTRALA!D34+'Razem OW'!D34</f>
        <v>22877</v>
      </c>
      <c r="E54" s="7" t="str">
        <f>IF(C54=D54,"-",D54-C54)</f>
        <v>-</v>
      </c>
      <c r="F54" s="42">
        <f>IF(C54=0,"-",D54/C54)</f>
        <v>1</v>
      </c>
      <c r="I54" s="89"/>
    </row>
    <row r="55" spans="1:9" ht="42" customHeight="1" x14ac:dyDescent="0.4">
      <c r="A55" s="96" t="s">
        <v>196</v>
      </c>
      <c r="B55" s="24" t="s">
        <v>197</v>
      </c>
      <c r="C55" s="7">
        <f>CENTRALA!C35+'Razem OW'!C35</f>
        <v>16435</v>
      </c>
      <c r="D55" s="7">
        <f>CENTRALA!D35+'Razem OW'!D35</f>
        <v>59555</v>
      </c>
      <c r="E55" s="7">
        <f>IF(C55=D55,"-",D55-C55)</f>
        <v>43120</v>
      </c>
      <c r="F55" s="42">
        <f>IF(C55=0,"-",D55/C55)</f>
        <v>3.6236999999999999</v>
      </c>
      <c r="I55" s="89"/>
    </row>
    <row r="56" spans="1:9" s="10" customFormat="1" ht="30.75" customHeight="1" x14ac:dyDescent="0.4">
      <c r="A56" s="107" t="s">
        <v>56</v>
      </c>
      <c r="B56" s="74" t="s">
        <v>98</v>
      </c>
      <c r="C56" s="75">
        <f>CENTRALA!C36+'Razem OW'!C36</f>
        <v>4790</v>
      </c>
      <c r="D56" s="75">
        <f>C56</f>
        <v>4790</v>
      </c>
      <c r="E56" s="75" t="str">
        <f t="shared" si="0"/>
        <v>-</v>
      </c>
      <c r="F56" s="76">
        <f t="shared" si="1"/>
        <v>1</v>
      </c>
      <c r="I56" s="89"/>
    </row>
    <row r="57" spans="1:9" s="10" customFormat="1" ht="30.75" customHeight="1" x14ac:dyDescent="0.4">
      <c r="A57" s="99" t="s">
        <v>55</v>
      </c>
      <c r="B57" s="74" t="s">
        <v>58</v>
      </c>
      <c r="C57" s="68">
        <f>CENTRALA!C37+'Razem OW'!C37</f>
        <v>1911303</v>
      </c>
      <c r="D57" s="68">
        <f>CENTRALA!D37+'Razem OW'!D37</f>
        <v>1911303</v>
      </c>
      <c r="E57" s="68" t="str">
        <f t="shared" si="0"/>
        <v>-</v>
      </c>
      <c r="F57" s="69">
        <f t="shared" si="1"/>
        <v>1</v>
      </c>
      <c r="I57" s="89"/>
    </row>
    <row r="58" spans="1:9" s="10" customFormat="1" ht="60.75" x14ac:dyDescent="0.4">
      <c r="A58" s="99" t="s">
        <v>187</v>
      </c>
      <c r="B58" s="74" t="s">
        <v>188</v>
      </c>
      <c r="C58" s="68">
        <f>CENTRALA!C38+'Razem OW'!C38</f>
        <v>643300</v>
      </c>
      <c r="D58" s="68">
        <f>CENTRALA!D38+'Razem OW'!D38</f>
        <v>643300</v>
      </c>
      <c r="E58" s="68" t="str">
        <f t="shared" si="0"/>
        <v>-</v>
      </c>
      <c r="F58" s="69">
        <f t="shared" si="1"/>
        <v>1</v>
      </c>
      <c r="I58" s="89"/>
    </row>
    <row r="59" spans="1:9" s="10" customFormat="1" ht="45.75" customHeight="1" x14ac:dyDescent="0.4">
      <c r="A59" s="99" t="s">
        <v>153</v>
      </c>
      <c r="B59" s="74" t="s">
        <v>154</v>
      </c>
      <c r="C59" s="68">
        <f>CENTRALA!C39+'Razem OW'!C39</f>
        <v>12348142</v>
      </c>
      <c r="D59" s="68">
        <f>CENTRALA!D39+'Razem OW'!D39</f>
        <v>12348142</v>
      </c>
      <c r="E59" s="68" t="str">
        <f>IF(C59=D59,"-",D59-C59)</f>
        <v>-</v>
      </c>
      <c r="F59" s="69">
        <f t="shared" si="1"/>
        <v>1</v>
      </c>
      <c r="I59" s="89"/>
    </row>
    <row r="60" spans="1:9" s="10" customFormat="1" ht="33" customHeight="1" x14ac:dyDescent="0.4">
      <c r="A60" s="100" t="s">
        <v>129</v>
      </c>
      <c r="B60" s="67" t="s">
        <v>191</v>
      </c>
      <c r="C60" s="68">
        <f>C19-C24</f>
        <v>727135</v>
      </c>
      <c r="D60" s="68">
        <f>D19-D24</f>
        <v>727135</v>
      </c>
      <c r="E60" s="68" t="str">
        <f t="shared" si="0"/>
        <v>-</v>
      </c>
      <c r="F60" s="69">
        <f t="shared" si="1"/>
        <v>1</v>
      </c>
      <c r="I60" s="89"/>
    </row>
    <row r="61" spans="1:9" s="10" customFormat="1" ht="33" customHeight="1" x14ac:dyDescent="0.4">
      <c r="A61" s="100" t="s">
        <v>130</v>
      </c>
      <c r="B61" s="67" t="s">
        <v>180</v>
      </c>
      <c r="C61" s="68">
        <f>C62+C63+C64+C72+C74+C79+C80+C81</f>
        <v>785854</v>
      </c>
      <c r="D61" s="68">
        <f>D62+D63+D64+D72+D74+D79+D80+D81</f>
        <v>785854</v>
      </c>
      <c r="E61" s="68" t="str">
        <f t="shared" si="0"/>
        <v>-</v>
      </c>
      <c r="F61" s="69">
        <f t="shared" si="1"/>
        <v>1</v>
      </c>
      <c r="I61" s="89"/>
    </row>
    <row r="62" spans="1:9" ht="30" customHeight="1" x14ac:dyDescent="0.4">
      <c r="A62" s="96" t="s">
        <v>16</v>
      </c>
      <c r="B62" s="23" t="s">
        <v>17</v>
      </c>
      <c r="C62" s="7">
        <f>CENTRALA!C41+'Razem OW'!C41</f>
        <v>25081</v>
      </c>
      <c r="D62" s="7">
        <f>CENTRALA!D41+'Razem OW'!D41</f>
        <v>25081</v>
      </c>
      <c r="E62" s="7" t="str">
        <f t="shared" si="0"/>
        <v>-</v>
      </c>
      <c r="F62" s="42">
        <f t="shared" si="1"/>
        <v>1</v>
      </c>
      <c r="I62" s="89"/>
    </row>
    <row r="63" spans="1:9" ht="30" customHeight="1" x14ac:dyDescent="0.4">
      <c r="A63" s="96" t="s">
        <v>18</v>
      </c>
      <c r="B63" s="23" t="s">
        <v>19</v>
      </c>
      <c r="C63" s="7">
        <f>CENTRALA!C42+'Razem OW'!C42</f>
        <v>194182</v>
      </c>
      <c r="D63" s="7">
        <f>CENTRALA!D42+'Razem OW'!D42</f>
        <v>194182</v>
      </c>
      <c r="E63" s="7" t="str">
        <f t="shared" si="0"/>
        <v>-</v>
      </c>
      <c r="F63" s="42">
        <f t="shared" si="1"/>
        <v>1</v>
      </c>
      <c r="I63" s="89"/>
    </row>
    <row r="64" spans="1:9" ht="30" customHeight="1" x14ac:dyDescent="0.4">
      <c r="A64" s="96" t="s">
        <v>20</v>
      </c>
      <c r="B64" s="27" t="s">
        <v>181</v>
      </c>
      <c r="C64" s="7">
        <f>C65+C67+C68+C69+C70+C71</f>
        <v>5015</v>
      </c>
      <c r="D64" s="7">
        <f>D65+D67+D68+D69+D70+D71</f>
        <v>5015</v>
      </c>
      <c r="E64" s="7" t="str">
        <f t="shared" si="0"/>
        <v>-</v>
      </c>
      <c r="F64" s="42">
        <f t="shared" si="1"/>
        <v>1</v>
      </c>
      <c r="I64" s="89"/>
    </row>
    <row r="65" spans="1:9" s="8" customFormat="1" ht="30" customHeight="1" x14ac:dyDescent="0.4">
      <c r="A65" s="108" t="s">
        <v>37</v>
      </c>
      <c r="B65" s="52" t="s">
        <v>30</v>
      </c>
      <c r="C65" s="7">
        <f>CENTRALA!C44+'Razem OW'!C44</f>
        <v>687</v>
      </c>
      <c r="D65" s="7">
        <f>CENTRALA!D44+'Razem OW'!D44</f>
        <v>687</v>
      </c>
      <c r="E65" s="7" t="str">
        <f t="shared" si="0"/>
        <v>-</v>
      </c>
      <c r="F65" s="42">
        <f t="shared" si="1"/>
        <v>1</v>
      </c>
      <c r="I65" s="89"/>
    </row>
    <row r="66" spans="1:9" s="8" customFormat="1" ht="30" customHeight="1" x14ac:dyDescent="0.4">
      <c r="A66" s="108" t="s">
        <v>38</v>
      </c>
      <c r="B66" s="53" t="s">
        <v>31</v>
      </c>
      <c r="C66" s="7">
        <f>CENTRALA!C45+'Razem OW'!C45</f>
        <v>684</v>
      </c>
      <c r="D66" s="7">
        <f>CENTRALA!D45+'Razem OW'!D45</f>
        <v>684</v>
      </c>
      <c r="E66" s="7" t="str">
        <f t="shared" si="0"/>
        <v>-</v>
      </c>
      <c r="F66" s="42">
        <f t="shared" si="1"/>
        <v>1</v>
      </c>
      <c r="I66" s="89"/>
    </row>
    <row r="67" spans="1:9" s="8" customFormat="1" ht="30" customHeight="1" x14ac:dyDescent="0.4">
      <c r="A67" s="108" t="s">
        <v>39</v>
      </c>
      <c r="B67" s="52" t="s">
        <v>32</v>
      </c>
      <c r="C67" s="7">
        <f>CENTRALA!C46+'Razem OW'!C46</f>
        <v>706</v>
      </c>
      <c r="D67" s="7">
        <f>CENTRALA!D46+'Razem OW'!D46</f>
        <v>706</v>
      </c>
      <c r="E67" s="7" t="str">
        <f t="shared" si="0"/>
        <v>-</v>
      </c>
      <c r="F67" s="42">
        <f t="shared" si="1"/>
        <v>1</v>
      </c>
      <c r="I67" s="89"/>
    </row>
    <row r="68" spans="1:9" s="8" customFormat="1" ht="30" customHeight="1" x14ac:dyDescent="0.4">
      <c r="A68" s="108" t="s">
        <v>40</v>
      </c>
      <c r="B68" s="52" t="s">
        <v>33</v>
      </c>
      <c r="C68" s="7">
        <f>CENTRALA!C47+'Razem OW'!C47</f>
        <v>19</v>
      </c>
      <c r="D68" s="7">
        <f>CENTRALA!D47+'Razem OW'!D47</f>
        <v>19</v>
      </c>
      <c r="E68" s="7" t="str">
        <f t="shared" si="0"/>
        <v>-</v>
      </c>
      <c r="F68" s="42">
        <f t="shared" si="1"/>
        <v>1</v>
      </c>
      <c r="I68" s="89"/>
    </row>
    <row r="69" spans="1:9" s="8" customFormat="1" ht="30" customHeight="1" x14ac:dyDescent="0.4">
      <c r="A69" s="108" t="s">
        <v>41</v>
      </c>
      <c r="B69" s="52" t="s">
        <v>34</v>
      </c>
      <c r="C69" s="7">
        <f>CENTRALA!C48+'Razem OW'!C48</f>
        <v>0</v>
      </c>
      <c r="D69" s="7">
        <f>CENTRALA!D48+'Razem OW'!D48</f>
        <v>0</v>
      </c>
      <c r="E69" s="7" t="str">
        <f t="shared" si="0"/>
        <v>-</v>
      </c>
      <c r="F69" s="42" t="str">
        <f t="shared" si="1"/>
        <v>-</v>
      </c>
      <c r="I69" s="89"/>
    </row>
    <row r="70" spans="1:9" s="8" customFormat="1" ht="30" customHeight="1" x14ac:dyDescent="0.4">
      <c r="A70" s="108" t="s">
        <v>42</v>
      </c>
      <c r="B70" s="52" t="s">
        <v>35</v>
      </c>
      <c r="C70" s="7">
        <f>CENTRALA!C49+'Razem OW'!C49</f>
        <v>2959</v>
      </c>
      <c r="D70" s="7">
        <f>CENTRALA!D49+'Razem OW'!D49</f>
        <v>2959</v>
      </c>
      <c r="E70" s="7" t="str">
        <f t="shared" si="0"/>
        <v>-</v>
      </c>
      <c r="F70" s="42">
        <f t="shared" si="1"/>
        <v>1</v>
      </c>
      <c r="I70" s="89"/>
    </row>
    <row r="71" spans="1:9" s="9" customFormat="1" ht="30" customHeight="1" x14ac:dyDescent="0.4">
      <c r="A71" s="108" t="s">
        <v>43</v>
      </c>
      <c r="B71" s="52" t="s">
        <v>36</v>
      </c>
      <c r="C71" s="7">
        <f>CENTRALA!C50+'Razem OW'!C50</f>
        <v>644</v>
      </c>
      <c r="D71" s="7">
        <f>CENTRALA!D50+'Razem OW'!D50</f>
        <v>644</v>
      </c>
      <c r="E71" s="7" t="str">
        <f t="shared" si="0"/>
        <v>-</v>
      </c>
      <c r="F71" s="42">
        <f t="shared" si="1"/>
        <v>1</v>
      </c>
      <c r="I71" s="89"/>
    </row>
    <row r="72" spans="1:9" ht="30" customHeight="1" x14ac:dyDescent="0.4">
      <c r="A72" s="96" t="s">
        <v>21</v>
      </c>
      <c r="B72" s="23" t="s">
        <v>155</v>
      </c>
      <c r="C72" s="7">
        <f>CENTRALA!C51+'Razem OW'!C51</f>
        <v>358578</v>
      </c>
      <c r="D72" s="7">
        <f>CENTRALA!D51+'Razem OW'!D51</f>
        <v>358578</v>
      </c>
      <c r="E72" s="7" t="str">
        <f t="shared" si="0"/>
        <v>-</v>
      </c>
      <c r="F72" s="42">
        <f t="shared" si="1"/>
        <v>1</v>
      </c>
      <c r="I72" s="89"/>
    </row>
    <row r="73" spans="1:9" ht="30" customHeight="1" x14ac:dyDescent="0.4">
      <c r="A73" s="108" t="s">
        <v>156</v>
      </c>
      <c r="B73" s="52" t="s">
        <v>157</v>
      </c>
      <c r="C73" s="7">
        <f>CENTRALA!C52+'Razem OW'!C52</f>
        <v>1532</v>
      </c>
      <c r="D73" s="7">
        <f>CENTRALA!D52+'Razem OW'!D52</f>
        <v>1532</v>
      </c>
      <c r="E73" s="7" t="str">
        <f t="shared" si="0"/>
        <v>-</v>
      </c>
      <c r="F73" s="42">
        <f t="shared" si="1"/>
        <v>1</v>
      </c>
      <c r="I73" s="89"/>
    </row>
    <row r="74" spans="1:9" ht="30" customHeight="1" x14ac:dyDescent="0.4">
      <c r="A74" s="96" t="s">
        <v>22</v>
      </c>
      <c r="B74" s="27" t="s">
        <v>182</v>
      </c>
      <c r="C74" s="7">
        <f>SUM(C75:C78)</f>
        <v>81164</v>
      </c>
      <c r="D74" s="7">
        <f>SUM(D75:D78)</f>
        <v>81164</v>
      </c>
      <c r="E74" s="7" t="str">
        <f t="shared" si="0"/>
        <v>-</v>
      </c>
      <c r="F74" s="42">
        <f t="shared" si="1"/>
        <v>1</v>
      </c>
      <c r="I74" s="89"/>
    </row>
    <row r="75" spans="1:9" s="8" customFormat="1" ht="30" customHeight="1" x14ac:dyDescent="0.4">
      <c r="A75" s="108" t="s">
        <v>48</v>
      </c>
      <c r="B75" s="52" t="s">
        <v>44</v>
      </c>
      <c r="C75" s="7">
        <f>CENTRALA!C54+'Razem OW'!C54</f>
        <v>61397</v>
      </c>
      <c r="D75" s="7">
        <f>CENTRALA!D54+'Razem OW'!D54</f>
        <v>61397</v>
      </c>
      <c r="E75" s="7" t="str">
        <f t="shared" si="0"/>
        <v>-</v>
      </c>
      <c r="F75" s="42">
        <f t="shared" si="1"/>
        <v>1</v>
      </c>
      <c r="I75" s="89"/>
    </row>
    <row r="76" spans="1:9" s="8" customFormat="1" ht="30" customHeight="1" x14ac:dyDescent="0.4">
      <c r="A76" s="108" t="s">
        <v>49</v>
      </c>
      <c r="B76" s="52" t="s">
        <v>45</v>
      </c>
      <c r="C76" s="7">
        <f>CENTRALA!C55+'Razem OW'!C55</f>
        <v>8608</v>
      </c>
      <c r="D76" s="7">
        <f>CENTRALA!D55+'Razem OW'!D55</f>
        <v>8608</v>
      </c>
      <c r="E76" s="7" t="str">
        <f t="shared" si="0"/>
        <v>-</v>
      </c>
      <c r="F76" s="42">
        <f t="shared" si="1"/>
        <v>1</v>
      </c>
      <c r="I76" s="89"/>
    </row>
    <row r="77" spans="1:9" s="8" customFormat="1" ht="30" customHeight="1" x14ac:dyDescent="0.4">
      <c r="A77" s="108" t="s">
        <v>50</v>
      </c>
      <c r="B77" s="52" t="s">
        <v>46</v>
      </c>
      <c r="C77" s="7">
        <f>CENTRALA!C56+'Razem OW'!C56</f>
        <v>0</v>
      </c>
      <c r="D77" s="7">
        <f>CENTRALA!D56+'Razem OW'!D56</f>
        <v>0</v>
      </c>
      <c r="E77" s="7" t="str">
        <f t="shared" si="0"/>
        <v>-</v>
      </c>
      <c r="F77" s="42" t="str">
        <f t="shared" si="1"/>
        <v>-</v>
      </c>
      <c r="I77" s="89"/>
    </row>
    <row r="78" spans="1:9" s="8" customFormat="1" ht="30" customHeight="1" x14ac:dyDescent="0.4">
      <c r="A78" s="108" t="s">
        <v>51</v>
      </c>
      <c r="B78" s="52" t="s">
        <v>47</v>
      </c>
      <c r="C78" s="7">
        <f>CENTRALA!C57+'Razem OW'!C57</f>
        <v>11159</v>
      </c>
      <c r="D78" s="7">
        <f>CENTRALA!D57+'Razem OW'!D57</f>
        <v>11159</v>
      </c>
      <c r="E78" s="7" t="str">
        <f t="shared" si="0"/>
        <v>-</v>
      </c>
      <c r="F78" s="42">
        <f t="shared" si="1"/>
        <v>1</v>
      </c>
      <c r="I78" s="89"/>
    </row>
    <row r="79" spans="1:9" ht="30.75" customHeight="1" x14ac:dyDescent="0.4">
      <c r="A79" s="96" t="s">
        <v>23</v>
      </c>
      <c r="B79" s="23" t="s">
        <v>24</v>
      </c>
      <c r="C79" s="7">
        <f>CENTRALA!C58+'Razem OW'!C58</f>
        <v>50</v>
      </c>
      <c r="D79" s="7">
        <f>CENTRALA!D58+'Razem OW'!D58</f>
        <v>50</v>
      </c>
      <c r="E79" s="7" t="str">
        <f t="shared" si="0"/>
        <v>-</v>
      </c>
      <c r="F79" s="42">
        <f t="shared" si="1"/>
        <v>1</v>
      </c>
      <c r="I79" s="89"/>
    </row>
    <row r="80" spans="1:9" ht="30.75" customHeight="1" x14ac:dyDescent="0.4">
      <c r="A80" s="96" t="s">
        <v>25</v>
      </c>
      <c r="B80" s="23" t="s">
        <v>158</v>
      </c>
      <c r="C80" s="7">
        <f>CENTRALA!C59+'Razem OW'!C59</f>
        <v>114861</v>
      </c>
      <c r="D80" s="7">
        <f>CENTRALA!D59+'Razem OW'!D59</f>
        <v>114861</v>
      </c>
      <c r="E80" s="7" t="str">
        <f t="shared" si="0"/>
        <v>-</v>
      </c>
      <c r="F80" s="42">
        <f t="shared" si="1"/>
        <v>1</v>
      </c>
      <c r="I80" s="89"/>
    </row>
    <row r="81" spans="1:9" ht="30.75" customHeight="1" x14ac:dyDescent="0.4">
      <c r="A81" s="96" t="s">
        <v>26</v>
      </c>
      <c r="B81" s="23" t="s">
        <v>27</v>
      </c>
      <c r="C81" s="7">
        <f>CENTRALA!C60+'Razem OW'!C60</f>
        <v>6923</v>
      </c>
      <c r="D81" s="7">
        <f>CENTRALA!D60+'Razem OW'!D60</f>
        <v>6923</v>
      </c>
      <c r="E81" s="7" t="str">
        <f t="shared" si="0"/>
        <v>-</v>
      </c>
      <c r="F81" s="42">
        <f t="shared" si="1"/>
        <v>1</v>
      </c>
      <c r="I81" s="89"/>
    </row>
    <row r="82" spans="1:9" s="10" customFormat="1" ht="33" customHeight="1" x14ac:dyDescent="0.4">
      <c r="A82" s="109" t="s">
        <v>131</v>
      </c>
      <c r="B82" s="78" t="s">
        <v>160</v>
      </c>
      <c r="C82" s="68">
        <v>344044</v>
      </c>
      <c r="D82" s="68">
        <f>C82</f>
        <v>344044</v>
      </c>
      <c r="E82" s="68" t="str">
        <f t="shared" si="0"/>
        <v>-</v>
      </c>
      <c r="F82" s="69">
        <f t="shared" si="1"/>
        <v>1</v>
      </c>
      <c r="I82" s="89"/>
    </row>
    <row r="83" spans="1:9" s="10" customFormat="1" ht="33" customHeight="1" x14ac:dyDescent="0.4">
      <c r="A83" s="109" t="s">
        <v>132</v>
      </c>
      <c r="B83" s="78" t="s">
        <v>171</v>
      </c>
      <c r="C83" s="68">
        <f>C84+C85+C86+C87</f>
        <v>256924</v>
      </c>
      <c r="D83" s="68">
        <f>D84+D85+D86+D87</f>
        <v>256924</v>
      </c>
      <c r="E83" s="68" t="str">
        <f t="shared" ref="E83:E94" si="2">IF(C83=D83,"-",D83-C83)</f>
        <v>-</v>
      </c>
      <c r="F83" s="69">
        <f t="shared" ref="F83:F94" si="3">IF(C83=0,"-",D83/C83)</f>
        <v>1</v>
      </c>
      <c r="I83" s="89"/>
    </row>
    <row r="84" spans="1:9" ht="47.25" customHeight="1" x14ac:dyDescent="0.4">
      <c r="A84" s="101" t="s">
        <v>99</v>
      </c>
      <c r="B84" s="24" t="s">
        <v>112</v>
      </c>
      <c r="C84" s="7">
        <f>CENTRALA!C62+'Razem OW'!C62</f>
        <v>1282</v>
      </c>
      <c r="D84" s="7">
        <f>CENTRALA!D62+'Razem OW'!D62</f>
        <v>1282</v>
      </c>
      <c r="E84" s="7" t="str">
        <f t="shared" si="2"/>
        <v>-</v>
      </c>
      <c r="F84" s="42">
        <f t="shared" si="3"/>
        <v>1</v>
      </c>
      <c r="I84" s="89"/>
    </row>
    <row r="85" spans="1:9" ht="33.75" customHeight="1" x14ac:dyDescent="0.4">
      <c r="A85" s="101" t="s">
        <v>28</v>
      </c>
      <c r="B85" s="24" t="s">
        <v>53</v>
      </c>
      <c r="C85" s="7">
        <f>CENTRALA!C63+'Razem OW'!C63</f>
        <v>192338</v>
      </c>
      <c r="D85" s="7">
        <f>CENTRALA!D63+'Razem OW'!D63</f>
        <v>192338</v>
      </c>
      <c r="E85" s="7" t="str">
        <f t="shared" si="2"/>
        <v>-</v>
      </c>
      <c r="F85" s="42">
        <f t="shared" si="3"/>
        <v>1</v>
      </c>
      <c r="I85" s="89"/>
    </row>
    <row r="86" spans="1:9" ht="30" customHeight="1" x14ac:dyDescent="0.4">
      <c r="A86" s="101" t="s">
        <v>29</v>
      </c>
      <c r="B86" s="24" t="s">
        <v>101</v>
      </c>
      <c r="C86" s="7">
        <f>CENTRALA!C64+'Razem OW'!C64</f>
        <v>21335</v>
      </c>
      <c r="D86" s="7">
        <f>CENTRALA!D64+'Razem OW'!D64</f>
        <v>21335</v>
      </c>
      <c r="E86" s="7" t="str">
        <f t="shared" si="2"/>
        <v>-</v>
      </c>
      <c r="F86" s="42">
        <f t="shared" si="3"/>
        <v>1</v>
      </c>
      <c r="I86" s="89"/>
    </row>
    <row r="87" spans="1:9" ht="30" customHeight="1" x14ac:dyDescent="0.4">
      <c r="A87" s="101" t="s">
        <v>100</v>
      </c>
      <c r="B87" s="25" t="s">
        <v>102</v>
      </c>
      <c r="C87" s="7">
        <f>CENTRALA!C65+'Razem OW'!C65</f>
        <v>41969</v>
      </c>
      <c r="D87" s="7">
        <f>CENTRALA!D65+'Razem OW'!D65</f>
        <v>41969</v>
      </c>
      <c r="E87" s="7" t="str">
        <f t="shared" si="2"/>
        <v>-</v>
      </c>
      <c r="F87" s="42">
        <f t="shared" si="3"/>
        <v>1</v>
      </c>
      <c r="I87" s="89"/>
    </row>
    <row r="88" spans="1:9" s="10" customFormat="1" ht="33" customHeight="1" x14ac:dyDescent="0.4">
      <c r="A88" s="109" t="s">
        <v>133</v>
      </c>
      <c r="B88" s="78" t="s">
        <v>172</v>
      </c>
      <c r="C88" s="68">
        <f>C89+C90</f>
        <v>54670</v>
      </c>
      <c r="D88" s="68">
        <f>D89+D90</f>
        <v>54670</v>
      </c>
      <c r="E88" s="68" t="str">
        <f t="shared" si="2"/>
        <v>-</v>
      </c>
      <c r="F88" s="69">
        <f t="shared" si="3"/>
        <v>1</v>
      </c>
      <c r="I88" s="89"/>
    </row>
    <row r="89" spans="1:9" ht="30" customHeight="1" x14ac:dyDescent="0.4">
      <c r="A89" s="101" t="s">
        <v>103</v>
      </c>
      <c r="B89" s="24" t="s">
        <v>104</v>
      </c>
      <c r="C89" s="7">
        <v>47837</v>
      </c>
      <c r="D89" s="7">
        <f t="shared" ref="D89:D90" si="4">C89</f>
        <v>47837</v>
      </c>
      <c r="E89" s="7" t="str">
        <f t="shared" si="2"/>
        <v>-</v>
      </c>
      <c r="F89" s="42">
        <f t="shared" si="3"/>
        <v>1</v>
      </c>
      <c r="I89" s="89"/>
    </row>
    <row r="90" spans="1:9" ht="30" customHeight="1" x14ac:dyDescent="0.4">
      <c r="A90" s="101" t="s">
        <v>105</v>
      </c>
      <c r="B90" s="25" t="s">
        <v>106</v>
      </c>
      <c r="C90" s="7">
        <v>6833</v>
      </c>
      <c r="D90" s="7">
        <f t="shared" si="4"/>
        <v>6833</v>
      </c>
      <c r="E90" s="7" t="str">
        <f t="shared" si="2"/>
        <v>-</v>
      </c>
      <c r="F90" s="42">
        <f t="shared" si="3"/>
        <v>1</v>
      </c>
      <c r="I90" s="89"/>
    </row>
    <row r="91" spans="1:9" s="10" customFormat="1" ht="39.75" customHeight="1" x14ac:dyDescent="0.4">
      <c r="A91" s="109" t="s">
        <v>134</v>
      </c>
      <c r="B91" s="78" t="s">
        <v>113</v>
      </c>
      <c r="C91" s="68">
        <f>CENTRALA!C66+'Razem OW'!C66</f>
        <v>83071</v>
      </c>
      <c r="D91" s="68">
        <f>CENTRALA!D66+'Razem OW'!D66</f>
        <v>83071</v>
      </c>
      <c r="E91" s="68" t="str">
        <f t="shared" si="2"/>
        <v>-</v>
      </c>
      <c r="F91" s="69">
        <f t="shared" si="3"/>
        <v>1</v>
      </c>
      <c r="I91" s="89"/>
    </row>
    <row r="92" spans="1:9" s="10" customFormat="1" ht="64.5" customHeight="1" x14ac:dyDescent="0.4">
      <c r="A92" s="110" t="s">
        <v>135</v>
      </c>
      <c r="B92" s="61" t="s">
        <v>190</v>
      </c>
      <c r="C92" s="58">
        <f>C60-C61+C82-C83+C88-C91</f>
        <v>0</v>
      </c>
      <c r="D92" s="58">
        <f>D60-D61+D82-D83+D88-D91</f>
        <v>0</v>
      </c>
      <c r="E92" s="58" t="str">
        <f t="shared" si="2"/>
        <v>-</v>
      </c>
      <c r="F92" s="60" t="str">
        <f t="shared" si="3"/>
        <v>-</v>
      </c>
      <c r="I92" s="89"/>
    </row>
    <row r="93" spans="1:9" s="10" customFormat="1" ht="33" customHeight="1" x14ac:dyDescent="0.4">
      <c r="A93" s="100" t="s">
        <v>136</v>
      </c>
      <c r="B93" s="79" t="s">
        <v>192</v>
      </c>
      <c r="C93" s="80">
        <f>C6+C12+C20+C21+C22+C23+C82+C88-C18</f>
        <v>83230253</v>
      </c>
      <c r="D93" s="80">
        <f>D6+D12+D20+D21+D22+D23+D82+D88-D18</f>
        <v>83230253</v>
      </c>
      <c r="E93" s="80" t="str">
        <f t="shared" si="2"/>
        <v>-</v>
      </c>
      <c r="F93" s="81">
        <f t="shared" si="3"/>
        <v>1</v>
      </c>
      <c r="I93" s="89"/>
    </row>
    <row r="94" spans="1:9" s="10" customFormat="1" ht="33" customHeight="1" x14ac:dyDescent="0.4">
      <c r="A94" s="109" t="s">
        <v>137</v>
      </c>
      <c r="B94" s="82" t="s">
        <v>193</v>
      </c>
      <c r="C94" s="80">
        <f>C9+C15+C25+C26+C56+C57+C58+C61+C83+C91</f>
        <v>83230253</v>
      </c>
      <c r="D94" s="80">
        <f>D9+D15+D25+D26+D56+D57+D58+D61+D83+D91</f>
        <v>83230253</v>
      </c>
      <c r="E94" s="80" t="str">
        <f t="shared" si="2"/>
        <v>-</v>
      </c>
      <c r="F94" s="81">
        <f t="shared" si="3"/>
        <v>1</v>
      </c>
      <c r="I94" s="89"/>
    </row>
    <row r="95" spans="1:9" ht="26.25" x14ac:dyDescent="0.2">
      <c r="C95" s="11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3" fitToHeight="2" orientation="portrait" r:id="rId1"/>
  <headerFooter alignWithMargins="0">
    <oddFooter>&amp;R&amp;20&amp;P</oddFooter>
  </headerFooter>
  <rowBreaks count="1" manualBreakCount="1">
    <brk id="6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6"/>
  <sheetViews>
    <sheetView showGridLines="0" view="pageBreakPreview" zoomScale="55" zoomScaleNormal="55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65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11385614</v>
      </c>
      <c r="D6" s="83">
        <f>D7+D8+D9+D14+D15+D16+D17+D18+D19+D20+D21+D22+D23+D24+D28+D29+D31+D32+D33+D34+D35</f>
        <v>11429851</v>
      </c>
      <c r="E6" s="68">
        <f>IF(C6=D6,"-",D6-C6)</f>
        <v>44237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1560000</v>
      </c>
      <c r="D7" s="13">
        <f>C7</f>
        <v>1560000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630755</v>
      </c>
      <c r="D8" s="13">
        <f>C8</f>
        <v>630755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6136688</v>
      </c>
      <c r="D9" s="13">
        <f>C9+25552</f>
        <v>6162240</v>
      </c>
      <c r="E9" s="38">
        <f t="shared" si="0"/>
        <v>25552</v>
      </c>
      <c r="F9" s="39">
        <f t="shared" si="1"/>
        <v>1.0042</v>
      </c>
    </row>
    <row r="10" spans="1:6" ht="31.5" customHeight="1" x14ac:dyDescent="0.2">
      <c r="A10" s="93" t="s">
        <v>54</v>
      </c>
      <c r="B10" s="45" t="s">
        <v>199</v>
      </c>
      <c r="C10" s="31">
        <v>543168</v>
      </c>
      <c r="D10" s="13">
        <f>C10</f>
        <v>543168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490428</v>
      </c>
      <c r="D11" s="13">
        <f t="shared" ref="D11:D34" si="2">C11</f>
        <v>490428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220444</v>
      </c>
      <c r="D12" s="13">
        <f t="shared" si="2"/>
        <v>220444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104669</v>
      </c>
      <c r="D13" s="13">
        <f t="shared" si="2"/>
        <v>104669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417219</v>
      </c>
      <c r="D14" s="13">
        <f>C14+6835</f>
        <v>424054</v>
      </c>
      <c r="E14" s="38">
        <f t="shared" si="0"/>
        <v>6835</v>
      </c>
      <c r="F14" s="39">
        <f t="shared" si="1"/>
        <v>1.0164</v>
      </c>
    </row>
    <row r="15" spans="1:6" ht="33" customHeight="1" x14ac:dyDescent="0.2">
      <c r="A15" s="92" t="s">
        <v>5</v>
      </c>
      <c r="B15" s="14" t="s">
        <v>118</v>
      </c>
      <c r="C15" s="31">
        <v>445075</v>
      </c>
      <c r="D15" s="13">
        <f t="shared" si="2"/>
        <v>445075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213649</v>
      </c>
      <c r="D16" s="13">
        <f t="shared" si="2"/>
        <v>213649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87771</v>
      </c>
      <c r="D17" s="13">
        <f t="shared" si="2"/>
        <v>87771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223614</v>
      </c>
      <c r="D18" s="13">
        <f t="shared" si="2"/>
        <v>223614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8598</v>
      </c>
      <c r="D20" s="13">
        <f t="shared" si="2"/>
        <v>8598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25496</v>
      </c>
      <c r="D21" s="13">
        <f t="shared" si="2"/>
        <v>25496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193501</v>
      </c>
      <c r="D22" s="13">
        <f t="shared" si="2"/>
        <v>193501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160000</v>
      </c>
      <c r="D23" s="13">
        <f t="shared" si="2"/>
        <v>160000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1147984</v>
      </c>
      <c r="D24" s="13">
        <f t="shared" si="2"/>
        <v>1147984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1140378</v>
      </c>
      <c r="D25" s="13">
        <f t="shared" si="2"/>
        <v>1140378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4548</v>
      </c>
      <c r="D27" s="13">
        <f t="shared" si="2"/>
        <v>4548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26466</v>
      </c>
      <c r="D32" s="13">
        <f t="shared" si="2"/>
        <v>26466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1992</v>
      </c>
      <c r="D34" s="13">
        <f t="shared" si="2"/>
        <v>1992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3870</v>
      </c>
      <c r="D35" s="13">
        <f>C35+11850</f>
        <v>15720</v>
      </c>
      <c r="E35" s="38">
        <f>IF(C35=D35,"-",D35-C35)</f>
        <v>11850</v>
      </c>
      <c r="F35" s="39">
        <f>IF(C35=0,"-",D35/C35)</f>
        <v>4.0620000000000003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1224</v>
      </c>
      <c r="D36" s="37">
        <f>C36</f>
        <v>1224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239181</v>
      </c>
      <c r="D37" s="37">
        <f>C37</f>
        <v>239181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96569</v>
      </c>
      <c r="D38" s="37">
        <f>C38</f>
        <v>96569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1743081</v>
      </c>
      <c r="D39" s="32">
        <f>D11+D13+D24+D30</f>
        <v>1743081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71072</v>
      </c>
      <c r="D40" s="71">
        <f>D41+D42+D43+D51+D53+D59+D60+D58</f>
        <v>71072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2073</v>
      </c>
      <c r="D41" s="33">
        <f>C41</f>
        <v>2073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12436</v>
      </c>
      <c r="D42" s="33">
        <f t="shared" ref="D42:D60" si="3">C42</f>
        <v>12436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238</v>
      </c>
      <c r="D43" s="33">
        <f>D44+D46+D47+D48+D49+D50</f>
        <v>238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20</v>
      </c>
      <c r="D44" s="33">
        <f t="shared" si="3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20</v>
      </c>
      <c r="D45" s="33">
        <f t="shared" si="3"/>
        <v>20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12</v>
      </c>
      <c r="D46" s="33">
        <f t="shared" si="3"/>
        <v>12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203</v>
      </c>
      <c r="D49" s="33">
        <f t="shared" si="3"/>
        <v>203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3</v>
      </c>
      <c r="D50" s="33">
        <f t="shared" si="3"/>
        <v>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44283</v>
      </c>
      <c r="D51" s="33">
        <f t="shared" si="3"/>
        <v>44283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71</v>
      </c>
      <c r="D52" s="33">
        <f t="shared" si="3"/>
        <v>71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9919</v>
      </c>
      <c r="D53" s="29">
        <f>D54+D55+D56+D57</f>
        <v>9919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7604</v>
      </c>
      <c r="D54" s="33">
        <f t="shared" si="3"/>
        <v>7604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1085</v>
      </c>
      <c r="D55" s="33">
        <f t="shared" si="3"/>
        <v>1085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1230</v>
      </c>
      <c r="D57" s="33">
        <f t="shared" si="3"/>
        <v>1230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1719</v>
      </c>
      <c r="D59" s="33">
        <f t="shared" si="3"/>
        <v>1719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404</v>
      </c>
      <c r="D60" s="33">
        <f t="shared" si="3"/>
        <v>404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21751</v>
      </c>
      <c r="D61" s="87">
        <f>D62+D63+D64+D65</f>
        <v>21751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13828</v>
      </c>
      <c r="D63" s="33">
        <f>C63</f>
        <v>13828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7923</v>
      </c>
      <c r="D65" s="33">
        <f>C65</f>
        <v>7923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9640</v>
      </c>
      <c r="D66" s="87">
        <f>C66</f>
        <v>9640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66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1862456</v>
      </c>
      <c r="D6" s="83">
        <f>D7+D8+D9+D14+D15+D16+D17+D18+D19+D20+D21+D22+D23+D24+D28+D29+D31+D32+D33+D34+D35</f>
        <v>1870393</v>
      </c>
      <c r="E6" s="68">
        <f>IF(C6=D6,"-",D6-C6)</f>
        <v>7937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256693</v>
      </c>
      <c r="D7" s="13">
        <f>C7</f>
        <v>256693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93676</v>
      </c>
      <c r="D8" s="13">
        <f>C8</f>
        <v>93676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959932</v>
      </c>
      <c r="D9" s="13">
        <f>C9+5285</f>
        <v>965217</v>
      </c>
      <c r="E9" s="38">
        <f t="shared" si="0"/>
        <v>5285</v>
      </c>
      <c r="F9" s="39">
        <f t="shared" si="1"/>
        <v>1.0055000000000001</v>
      </c>
    </row>
    <row r="10" spans="1:6" ht="31.5" customHeight="1" x14ac:dyDescent="0.2">
      <c r="A10" s="93" t="s">
        <v>54</v>
      </c>
      <c r="B10" s="45" t="s">
        <v>199</v>
      </c>
      <c r="C10" s="31">
        <v>74400</v>
      </c>
      <c r="D10" s="13">
        <f>C10</f>
        <v>74400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68348</v>
      </c>
      <c r="D11" s="13">
        <f t="shared" ref="D11:D34" si="2">C11</f>
        <v>68348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33958</v>
      </c>
      <c r="D12" s="13">
        <f t="shared" si="2"/>
        <v>33958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14948</v>
      </c>
      <c r="D13" s="13">
        <f t="shared" si="2"/>
        <v>14948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66797</v>
      </c>
      <c r="D14" s="13">
        <f>C14+1962</f>
        <v>68759</v>
      </c>
      <c r="E14" s="38">
        <f t="shared" si="0"/>
        <v>1962</v>
      </c>
      <c r="F14" s="39">
        <f t="shared" si="1"/>
        <v>1.0294000000000001</v>
      </c>
    </row>
    <row r="15" spans="1:6" ht="33" customHeight="1" x14ac:dyDescent="0.2">
      <c r="A15" s="92" t="s">
        <v>5</v>
      </c>
      <c r="B15" s="14" t="s">
        <v>118</v>
      </c>
      <c r="C15" s="31">
        <v>54380</v>
      </c>
      <c r="D15" s="13">
        <f t="shared" si="2"/>
        <v>54380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57413</v>
      </c>
      <c r="D16" s="13">
        <f t="shared" si="2"/>
        <v>57413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19884</v>
      </c>
      <c r="D17" s="13">
        <f t="shared" si="2"/>
        <v>19884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42843</v>
      </c>
      <c r="D18" s="13">
        <f t="shared" si="2"/>
        <v>42843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13000</v>
      </c>
      <c r="D19" s="13">
        <f t="shared" si="2"/>
        <v>13000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1329</v>
      </c>
      <c r="D20" s="13">
        <f t="shared" si="2"/>
        <v>1329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3869</v>
      </c>
      <c r="D21" s="13">
        <f t="shared" si="2"/>
        <v>3869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47603</v>
      </c>
      <c r="D22" s="13">
        <f t="shared" si="2"/>
        <v>47603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27997</v>
      </c>
      <c r="D23" s="13">
        <f t="shared" si="2"/>
        <v>27997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203000</v>
      </c>
      <c r="D24" s="13">
        <f t="shared" si="2"/>
        <v>203000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202130</v>
      </c>
      <c r="D25" s="13">
        <f t="shared" si="2"/>
        <v>202130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650</v>
      </c>
      <c r="D26" s="13">
        <f t="shared" si="2"/>
        <v>650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220</v>
      </c>
      <c r="D27" s="13">
        <f t="shared" si="2"/>
        <v>220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13152</v>
      </c>
      <c r="D32" s="13">
        <f t="shared" si="2"/>
        <v>13152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498</v>
      </c>
      <c r="D34" s="13">
        <f t="shared" si="2"/>
        <v>498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390</v>
      </c>
      <c r="D35" s="13">
        <f>C35+690</f>
        <v>1080</v>
      </c>
      <c r="E35" s="38">
        <f>IF(C35=D35,"-",D35-C35)</f>
        <v>690</v>
      </c>
      <c r="F35" s="39">
        <f>IF(C35=0,"-",D35/C35)</f>
        <v>2.7692000000000001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53187</v>
      </c>
      <c r="D37" s="37">
        <f>C37</f>
        <v>53187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17354</v>
      </c>
      <c r="D38" s="37">
        <f>C38</f>
        <v>17354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286296</v>
      </c>
      <c r="D39" s="32">
        <f>D11+D13+D24+D30</f>
        <v>286296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16597</v>
      </c>
      <c r="D40" s="71">
        <f>D41+D42+D43+D51+D53+D59+D60+D58</f>
        <v>16597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845</v>
      </c>
      <c r="D41" s="33">
        <f>C41</f>
        <v>845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2465</v>
      </c>
      <c r="D42" s="33">
        <f t="shared" ref="D42:D60" si="3">C42</f>
        <v>2465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169</v>
      </c>
      <c r="D43" s="33">
        <f>D44+D46+D47+D48+D49+D50</f>
        <v>169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0</v>
      </c>
      <c r="D44" s="33">
        <f t="shared" si="3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98" t="s">
        <v>38</v>
      </c>
      <c r="B45" s="47" t="s">
        <v>31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98" t="s">
        <v>39</v>
      </c>
      <c r="B46" s="46" t="s">
        <v>32</v>
      </c>
      <c r="C46" s="31">
        <v>8</v>
      </c>
      <c r="D46" s="33">
        <f t="shared" si="3"/>
        <v>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155</v>
      </c>
      <c r="D49" s="33">
        <f t="shared" si="3"/>
        <v>155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6</v>
      </c>
      <c r="D50" s="33">
        <f t="shared" si="3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9702</v>
      </c>
      <c r="D51" s="33">
        <f t="shared" si="3"/>
        <v>9702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31</v>
      </c>
      <c r="D52" s="33">
        <f t="shared" si="3"/>
        <v>31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2172</v>
      </c>
      <c r="D53" s="29">
        <f>D54+D55+D56+D57</f>
        <v>2172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1665</v>
      </c>
      <c r="D54" s="33">
        <f t="shared" si="3"/>
        <v>1665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238</v>
      </c>
      <c r="D55" s="33">
        <f t="shared" si="3"/>
        <v>238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269</v>
      </c>
      <c r="D57" s="33">
        <f t="shared" si="3"/>
        <v>269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1055</v>
      </c>
      <c r="D59" s="33">
        <f t="shared" si="3"/>
        <v>1055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189</v>
      </c>
      <c r="D60" s="33">
        <f t="shared" si="3"/>
        <v>189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8200</v>
      </c>
      <c r="D61" s="87">
        <f>D62+D63+D64+D65</f>
        <v>8200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5700</v>
      </c>
      <c r="D63" s="33">
        <f>C63</f>
        <v>5700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2500</v>
      </c>
      <c r="D65" s="33">
        <f>C65</f>
        <v>2500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1238</v>
      </c>
      <c r="D66" s="87">
        <f>C66</f>
        <v>1238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67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4114003</v>
      </c>
      <c r="D6" s="83">
        <f>D7+D8+D9+D14+D15+D16+D17+D18+D19+D20+D21+D22+D23+D24+D28+D29+D31+D32+D33+D34+D35</f>
        <v>4126573</v>
      </c>
      <c r="E6" s="68">
        <f>IF(C6=D6,"-",D6-C6)</f>
        <v>12570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552707</v>
      </c>
      <c r="D7" s="13">
        <f>C7</f>
        <v>552707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230808</v>
      </c>
      <c r="D8" s="13">
        <f>C8</f>
        <v>230808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2114835</v>
      </c>
      <c r="D9" s="13">
        <f>C9+9053</f>
        <v>2123888</v>
      </c>
      <c r="E9" s="38">
        <f t="shared" si="0"/>
        <v>9053</v>
      </c>
      <c r="F9" s="39">
        <f t="shared" si="1"/>
        <v>1.0043</v>
      </c>
    </row>
    <row r="10" spans="1:6" ht="31.5" customHeight="1" x14ac:dyDescent="0.2">
      <c r="A10" s="93" t="s">
        <v>54</v>
      </c>
      <c r="B10" s="45" t="s">
        <v>199</v>
      </c>
      <c r="C10" s="31">
        <v>179101</v>
      </c>
      <c r="D10" s="13">
        <f>C10</f>
        <v>179101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163641</v>
      </c>
      <c r="D11" s="13">
        <f t="shared" ref="D11:D34" si="2">C11</f>
        <v>163641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73625</v>
      </c>
      <c r="D12" s="13">
        <f t="shared" si="2"/>
        <v>73625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34136</v>
      </c>
      <c r="D13" s="13">
        <f t="shared" si="2"/>
        <v>34136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136593</v>
      </c>
      <c r="D14" s="13">
        <f>C14+2732</f>
        <v>139325</v>
      </c>
      <c r="E14" s="38">
        <f t="shared" si="0"/>
        <v>2732</v>
      </c>
      <c r="F14" s="39">
        <f t="shared" si="1"/>
        <v>1.02</v>
      </c>
    </row>
    <row r="15" spans="1:6" ht="33" customHeight="1" x14ac:dyDescent="0.2">
      <c r="A15" s="92" t="s">
        <v>5</v>
      </c>
      <c r="B15" s="14" t="s">
        <v>118</v>
      </c>
      <c r="C15" s="31">
        <v>152358</v>
      </c>
      <c r="D15" s="13">
        <f t="shared" si="2"/>
        <v>152358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125412</v>
      </c>
      <c r="D16" s="13">
        <f t="shared" si="2"/>
        <v>125412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47897</v>
      </c>
      <c r="D17" s="13">
        <f t="shared" si="2"/>
        <v>47897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118035</v>
      </c>
      <c r="D18" s="13">
        <f t="shared" si="2"/>
        <v>118035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37570</v>
      </c>
      <c r="D19" s="13">
        <f t="shared" si="2"/>
        <v>37570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8540</v>
      </c>
      <c r="D21" s="13">
        <f t="shared" si="2"/>
        <v>8540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99074</v>
      </c>
      <c r="D22" s="13">
        <f t="shared" si="2"/>
        <v>99074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54447</v>
      </c>
      <c r="D23" s="13">
        <f t="shared" si="2"/>
        <v>54447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396788</v>
      </c>
      <c r="D24" s="13">
        <f t="shared" si="2"/>
        <v>396788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393043</v>
      </c>
      <c r="D25" s="13">
        <f t="shared" si="2"/>
        <v>393043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2675</v>
      </c>
      <c r="D26" s="13">
        <f t="shared" si="2"/>
        <v>2675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1070</v>
      </c>
      <c r="D27" s="13">
        <f t="shared" si="2"/>
        <v>1070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21622</v>
      </c>
      <c r="D29" s="13">
        <f t="shared" si="2"/>
        <v>21622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v>8000</v>
      </c>
      <c r="D30" s="13">
        <f t="shared" si="2"/>
        <v>8000</v>
      </c>
      <c r="E30" s="38" t="str">
        <f t="shared" si="0"/>
        <v>-</v>
      </c>
      <c r="F30" s="39">
        <f t="shared" si="1"/>
        <v>1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12591</v>
      </c>
      <c r="D32" s="13">
        <f t="shared" si="2"/>
        <v>12591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440</v>
      </c>
      <c r="D35" s="13">
        <f>C35+785</f>
        <v>1225</v>
      </c>
      <c r="E35" s="38">
        <f>IF(C35=D35,"-",D35-C35)</f>
        <v>785</v>
      </c>
      <c r="F35" s="39">
        <f>IF(C35=0,"-",D35/C35)</f>
        <v>2.7841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109052</v>
      </c>
      <c r="D37" s="37">
        <f>C37</f>
        <v>109052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35502</v>
      </c>
      <c r="D38" s="37">
        <f>C38</f>
        <v>35502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602565</v>
      </c>
      <c r="D39" s="32">
        <f>D11+D13+D24+D30</f>
        <v>602565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26529</v>
      </c>
      <c r="D40" s="71">
        <f>D41+D42+D43+D51+D53+D59+D60+D58</f>
        <v>26529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1381</v>
      </c>
      <c r="D41" s="33">
        <f>C41</f>
        <v>1381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2881</v>
      </c>
      <c r="D42" s="33">
        <f t="shared" ref="D42:D60" si="3">C42</f>
        <v>2881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122</v>
      </c>
      <c r="D43" s="33">
        <f>D44+D46+D47+D48+D49+D50</f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28</v>
      </c>
      <c r="D44" s="33">
        <f t="shared" si="3"/>
        <v>28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28</v>
      </c>
      <c r="D45" s="33">
        <f t="shared" si="3"/>
        <v>28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13</v>
      </c>
      <c r="D46" s="33">
        <f t="shared" si="3"/>
        <v>13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44</v>
      </c>
      <c r="D49" s="33">
        <f t="shared" si="3"/>
        <v>44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37</v>
      </c>
      <c r="D50" s="33">
        <f t="shared" si="3"/>
        <v>37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15007</v>
      </c>
      <c r="D51" s="33">
        <f t="shared" si="3"/>
        <v>15007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10</v>
      </c>
      <c r="D52" s="33">
        <f t="shared" si="3"/>
        <v>10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3365</v>
      </c>
      <c r="D53" s="29">
        <f>D54+D55+D56+D57</f>
        <v>3365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2576</v>
      </c>
      <c r="D54" s="33">
        <f t="shared" si="3"/>
        <v>2576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368</v>
      </c>
      <c r="D55" s="33">
        <f t="shared" si="3"/>
        <v>368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421</v>
      </c>
      <c r="D57" s="33">
        <f t="shared" si="3"/>
        <v>421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3500</v>
      </c>
      <c r="D59" s="33">
        <f t="shared" si="3"/>
        <v>3500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273</v>
      </c>
      <c r="D60" s="33">
        <f t="shared" si="3"/>
        <v>273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4000</v>
      </c>
      <c r="D61" s="87">
        <f>D62+D63+D64+D65</f>
        <v>4000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3000</v>
      </c>
      <c r="D63" s="33">
        <f>C63</f>
        <v>3000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1000</v>
      </c>
      <c r="D65" s="33">
        <f>C65</f>
        <v>1000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810</v>
      </c>
      <c r="D66" s="87">
        <f>C66</f>
        <v>810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68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2322669</v>
      </c>
      <c r="D6" s="83">
        <f>D7+D8+D9+D14+D15+D16+D17+D18+D19+D20+D21+D22+D23+D24+D28+D29+D31+D32+D33+D34+D35</f>
        <v>2331521</v>
      </c>
      <c r="E6" s="68">
        <f>IF(C6=D6,"-",D6-C6)</f>
        <v>8852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324000</v>
      </c>
      <c r="D7" s="13">
        <f>C7</f>
        <v>324000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137040</v>
      </c>
      <c r="D8" s="13">
        <f>C8</f>
        <v>137040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1231030</v>
      </c>
      <c r="D9" s="13">
        <f>C9+5481</f>
        <v>1236511</v>
      </c>
      <c r="E9" s="38">
        <f t="shared" si="0"/>
        <v>5481</v>
      </c>
      <c r="F9" s="39">
        <f t="shared" si="1"/>
        <v>1.0044999999999999</v>
      </c>
    </row>
    <row r="10" spans="1:6" ht="31.5" customHeight="1" x14ac:dyDescent="0.2">
      <c r="A10" s="93" t="s">
        <v>54</v>
      </c>
      <c r="B10" s="45" t="s">
        <v>199</v>
      </c>
      <c r="C10" s="31">
        <v>91500</v>
      </c>
      <c r="D10" s="13">
        <f>C10</f>
        <v>91500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83501</v>
      </c>
      <c r="D11" s="13">
        <f t="shared" ref="D11:D34" si="2">C11</f>
        <v>83501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45960</v>
      </c>
      <c r="D12" s="13">
        <f t="shared" si="2"/>
        <v>45960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24250</v>
      </c>
      <c r="D13" s="13">
        <f t="shared" si="2"/>
        <v>24250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90000</v>
      </c>
      <c r="D14" s="13">
        <f>C14+2701</f>
        <v>92701</v>
      </c>
      <c r="E14" s="38">
        <f t="shared" si="0"/>
        <v>2701</v>
      </c>
      <c r="F14" s="39">
        <f t="shared" si="1"/>
        <v>1.03</v>
      </c>
    </row>
    <row r="15" spans="1:6" ht="33" customHeight="1" x14ac:dyDescent="0.2">
      <c r="A15" s="92" t="s">
        <v>5</v>
      </c>
      <c r="B15" s="14" t="s">
        <v>118</v>
      </c>
      <c r="C15" s="31">
        <v>62810</v>
      </c>
      <c r="D15" s="13">
        <f t="shared" si="2"/>
        <v>62810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38040</v>
      </c>
      <c r="D16" s="13">
        <f t="shared" si="2"/>
        <v>38040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22420</v>
      </c>
      <c r="D17" s="13">
        <f t="shared" si="2"/>
        <v>22420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64200</v>
      </c>
      <c r="D18" s="13">
        <f t="shared" si="2"/>
        <v>64200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1730</v>
      </c>
      <c r="D20" s="13">
        <f t="shared" si="2"/>
        <v>1730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5004</v>
      </c>
      <c r="D21" s="13">
        <f t="shared" si="2"/>
        <v>5004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65400</v>
      </c>
      <c r="D22" s="13">
        <f t="shared" si="2"/>
        <v>65400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30500</v>
      </c>
      <c r="D23" s="13">
        <f t="shared" si="2"/>
        <v>30500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222700</v>
      </c>
      <c r="D24" s="13">
        <f t="shared" si="2"/>
        <v>222700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221000</v>
      </c>
      <c r="D25" s="13">
        <f t="shared" si="2"/>
        <v>221000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1200</v>
      </c>
      <c r="D26" s="13">
        <f t="shared" si="2"/>
        <v>1200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500</v>
      </c>
      <c r="D27" s="13">
        <f t="shared" si="2"/>
        <v>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6755</v>
      </c>
      <c r="D32" s="13">
        <f t="shared" si="2"/>
        <v>6755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440</v>
      </c>
      <c r="D35" s="13">
        <f>C35+670</f>
        <v>1110</v>
      </c>
      <c r="E35" s="38">
        <f>IF(C35=D35,"-",D35-C35)</f>
        <v>670</v>
      </c>
      <c r="F35" s="39">
        <f>IF(C35=0,"-",D35/C35)</f>
        <v>2.5226999999999999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73356</v>
      </c>
      <c r="D37" s="37">
        <f>C37</f>
        <v>73356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22301</v>
      </c>
      <c r="D38" s="37">
        <f>C38</f>
        <v>22301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330451</v>
      </c>
      <c r="D39" s="32">
        <f>D11+D13+D24+D30</f>
        <v>330451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17584</v>
      </c>
      <c r="D40" s="71">
        <f>D41+D42+D43+D51+D53+D59+D60+D58</f>
        <v>17584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595</v>
      </c>
      <c r="D41" s="33">
        <f>C41</f>
        <v>595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1272</v>
      </c>
      <c r="D42" s="33">
        <f t="shared" ref="D42:D60" si="3">C42</f>
        <v>1272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251</v>
      </c>
      <c r="D43" s="33">
        <f>D44+D46+D47+D48+D49+D50</f>
        <v>251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19</v>
      </c>
      <c r="D44" s="33">
        <f t="shared" si="3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19</v>
      </c>
      <c r="D45" s="33">
        <f t="shared" si="3"/>
        <v>19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76</v>
      </c>
      <c r="D46" s="33">
        <f t="shared" si="3"/>
        <v>76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150</v>
      </c>
      <c r="D49" s="33">
        <f t="shared" si="3"/>
        <v>150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6</v>
      </c>
      <c r="D50" s="33">
        <f t="shared" si="3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10668</v>
      </c>
      <c r="D51" s="33">
        <f t="shared" si="3"/>
        <v>10668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0</v>
      </c>
      <c r="D52" s="33">
        <f t="shared" si="3"/>
        <v>0</v>
      </c>
      <c r="E52" s="38" t="str">
        <f t="shared" si="0"/>
        <v>-</v>
      </c>
      <c r="F52" s="39" t="str">
        <f t="shared" si="1"/>
        <v>-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2395</v>
      </c>
      <c r="D53" s="29">
        <f>D54+D55+D56+D57</f>
        <v>2395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1831</v>
      </c>
      <c r="D54" s="33">
        <f t="shared" si="3"/>
        <v>1831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262</v>
      </c>
      <c r="D55" s="33">
        <f t="shared" si="3"/>
        <v>262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302</v>
      </c>
      <c r="D57" s="33">
        <f t="shared" si="3"/>
        <v>302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2253</v>
      </c>
      <c r="D59" s="33">
        <f t="shared" si="3"/>
        <v>2253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150</v>
      </c>
      <c r="D60" s="33">
        <f t="shared" si="3"/>
        <v>150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1650</v>
      </c>
      <c r="D61" s="87">
        <f>D62+D63+D64+D65</f>
        <v>1650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700</v>
      </c>
      <c r="D63" s="33">
        <f>C63</f>
        <v>700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950</v>
      </c>
      <c r="D65" s="33">
        <f>C65</f>
        <v>950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360</v>
      </c>
      <c r="D66" s="87">
        <f>C66</f>
        <v>360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4506612</v>
      </c>
      <c r="D6" s="83">
        <f>D7+D8+D9+D14+D15+D16+D17+D18+D19+D20+D21+D22+D23+D24+D28+D29+D31+D32+D33+D34+D35</f>
        <v>4523738</v>
      </c>
      <c r="E6" s="68">
        <f>IF(C6=D6,"-",D6-C6)</f>
        <v>17126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655715</v>
      </c>
      <c r="D7" s="13">
        <f>C7</f>
        <v>655715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258891</v>
      </c>
      <c r="D8" s="13">
        <f>C8</f>
        <v>258891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2249862</v>
      </c>
      <c r="D9" s="13">
        <f>C9+9857</f>
        <v>2259719</v>
      </c>
      <c r="E9" s="38">
        <f t="shared" si="0"/>
        <v>9857</v>
      </c>
      <c r="F9" s="39">
        <f t="shared" si="1"/>
        <v>1.0044</v>
      </c>
    </row>
    <row r="10" spans="1:6" ht="31.5" customHeight="1" x14ac:dyDescent="0.2">
      <c r="A10" s="93" t="s">
        <v>54</v>
      </c>
      <c r="B10" s="45" t="s">
        <v>199</v>
      </c>
      <c r="C10" s="31">
        <v>226118</v>
      </c>
      <c r="D10" s="13">
        <f>C10</f>
        <v>226118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207499</v>
      </c>
      <c r="D11" s="13">
        <f t="shared" ref="D11:D34" si="2">C11</f>
        <v>207499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88928</v>
      </c>
      <c r="D12" s="13">
        <f t="shared" si="2"/>
        <v>88928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49264</v>
      </c>
      <c r="D13" s="13">
        <f t="shared" si="2"/>
        <v>49264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180328</v>
      </c>
      <c r="D14" s="13">
        <f>C14+4119</f>
        <v>184447</v>
      </c>
      <c r="E14" s="38">
        <f t="shared" si="0"/>
        <v>4119</v>
      </c>
      <c r="F14" s="39">
        <f t="shared" si="1"/>
        <v>1.0227999999999999</v>
      </c>
    </row>
    <row r="15" spans="1:6" ht="33" customHeight="1" x14ac:dyDescent="0.2">
      <c r="A15" s="92" t="s">
        <v>5</v>
      </c>
      <c r="B15" s="14" t="s">
        <v>118</v>
      </c>
      <c r="C15" s="31">
        <v>134165</v>
      </c>
      <c r="D15" s="13">
        <f t="shared" si="2"/>
        <v>134165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62218</v>
      </c>
      <c r="D16" s="13">
        <f t="shared" si="2"/>
        <v>62218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44478</v>
      </c>
      <c r="D17" s="13">
        <f t="shared" si="2"/>
        <v>44478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119266</v>
      </c>
      <c r="D18" s="13">
        <f t="shared" si="2"/>
        <v>119266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32000</v>
      </c>
      <c r="D19" s="13">
        <f t="shared" si="2"/>
        <v>32000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1539</v>
      </c>
      <c r="D20" s="13">
        <f t="shared" si="2"/>
        <v>1539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11145</v>
      </c>
      <c r="D21" s="13">
        <f t="shared" si="2"/>
        <v>11145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131794</v>
      </c>
      <c r="D22" s="13">
        <f t="shared" si="2"/>
        <v>131794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60000</v>
      </c>
      <c r="D23" s="13">
        <f t="shared" si="2"/>
        <v>60000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550168</v>
      </c>
      <c r="D24" s="13">
        <f t="shared" si="2"/>
        <v>550168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548471</v>
      </c>
      <c r="D25" s="13">
        <f t="shared" si="2"/>
        <v>548471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13808</v>
      </c>
      <c r="D32" s="13">
        <f t="shared" si="2"/>
        <v>13808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50</v>
      </c>
      <c r="D34" s="13">
        <f t="shared" si="2"/>
        <v>50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1185</v>
      </c>
      <c r="D35" s="13">
        <f>C35+3150</f>
        <v>4335</v>
      </c>
      <c r="E35" s="38">
        <f>IF(C35=D35,"-",D35-C35)</f>
        <v>3150</v>
      </c>
      <c r="F35" s="39">
        <f>IF(C35=0,"-",D35/C35)</f>
        <v>3.6581999999999999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200</v>
      </c>
      <c r="D36" s="37">
        <f>C36</f>
        <v>200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106506</v>
      </c>
      <c r="D37" s="37">
        <f>C37</f>
        <v>106506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34757</v>
      </c>
      <c r="D38" s="37">
        <f>C38</f>
        <v>34757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806931</v>
      </c>
      <c r="D39" s="32">
        <f>D11+D13+D24+D30</f>
        <v>806931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32651</v>
      </c>
      <c r="D40" s="71">
        <f>D41+D42+D43+D51+D53+D59+D60+D58</f>
        <v>32651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1636</v>
      </c>
      <c r="D41" s="33">
        <f>C41</f>
        <v>1636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3365</v>
      </c>
      <c r="D42" s="33">
        <f t="shared" ref="D42:D60" si="3">C42</f>
        <v>3365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155</v>
      </c>
      <c r="D43" s="33">
        <f>D44+D46+D47+D48+D49+D50</f>
        <v>155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53</v>
      </c>
      <c r="D44" s="33">
        <f t="shared" si="3"/>
        <v>53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53</v>
      </c>
      <c r="D45" s="33">
        <f t="shared" si="3"/>
        <v>53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37</v>
      </c>
      <c r="D46" s="33">
        <f t="shared" si="3"/>
        <v>37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45</v>
      </c>
      <c r="D49" s="33">
        <f t="shared" si="3"/>
        <v>45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20</v>
      </c>
      <c r="D50" s="33">
        <f t="shared" si="3"/>
        <v>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20605</v>
      </c>
      <c r="D51" s="33">
        <f t="shared" si="3"/>
        <v>20605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100</v>
      </c>
      <c r="D52" s="33">
        <f t="shared" si="3"/>
        <v>100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4620</v>
      </c>
      <c r="D53" s="29">
        <f>D54+D55+D56+D57</f>
        <v>4620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3538</v>
      </c>
      <c r="D54" s="33">
        <f t="shared" si="3"/>
        <v>3538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505</v>
      </c>
      <c r="D55" s="33">
        <f t="shared" si="3"/>
        <v>505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577</v>
      </c>
      <c r="D57" s="33">
        <f t="shared" si="3"/>
        <v>577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1999</v>
      </c>
      <c r="D59" s="33">
        <f t="shared" si="3"/>
        <v>1999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271</v>
      </c>
      <c r="D60" s="33">
        <f t="shared" si="3"/>
        <v>271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2967</v>
      </c>
      <c r="D61" s="87">
        <f>D62+D63+D64+D65</f>
        <v>2967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57</v>
      </c>
      <c r="D62" s="33">
        <f>C62</f>
        <v>57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v>1210</v>
      </c>
      <c r="D63" s="33">
        <f>C63</f>
        <v>1210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1700</v>
      </c>
      <c r="D65" s="33">
        <f>C65</f>
        <v>1700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1000</v>
      </c>
      <c r="D66" s="87">
        <f>C66</f>
        <v>1000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9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9415860</v>
      </c>
      <c r="D6" s="83">
        <f>D7+D8+D9+D14+D15+D16+D17+D18+D19+D20+D21+D22+D23+D24+D28+D29+D31+D32+D33+D34+D35</f>
        <v>9451488</v>
      </c>
      <c r="E6" s="68">
        <f>IF(C6=D6,"-",D6-C6)</f>
        <v>35628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1236418</v>
      </c>
      <c r="D7" s="13">
        <f>C7</f>
        <v>1236418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628894</v>
      </c>
      <c r="D8" s="13">
        <f>C8</f>
        <v>628894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4752755</v>
      </c>
      <c r="D9" s="13">
        <f>C9+24946</f>
        <v>4777701</v>
      </c>
      <c r="E9" s="38">
        <f t="shared" si="0"/>
        <v>24946</v>
      </c>
      <c r="F9" s="39">
        <f t="shared" si="1"/>
        <v>1.0052000000000001</v>
      </c>
    </row>
    <row r="10" spans="1:6" ht="31.5" customHeight="1" x14ac:dyDescent="0.2">
      <c r="A10" s="93" t="s">
        <v>54</v>
      </c>
      <c r="B10" s="45" t="s">
        <v>199</v>
      </c>
      <c r="C10" s="31">
        <v>455346</v>
      </c>
      <c r="D10" s="13">
        <f>C10</f>
        <v>455346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411460</v>
      </c>
      <c r="D11" s="13">
        <f t="shared" ref="D11:D34" si="2">C11</f>
        <v>411460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169779</v>
      </c>
      <c r="D12" s="13">
        <f t="shared" si="2"/>
        <v>169779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74937</v>
      </c>
      <c r="D13" s="13">
        <f t="shared" si="2"/>
        <v>74937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351700</v>
      </c>
      <c r="D14" s="13">
        <f>C14+6582</f>
        <v>358282</v>
      </c>
      <c r="E14" s="38">
        <f t="shared" si="0"/>
        <v>6582</v>
      </c>
      <c r="F14" s="39">
        <f t="shared" si="1"/>
        <v>1.0186999999999999</v>
      </c>
    </row>
    <row r="15" spans="1:6" ht="33" customHeight="1" x14ac:dyDescent="0.2">
      <c r="A15" s="92" t="s">
        <v>5</v>
      </c>
      <c r="B15" s="14" t="s">
        <v>118</v>
      </c>
      <c r="C15" s="31">
        <v>288890</v>
      </c>
      <c r="D15" s="13">
        <f t="shared" si="2"/>
        <v>288890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260702</v>
      </c>
      <c r="D16" s="13">
        <f t="shared" si="2"/>
        <v>260702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81687</v>
      </c>
      <c r="D17" s="13">
        <f t="shared" si="2"/>
        <v>81687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204744</v>
      </c>
      <c r="D18" s="13">
        <f t="shared" si="2"/>
        <v>204744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73014</v>
      </c>
      <c r="D19" s="13">
        <f t="shared" si="2"/>
        <v>73014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4975</v>
      </c>
      <c r="D20" s="13">
        <f t="shared" si="2"/>
        <v>4975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32868</v>
      </c>
      <c r="D21" s="13">
        <f t="shared" si="2"/>
        <v>32868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243371</v>
      </c>
      <c r="D22" s="13">
        <f t="shared" si="2"/>
        <v>243371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164381</v>
      </c>
      <c r="D23" s="13">
        <f t="shared" si="2"/>
        <v>164381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1040221</v>
      </c>
      <c r="D24" s="13">
        <f t="shared" si="2"/>
        <v>1040221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1038631</v>
      </c>
      <c r="D25" s="13">
        <f t="shared" si="2"/>
        <v>1038631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1029</v>
      </c>
      <c r="D26" s="13">
        <f t="shared" si="2"/>
        <v>1029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561</v>
      </c>
      <c r="D27" s="13">
        <f t="shared" si="2"/>
        <v>561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46710</v>
      </c>
      <c r="D32" s="13">
        <f t="shared" si="2"/>
        <v>46710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3000</v>
      </c>
      <c r="D34" s="13">
        <f t="shared" si="2"/>
        <v>3000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1530</v>
      </c>
      <c r="D35" s="13">
        <f>C35+4100</f>
        <v>5630</v>
      </c>
      <c r="E35" s="38">
        <f>IF(C35=D35,"-",D35-C35)</f>
        <v>4100</v>
      </c>
      <c r="F35" s="39">
        <f>IF(C35=0,"-",D35/C35)</f>
        <v>3.6797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202473</v>
      </c>
      <c r="D37" s="37">
        <f>C37</f>
        <v>202473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77355</v>
      </c>
      <c r="D38" s="37">
        <f>C38</f>
        <v>77355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1526618</v>
      </c>
      <c r="D39" s="32">
        <f>D11+D13+D24+D30</f>
        <v>1526618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68611</v>
      </c>
      <c r="D40" s="71">
        <f>D41+D42+D43+D51+D53+D59+D60+D58</f>
        <v>68611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2479</v>
      </c>
      <c r="D41" s="33">
        <f>C41</f>
        <v>2479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9107</v>
      </c>
      <c r="D42" s="33">
        <f t="shared" ref="D42:D60" si="3">C42</f>
        <v>9107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475</v>
      </c>
      <c r="D43" s="33">
        <f>D44+D46+D47+D48+D49+D50</f>
        <v>475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130</v>
      </c>
      <c r="D44" s="33">
        <f t="shared" si="3"/>
        <v>130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130</v>
      </c>
      <c r="D45" s="33">
        <f t="shared" si="3"/>
        <v>130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10</v>
      </c>
      <c r="D46" s="33">
        <f t="shared" si="3"/>
        <v>10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1</v>
      </c>
      <c r="D47" s="33">
        <f t="shared" si="3"/>
        <v>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310</v>
      </c>
      <c r="D49" s="33">
        <f t="shared" si="3"/>
        <v>310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24</v>
      </c>
      <c r="D50" s="33">
        <f t="shared" si="3"/>
        <v>24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40930</v>
      </c>
      <c r="D51" s="33">
        <f t="shared" si="3"/>
        <v>40930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250</v>
      </c>
      <c r="D52" s="33">
        <f t="shared" si="3"/>
        <v>250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9175</v>
      </c>
      <c r="D53" s="29">
        <f>D54+D55+D56+D57</f>
        <v>9175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7021</v>
      </c>
      <c r="D54" s="33">
        <f t="shared" si="3"/>
        <v>7021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1003</v>
      </c>
      <c r="D55" s="33">
        <f t="shared" si="3"/>
        <v>1003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1151</v>
      </c>
      <c r="D57" s="33">
        <f t="shared" si="3"/>
        <v>1151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6136</v>
      </c>
      <c r="D59" s="33">
        <f t="shared" si="3"/>
        <v>6136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309</v>
      </c>
      <c r="D60" s="33">
        <f t="shared" si="3"/>
        <v>309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15522</v>
      </c>
      <c r="D61" s="87">
        <f>D62+D63+D64+D65</f>
        <v>15522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300</v>
      </c>
      <c r="D62" s="33">
        <f>C62</f>
        <v>300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v>11108</v>
      </c>
      <c r="D63" s="33">
        <f>C63</f>
        <v>11108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4114</v>
      </c>
      <c r="D65" s="33">
        <f>C65</f>
        <v>4114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1355</v>
      </c>
      <c r="D66" s="87">
        <f>C66</f>
        <v>1355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6"/>
  <sheetViews>
    <sheetView showGridLines="0" view="pageBreakPreview" zoomScale="55" zoomScaleNormal="70" zoomScaleSheetLayoutView="55" workbookViewId="0">
      <pane ySplit="6" topLeftCell="A7" activePane="bottomLeft" state="frozen"/>
      <selection activeCell="J7" sqref="J7"/>
      <selection pane="bottomLef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2575392</v>
      </c>
      <c r="D6" s="83">
        <f>D7+D8+D9+D14+D15+D16+D17+D18+D19+D20+D21+D22+D23+D24+D28+D29+D31+D32+D33+D34+D35</f>
        <v>2583883</v>
      </c>
      <c r="E6" s="68">
        <f>IF(C6=D6,"-",D6-C6)</f>
        <v>8491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322518</v>
      </c>
      <c r="D7" s="13">
        <f>C7</f>
        <v>322518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148225</v>
      </c>
      <c r="D8" s="13">
        <f>C8</f>
        <v>148225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1345223</v>
      </c>
      <c r="D9" s="13">
        <f>C9+5678</f>
        <v>1350901</v>
      </c>
      <c r="E9" s="38">
        <f t="shared" si="0"/>
        <v>5678</v>
      </c>
      <c r="F9" s="39">
        <f t="shared" si="1"/>
        <v>1.0042</v>
      </c>
    </row>
    <row r="10" spans="1:6" ht="31.5" customHeight="1" x14ac:dyDescent="0.2">
      <c r="A10" s="93" t="s">
        <v>54</v>
      </c>
      <c r="B10" s="45" t="s">
        <v>199</v>
      </c>
      <c r="C10" s="31">
        <v>114152</v>
      </c>
      <c r="D10" s="13">
        <f>C10</f>
        <v>114152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102152</v>
      </c>
      <c r="D11" s="13">
        <f t="shared" ref="D11:D34" si="2">C11</f>
        <v>102152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58603</v>
      </c>
      <c r="D12" s="13">
        <f t="shared" si="2"/>
        <v>58603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27103</v>
      </c>
      <c r="D13" s="13">
        <f t="shared" si="2"/>
        <v>27103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90028</v>
      </c>
      <c r="D14" s="13">
        <f>C14+1838</f>
        <v>91866</v>
      </c>
      <c r="E14" s="38">
        <f t="shared" si="0"/>
        <v>1838</v>
      </c>
      <c r="F14" s="39">
        <f t="shared" si="1"/>
        <v>1.0204</v>
      </c>
    </row>
    <row r="15" spans="1:6" ht="33" customHeight="1" x14ac:dyDescent="0.2">
      <c r="A15" s="92" t="s">
        <v>5</v>
      </c>
      <c r="B15" s="14" t="s">
        <v>118</v>
      </c>
      <c r="C15" s="31">
        <v>82422</v>
      </c>
      <c r="D15" s="13">
        <f t="shared" si="2"/>
        <v>82422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60180</v>
      </c>
      <c r="D16" s="13">
        <f t="shared" si="2"/>
        <v>60180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30335</v>
      </c>
      <c r="D17" s="13">
        <f t="shared" si="2"/>
        <v>30335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69548</v>
      </c>
      <c r="D18" s="13">
        <f t="shared" si="2"/>
        <v>69548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26757</v>
      </c>
      <c r="D19" s="13">
        <f t="shared" si="2"/>
        <v>26757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1660</v>
      </c>
      <c r="D20" s="13">
        <f t="shared" si="2"/>
        <v>1660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6079</v>
      </c>
      <c r="D21" s="13">
        <f t="shared" si="2"/>
        <v>6079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56052</v>
      </c>
      <c r="D22" s="13">
        <f t="shared" si="2"/>
        <v>56052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34500</v>
      </c>
      <c r="D23" s="13">
        <f t="shared" si="2"/>
        <v>34500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254313</v>
      </c>
      <c r="D24" s="13">
        <f t="shared" si="2"/>
        <v>254313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253523</v>
      </c>
      <c r="D25" s="13">
        <f t="shared" si="2"/>
        <v>253523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19393</v>
      </c>
      <c r="D29" s="13">
        <f t="shared" si="2"/>
        <v>19393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27180</v>
      </c>
      <c r="D32" s="13">
        <f t="shared" si="2"/>
        <v>27180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450</v>
      </c>
      <c r="D35" s="13">
        <f>C35+975</f>
        <v>1425</v>
      </c>
      <c r="E35" s="38">
        <f>IF(C35=D35,"-",D35-C35)</f>
        <v>975</v>
      </c>
      <c r="F35" s="39">
        <f>IF(C35=0,"-",D35/C35)</f>
        <v>3.1667000000000001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57750</v>
      </c>
      <c r="D37" s="37">
        <f>C37</f>
        <v>57750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23614</v>
      </c>
      <c r="D38" s="37">
        <f>C38</f>
        <v>23614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383568</v>
      </c>
      <c r="D39" s="32">
        <f>D11+D13+D24+D30</f>
        <v>383568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17756</v>
      </c>
      <c r="D40" s="71">
        <f>D41+D42+D43+D51+D53+D59+D60+D58</f>
        <v>17756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632</v>
      </c>
      <c r="D41" s="33">
        <f>C41</f>
        <v>632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2215</v>
      </c>
      <c r="D42" s="33">
        <f t="shared" ref="D42:D60" si="3">C42</f>
        <v>2215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61</v>
      </c>
      <c r="D43" s="33">
        <f>D44+D46+D47+D48+D49+D50</f>
        <v>61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7</v>
      </c>
      <c r="D44" s="33">
        <f t="shared" si="3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7</v>
      </c>
      <c r="D45" s="33">
        <f t="shared" si="3"/>
        <v>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17</v>
      </c>
      <c r="D46" s="33">
        <f t="shared" si="3"/>
        <v>17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20</v>
      </c>
      <c r="D49" s="33">
        <f t="shared" si="3"/>
        <v>20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17</v>
      </c>
      <c r="D50" s="33">
        <f t="shared" si="3"/>
        <v>17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11600</v>
      </c>
      <c r="D51" s="33">
        <f t="shared" si="3"/>
        <v>11600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36</v>
      </c>
      <c r="D52" s="33">
        <f t="shared" si="3"/>
        <v>36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2603</v>
      </c>
      <c r="D53" s="29">
        <f>D54+D55+D56+D57</f>
        <v>2603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1992</v>
      </c>
      <c r="D54" s="33">
        <f t="shared" si="3"/>
        <v>1992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285</v>
      </c>
      <c r="D55" s="33">
        <f t="shared" si="3"/>
        <v>285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326</v>
      </c>
      <c r="D57" s="33">
        <f t="shared" si="3"/>
        <v>326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460</v>
      </c>
      <c r="D59" s="33">
        <f t="shared" si="3"/>
        <v>460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185</v>
      </c>
      <c r="D60" s="33">
        <f t="shared" si="3"/>
        <v>185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10795</v>
      </c>
      <c r="D61" s="87">
        <f>D62+D63+D64+D65</f>
        <v>10795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10239</v>
      </c>
      <c r="D63" s="33">
        <f>C63</f>
        <v>10239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556</v>
      </c>
      <c r="D65" s="33">
        <f>C65</f>
        <v>556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3885</v>
      </c>
      <c r="D66" s="87">
        <f>C66</f>
        <v>3885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9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2692723</v>
      </c>
      <c r="D6" s="83">
        <f>D7+D8+D9+D14+D15+D16+D17+D18+D19+D20+D21+D22+D23+D24+D28+D29+D31+D32+D33+D34+D35</f>
        <v>2701566</v>
      </c>
      <c r="E6" s="68">
        <f>IF(C6=D6,"-",D6-C6)</f>
        <v>8843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372944</v>
      </c>
      <c r="D7" s="13">
        <f>C7</f>
        <v>372944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162603</v>
      </c>
      <c r="D8" s="13">
        <f>C8</f>
        <v>162603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1394800</v>
      </c>
      <c r="D9" s="13">
        <f>C9+5930</f>
        <v>1400730</v>
      </c>
      <c r="E9" s="38">
        <f t="shared" si="0"/>
        <v>5930</v>
      </c>
      <c r="F9" s="39">
        <f t="shared" si="1"/>
        <v>1.0043</v>
      </c>
    </row>
    <row r="10" spans="1:6" ht="31.5" customHeight="1" x14ac:dyDescent="0.2">
      <c r="A10" s="93" t="s">
        <v>54</v>
      </c>
      <c r="B10" s="45" t="s">
        <v>199</v>
      </c>
      <c r="C10" s="31">
        <v>106344</v>
      </c>
      <c r="D10" s="13">
        <f>C10</f>
        <v>106344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95519</v>
      </c>
      <c r="D11" s="13">
        <f t="shared" ref="D11:D34" si="2">C11</f>
        <v>95519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48395</v>
      </c>
      <c r="D12" s="13">
        <f t="shared" si="2"/>
        <v>48395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21530</v>
      </c>
      <c r="D13" s="13">
        <f t="shared" si="2"/>
        <v>21530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105383</v>
      </c>
      <c r="D14" s="13">
        <f>C14+2223</f>
        <v>107606</v>
      </c>
      <c r="E14" s="38">
        <f t="shared" si="0"/>
        <v>2223</v>
      </c>
      <c r="F14" s="39">
        <f t="shared" si="1"/>
        <v>1.0210999999999999</v>
      </c>
    </row>
    <row r="15" spans="1:6" ht="33" customHeight="1" x14ac:dyDescent="0.2">
      <c r="A15" s="92" t="s">
        <v>5</v>
      </c>
      <c r="B15" s="14" t="s">
        <v>118</v>
      </c>
      <c r="C15" s="31">
        <v>76217</v>
      </c>
      <c r="D15" s="13">
        <f t="shared" si="2"/>
        <v>76217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46098</v>
      </c>
      <c r="D16" s="13">
        <f t="shared" si="2"/>
        <v>46098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24113</v>
      </c>
      <c r="D17" s="13">
        <f t="shared" si="2"/>
        <v>24113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80845</v>
      </c>
      <c r="D18" s="13">
        <f t="shared" si="2"/>
        <v>80845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21295</v>
      </c>
      <c r="D19" s="13">
        <f t="shared" si="2"/>
        <v>21295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2925</v>
      </c>
      <c r="D20" s="13">
        <f t="shared" si="2"/>
        <v>2925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6704</v>
      </c>
      <c r="D21" s="13">
        <f t="shared" si="2"/>
        <v>6704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66785</v>
      </c>
      <c r="D22" s="13">
        <f t="shared" si="2"/>
        <v>66785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34984</v>
      </c>
      <c r="D23" s="13">
        <f t="shared" si="2"/>
        <v>34984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281372</v>
      </c>
      <c r="D24" s="13">
        <f t="shared" si="2"/>
        <v>281372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280702</v>
      </c>
      <c r="D25" s="13">
        <f t="shared" si="2"/>
        <v>280702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15057</v>
      </c>
      <c r="D32" s="13">
        <f t="shared" si="2"/>
        <v>15057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208</v>
      </c>
      <c r="D34" s="13">
        <f t="shared" si="2"/>
        <v>208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390</v>
      </c>
      <c r="D35" s="13">
        <f>C35+690</f>
        <v>1080</v>
      </c>
      <c r="E35" s="38">
        <f>IF(C35=D35,"-",D35-C35)</f>
        <v>690</v>
      </c>
      <c r="F35" s="39">
        <f>IF(C35=0,"-",D35/C35)</f>
        <v>2.7692000000000001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96531</v>
      </c>
      <c r="D37" s="37">
        <f>C37</f>
        <v>96531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21132</v>
      </c>
      <c r="D38" s="37">
        <f>C38</f>
        <v>21132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398421</v>
      </c>
      <c r="D39" s="32">
        <f>D11+D13+D24+D30</f>
        <v>398421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20119</v>
      </c>
      <c r="D40" s="71">
        <f>D41+D42+D43+D51+D53+D59+D60+D58</f>
        <v>20119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629</v>
      </c>
      <c r="D41" s="33">
        <f>C41</f>
        <v>629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2285</v>
      </c>
      <c r="D42" s="33">
        <f t="shared" ref="D42:D60" si="3">C42</f>
        <v>2285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141</v>
      </c>
      <c r="D43" s="33">
        <f>D44+D46+D47+D48+D49+D50</f>
        <v>141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31</v>
      </c>
      <c r="D44" s="33">
        <f t="shared" si="3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28</v>
      </c>
      <c r="D45" s="33">
        <f t="shared" si="3"/>
        <v>28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11</v>
      </c>
      <c r="D46" s="33">
        <f t="shared" si="3"/>
        <v>11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96</v>
      </c>
      <c r="D49" s="33">
        <f t="shared" si="3"/>
        <v>96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3</v>
      </c>
      <c r="D50" s="33">
        <f t="shared" si="3"/>
        <v>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12324</v>
      </c>
      <c r="D51" s="33">
        <f t="shared" si="3"/>
        <v>12324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30</v>
      </c>
      <c r="D52" s="33">
        <f t="shared" si="3"/>
        <v>30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2749</v>
      </c>
      <c r="D53" s="29">
        <f>D54+D55+D56+D57</f>
        <v>2749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2117</v>
      </c>
      <c r="D54" s="33">
        <f t="shared" si="3"/>
        <v>2117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302</v>
      </c>
      <c r="D55" s="33">
        <f t="shared" si="3"/>
        <v>302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330</v>
      </c>
      <c r="D57" s="33">
        <f t="shared" si="3"/>
        <v>330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1822</v>
      </c>
      <c r="D59" s="33">
        <f t="shared" si="3"/>
        <v>1822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169</v>
      </c>
      <c r="D60" s="33">
        <f t="shared" si="3"/>
        <v>169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946</v>
      </c>
      <c r="D61" s="87">
        <f>D62+D63+D64+D65</f>
        <v>946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209</v>
      </c>
      <c r="D63" s="33">
        <f>C63</f>
        <v>209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737</v>
      </c>
      <c r="D65" s="33">
        <f>C65</f>
        <v>737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45</v>
      </c>
      <c r="D66" s="87">
        <f>C66</f>
        <v>45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9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6961023</v>
      </c>
      <c r="D6" s="83">
        <f>D7+D8+D9+D14+D15+D16+D17+D18+D19+D20+D21+D22+D23+D24+D28+D29+D31+D32+D33+D34+D35</f>
        <v>6981983</v>
      </c>
      <c r="E6" s="68">
        <f>IF(C6=D6,"-",D6-C6)</f>
        <v>20960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955000</v>
      </c>
      <c r="D7" s="13">
        <f>C7</f>
        <v>955000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438589</v>
      </c>
      <c r="D8" s="13">
        <f>C8</f>
        <v>438589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3565771</v>
      </c>
      <c r="D9" s="13">
        <f>C9+15291</f>
        <v>3581062</v>
      </c>
      <c r="E9" s="38">
        <f t="shared" si="0"/>
        <v>15291</v>
      </c>
      <c r="F9" s="39">
        <f t="shared" si="1"/>
        <v>1.0043</v>
      </c>
    </row>
    <row r="10" spans="1:6" ht="31.5" customHeight="1" x14ac:dyDescent="0.2">
      <c r="A10" s="93" t="s">
        <v>54</v>
      </c>
      <c r="B10" s="45" t="s">
        <v>199</v>
      </c>
      <c r="C10" s="31">
        <v>334279</v>
      </c>
      <c r="D10" s="13">
        <f>C10</f>
        <v>334279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306369</v>
      </c>
      <c r="D11" s="13">
        <f t="shared" ref="D11:D34" si="2">C11</f>
        <v>306369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139738</v>
      </c>
      <c r="D12" s="13">
        <f t="shared" si="2"/>
        <v>139738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65734</v>
      </c>
      <c r="D13" s="13">
        <f t="shared" si="2"/>
        <v>65734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242367</v>
      </c>
      <c r="D14" s="13">
        <f>C14+2819</f>
        <v>245186</v>
      </c>
      <c r="E14" s="38">
        <f t="shared" si="0"/>
        <v>2819</v>
      </c>
      <c r="F14" s="39">
        <f t="shared" si="1"/>
        <v>1.0116000000000001</v>
      </c>
    </row>
    <row r="15" spans="1:6" ht="33" customHeight="1" x14ac:dyDescent="0.2">
      <c r="A15" s="92" t="s">
        <v>5</v>
      </c>
      <c r="B15" s="14" t="s">
        <v>118</v>
      </c>
      <c r="C15" s="31">
        <v>184351</v>
      </c>
      <c r="D15" s="13">
        <f t="shared" si="2"/>
        <v>184351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90921</v>
      </c>
      <c r="D16" s="13">
        <f t="shared" si="2"/>
        <v>90921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65162</v>
      </c>
      <c r="D17" s="13">
        <f t="shared" si="2"/>
        <v>65162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153815</v>
      </c>
      <c r="D18" s="13">
        <f t="shared" si="2"/>
        <v>153815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66000</v>
      </c>
      <c r="D19" s="13">
        <f t="shared" si="2"/>
        <v>66000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3809</v>
      </c>
      <c r="D20" s="13">
        <f t="shared" si="2"/>
        <v>3809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19263</v>
      </c>
      <c r="D21" s="13">
        <f t="shared" si="2"/>
        <v>19263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220254</v>
      </c>
      <c r="D22" s="13">
        <f t="shared" si="2"/>
        <v>220254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92161</v>
      </c>
      <c r="D23" s="13">
        <f t="shared" si="2"/>
        <v>92161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811070</v>
      </c>
      <c r="D24" s="13">
        <f t="shared" si="2"/>
        <v>811070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808820</v>
      </c>
      <c r="D25" s="13">
        <f t="shared" si="2"/>
        <v>808820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750</v>
      </c>
      <c r="D27" s="13">
        <f t="shared" si="2"/>
        <v>750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46310</v>
      </c>
      <c r="D32" s="13">
        <f t="shared" si="2"/>
        <v>46310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1180</v>
      </c>
      <c r="D35" s="13">
        <f>C35+2850</f>
        <v>4030</v>
      </c>
      <c r="E35" s="38">
        <f>IF(C35=D35,"-",D35-C35)</f>
        <v>2850</v>
      </c>
      <c r="F35" s="39">
        <f>IF(C35=0,"-",D35/C35)</f>
        <v>3.4152999999999998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151671</v>
      </c>
      <c r="D37" s="37">
        <f>C37</f>
        <v>151671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50651</v>
      </c>
      <c r="D38" s="37">
        <f>C38</f>
        <v>50651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1183173</v>
      </c>
      <c r="D39" s="32">
        <f>D11+D13+D24+D30</f>
        <v>1183173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45177</v>
      </c>
      <c r="D40" s="71">
        <f>D41+D42+D43+D51+D53+D59+D60+D58</f>
        <v>45177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2414</v>
      </c>
      <c r="D41" s="33">
        <f>C41</f>
        <v>2414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8149</v>
      </c>
      <c r="D42" s="33">
        <f t="shared" ref="D42:D60" si="3">C42</f>
        <v>8149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567</v>
      </c>
      <c r="D43" s="33">
        <f>D44+D46+D47+D48+D49+D50</f>
        <v>567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53</v>
      </c>
      <c r="D44" s="33">
        <f t="shared" si="3"/>
        <v>53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53</v>
      </c>
      <c r="D45" s="33">
        <f t="shared" si="3"/>
        <v>53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246</v>
      </c>
      <c r="D46" s="33">
        <f t="shared" si="3"/>
        <v>246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262</v>
      </c>
      <c r="D49" s="33">
        <f t="shared" si="3"/>
        <v>262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6</v>
      </c>
      <c r="D50" s="33">
        <f t="shared" si="3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24868</v>
      </c>
      <c r="D51" s="33">
        <f t="shared" si="3"/>
        <v>24868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123</v>
      </c>
      <c r="D52" s="33">
        <f t="shared" si="3"/>
        <v>123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5576</v>
      </c>
      <c r="D53" s="29">
        <f>D54+D55+D56+D57</f>
        <v>5576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4270</v>
      </c>
      <c r="D54" s="33">
        <f t="shared" si="3"/>
        <v>4270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609</v>
      </c>
      <c r="D55" s="33">
        <f t="shared" si="3"/>
        <v>609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697</v>
      </c>
      <c r="D57" s="33">
        <f t="shared" si="3"/>
        <v>697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3073</v>
      </c>
      <c r="D59" s="33">
        <f t="shared" si="3"/>
        <v>3073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530</v>
      </c>
      <c r="D60" s="33">
        <f t="shared" si="3"/>
        <v>530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19850</v>
      </c>
      <c r="D61" s="87">
        <f>D62+D63+D64+D65</f>
        <v>19850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50</v>
      </c>
      <c r="D62" s="33">
        <f>C62</f>
        <v>50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v>18600</v>
      </c>
      <c r="D63" s="33">
        <f>C63</f>
        <v>18600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1200</v>
      </c>
      <c r="D65" s="33">
        <f>C65</f>
        <v>1200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3200</v>
      </c>
      <c r="D66" s="87">
        <f>C66</f>
        <v>3200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3358332</v>
      </c>
      <c r="D6" s="83">
        <f>D7+D8+D9+D14+D15+D16+D17+D18+D19+D20+D21+D22+D23+D24+D28+D29+D31+D32+D33+D34+D35</f>
        <v>3369152</v>
      </c>
      <c r="E6" s="68">
        <f>IF(C6=D6,"-",D6-C6)</f>
        <v>10820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451771</v>
      </c>
      <c r="D7" s="13">
        <f>C7</f>
        <v>451771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182800</v>
      </c>
      <c r="D8" s="13">
        <f>C8</f>
        <v>182800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1763532</v>
      </c>
      <c r="D9" s="13">
        <f>C9+7335</f>
        <v>1770867</v>
      </c>
      <c r="E9" s="38">
        <f t="shared" si="0"/>
        <v>7335</v>
      </c>
      <c r="F9" s="39">
        <f t="shared" si="1"/>
        <v>1.0042</v>
      </c>
    </row>
    <row r="10" spans="1:6" ht="31.5" customHeight="1" x14ac:dyDescent="0.2">
      <c r="A10" s="93" t="s">
        <v>54</v>
      </c>
      <c r="B10" s="45" t="s">
        <v>199</v>
      </c>
      <c r="C10" s="31">
        <v>134200</v>
      </c>
      <c r="D10" s="13">
        <f>C10</f>
        <v>134200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121500</v>
      </c>
      <c r="D11" s="13">
        <f t="shared" ref="D11:D34" si="2">C11</f>
        <v>121500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61700</v>
      </c>
      <c r="D12" s="13">
        <f t="shared" si="2"/>
        <v>61700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28200</v>
      </c>
      <c r="D13" s="13">
        <f t="shared" si="2"/>
        <v>28200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107511</v>
      </c>
      <c r="D14" s="13">
        <f>C14+2805</f>
        <v>110316</v>
      </c>
      <c r="E14" s="38">
        <f t="shared" si="0"/>
        <v>2805</v>
      </c>
      <c r="F14" s="39">
        <f t="shared" si="1"/>
        <v>1.0261</v>
      </c>
    </row>
    <row r="15" spans="1:6" ht="33" customHeight="1" x14ac:dyDescent="0.2">
      <c r="A15" s="92" t="s">
        <v>5</v>
      </c>
      <c r="B15" s="14" t="s">
        <v>118</v>
      </c>
      <c r="C15" s="31">
        <v>82479</v>
      </c>
      <c r="D15" s="13">
        <f t="shared" si="2"/>
        <v>82479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52376</v>
      </c>
      <c r="D16" s="13">
        <f t="shared" si="2"/>
        <v>52376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18761</v>
      </c>
      <c r="D17" s="13">
        <f t="shared" si="2"/>
        <v>18761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88454</v>
      </c>
      <c r="D18" s="13">
        <f t="shared" si="2"/>
        <v>88454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29770</v>
      </c>
      <c r="D19" s="13">
        <f t="shared" si="2"/>
        <v>29770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2528</v>
      </c>
      <c r="D20" s="13">
        <f t="shared" si="2"/>
        <v>2528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10433</v>
      </c>
      <c r="D21" s="13">
        <f t="shared" si="2"/>
        <v>10433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128093</v>
      </c>
      <c r="D22" s="13">
        <f t="shared" si="2"/>
        <v>128093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44000</v>
      </c>
      <c r="D23" s="13">
        <f t="shared" si="2"/>
        <v>44000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381398</v>
      </c>
      <c r="D24" s="13">
        <f t="shared" si="2"/>
        <v>381398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380601</v>
      </c>
      <c r="D25" s="13">
        <f t="shared" si="2"/>
        <v>380601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430</v>
      </c>
      <c r="D26" s="13">
        <f t="shared" si="2"/>
        <v>430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367</v>
      </c>
      <c r="D27" s="13">
        <f t="shared" si="2"/>
        <v>367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12036</v>
      </c>
      <c r="D32" s="13">
        <f t="shared" si="2"/>
        <v>12036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390</v>
      </c>
      <c r="D35" s="13">
        <f>C35+680</f>
        <v>1070</v>
      </c>
      <c r="E35" s="38">
        <f>IF(C35=D35,"-",D35-C35)</f>
        <v>680</v>
      </c>
      <c r="F35" s="39">
        <f>IF(C35=0,"-",D35/C35)</f>
        <v>2.7435999999999998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104549</v>
      </c>
      <c r="D37" s="37">
        <f>C37</f>
        <v>104549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26238</v>
      </c>
      <c r="D38" s="37">
        <f>C38</f>
        <v>26238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531098</v>
      </c>
      <c r="D39" s="32">
        <f>D11+D13+D24+D30</f>
        <v>531098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22645</v>
      </c>
      <c r="D40" s="71">
        <f>D41+D42+D43+D51+D53+D59+D60+D58</f>
        <v>22645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829</v>
      </c>
      <c r="D41" s="33">
        <f>C41</f>
        <v>829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2970</v>
      </c>
      <c r="D42" s="33">
        <f t="shared" ref="D42:D60" si="3">C42</f>
        <v>2970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231</v>
      </c>
      <c r="D43" s="33">
        <f>D44+D46+D47+D48+D49+D50</f>
        <v>231</v>
      </c>
      <c r="E43" s="38" t="str">
        <f t="shared" si="0"/>
        <v>-</v>
      </c>
      <c r="F43" s="39">
        <f t="shared" si="1"/>
        <v>1</v>
      </c>
    </row>
    <row r="44" spans="1:6" ht="23.25" customHeight="1" x14ac:dyDescent="0.2">
      <c r="A44" s="98" t="s">
        <v>37</v>
      </c>
      <c r="B44" s="46" t="s">
        <v>30</v>
      </c>
      <c r="C44" s="31">
        <v>26</v>
      </c>
      <c r="D44" s="33">
        <f t="shared" si="3"/>
        <v>26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24</v>
      </c>
      <c r="D46" s="33">
        <f t="shared" si="3"/>
        <v>24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140</v>
      </c>
      <c r="D49" s="33">
        <f t="shared" si="3"/>
        <v>140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41</v>
      </c>
      <c r="D50" s="33">
        <f t="shared" si="3"/>
        <v>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14250</v>
      </c>
      <c r="D51" s="33">
        <f t="shared" si="3"/>
        <v>14250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57</v>
      </c>
      <c r="D52" s="33">
        <f t="shared" si="3"/>
        <v>57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3195</v>
      </c>
      <c r="D53" s="29">
        <f>D54+D55+D56+D57</f>
        <v>3195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2445</v>
      </c>
      <c r="D54" s="33">
        <f t="shared" si="3"/>
        <v>2445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349</v>
      </c>
      <c r="D55" s="33">
        <f t="shared" si="3"/>
        <v>349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401</v>
      </c>
      <c r="D57" s="33">
        <f t="shared" si="3"/>
        <v>401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1020</v>
      </c>
      <c r="D59" s="33">
        <f t="shared" si="3"/>
        <v>1020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150</v>
      </c>
      <c r="D60" s="33">
        <f t="shared" si="3"/>
        <v>150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237</v>
      </c>
      <c r="D61" s="87">
        <f>D62+D63+D64+D65</f>
        <v>237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237</v>
      </c>
      <c r="D65" s="33">
        <f>C65</f>
        <v>237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66</v>
      </c>
      <c r="D66" s="87">
        <f>C66</f>
        <v>66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9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9" s="22" customFormat="1" ht="33" customHeight="1" x14ac:dyDescent="0.2">
      <c r="A2" s="54" t="s">
        <v>165</v>
      </c>
      <c r="B2" s="54"/>
      <c r="C2" s="55"/>
    </row>
    <row r="3" spans="1:9" ht="33" customHeight="1" x14ac:dyDescent="0.25">
      <c r="A3" s="90"/>
      <c r="B3" s="5"/>
      <c r="C3" s="35"/>
      <c r="D3" s="35"/>
      <c r="E3" s="35" t="s">
        <v>138</v>
      </c>
      <c r="F3" s="6"/>
    </row>
    <row r="4" spans="1:9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9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1073389</v>
      </c>
      <c r="D6" s="83">
        <f>D7+D8+D9+D14+D15+D16+D17+D18+D19+D20+D21+D22+D23+D24+D28+D29+D31+D32+D33+D34+D35</f>
        <v>1073389</v>
      </c>
      <c r="E6" s="68" t="str">
        <f>IF(C6=D6,"-",D6-C6)</f>
        <v>-</v>
      </c>
      <c r="F6" s="84">
        <f>IF(C6=0,"-",D6/C6)</f>
        <v>1</v>
      </c>
      <c r="I6" s="34"/>
    </row>
    <row r="7" spans="1:9" ht="33" customHeight="1" x14ac:dyDescent="0.2">
      <c r="A7" s="92" t="s">
        <v>1</v>
      </c>
      <c r="B7" s="14" t="s">
        <v>116</v>
      </c>
      <c r="C7" s="31">
        <v>0</v>
      </c>
      <c r="D7" s="13">
        <f>C7</f>
        <v>0</v>
      </c>
      <c r="E7" s="38" t="str">
        <f t="shared" ref="E7:E66" si="0">IF(C7=D7,"-",D7-C7)</f>
        <v>-</v>
      </c>
      <c r="F7" s="39" t="str">
        <f t="shared" ref="F7:F66" si="1">IF(C7=0,"-",D7/C7)</f>
        <v>-</v>
      </c>
      <c r="I7" s="34"/>
    </row>
    <row r="8" spans="1:9" ht="33" customHeight="1" x14ac:dyDescent="0.2">
      <c r="A8" s="92" t="s">
        <v>2</v>
      </c>
      <c r="B8" s="14" t="s">
        <v>117</v>
      </c>
      <c r="C8" s="31"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  <c r="I8" s="34"/>
    </row>
    <row r="9" spans="1:9" ht="33" customHeight="1" x14ac:dyDescent="0.2">
      <c r="A9" s="92" t="s">
        <v>3</v>
      </c>
      <c r="B9" s="14" t="s">
        <v>114</v>
      </c>
      <c r="C9" s="31"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  <c r="I9" s="34"/>
    </row>
    <row r="10" spans="1:9" ht="31.5" customHeight="1" x14ac:dyDescent="0.2">
      <c r="A10" s="93" t="s">
        <v>54</v>
      </c>
      <c r="B10" s="45" t="s">
        <v>199</v>
      </c>
      <c r="C10" s="31"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  <c r="I10" s="34"/>
    </row>
    <row r="11" spans="1:9" ht="31.5" customHeight="1" x14ac:dyDescent="0.2">
      <c r="A11" s="93" t="s">
        <v>139</v>
      </c>
      <c r="B11" s="45" t="s">
        <v>142</v>
      </c>
      <c r="C11" s="31"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  <c r="I11" s="34"/>
    </row>
    <row r="12" spans="1:9" ht="31.5" customHeight="1" x14ac:dyDescent="0.2">
      <c r="A12" s="93" t="s">
        <v>140</v>
      </c>
      <c r="B12" s="45" t="s">
        <v>143</v>
      </c>
      <c r="C12" s="31"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  <c r="I12" s="34"/>
    </row>
    <row r="13" spans="1:9" ht="31.5" customHeight="1" x14ac:dyDescent="0.2">
      <c r="A13" s="93" t="s">
        <v>141</v>
      </c>
      <c r="B13" s="45" t="s">
        <v>144</v>
      </c>
      <c r="C13" s="31"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  <c r="I13" s="34"/>
    </row>
    <row r="14" spans="1:9" ht="33" customHeight="1" x14ac:dyDescent="0.2">
      <c r="A14" s="92" t="s">
        <v>4</v>
      </c>
      <c r="B14" s="14" t="s">
        <v>122</v>
      </c>
      <c r="C14" s="31"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  <c r="I14" s="34"/>
    </row>
    <row r="15" spans="1:9" ht="33" customHeight="1" x14ac:dyDescent="0.2">
      <c r="A15" s="92" t="s">
        <v>5</v>
      </c>
      <c r="B15" s="14" t="s">
        <v>118</v>
      </c>
      <c r="C15" s="31"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  <c r="I15" s="34"/>
    </row>
    <row r="16" spans="1:9" ht="33" customHeight="1" x14ac:dyDescent="0.2">
      <c r="A16" s="92" t="s">
        <v>6</v>
      </c>
      <c r="B16" s="14" t="s">
        <v>124</v>
      </c>
      <c r="C16" s="31"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  <c r="I16" s="34"/>
    </row>
    <row r="17" spans="1:9" ht="33" customHeight="1" x14ac:dyDescent="0.2">
      <c r="A17" s="92" t="s">
        <v>7</v>
      </c>
      <c r="B17" s="14" t="s">
        <v>123</v>
      </c>
      <c r="C17" s="31"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  <c r="I17" s="34"/>
    </row>
    <row r="18" spans="1:9" ht="33" customHeight="1" x14ac:dyDescent="0.2">
      <c r="A18" s="92" t="s">
        <v>8</v>
      </c>
      <c r="B18" s="14" t="s">
        <v>119</v>
      </c>
      <c r="C18" s="31"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  <c r="I18" s="34"/>
    </row>
    <row r="19" spans="1:9" ht="33" customHeight="1" x14ac:dyDescent="0.2">
      <c r="A19" s="92" t="s">
        <v>9</v>
      </c>
      <c r="B19" s="14" t="s">
        <v>120</v>
      </c>
      <c r="C19" s="31"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  <c r="I19" s="34"/>
    </row>
    <row r="20" spans="1:9" ht="33" customHeight="1" x14ac:dyDescent="0.2">
      <c r="A20" s="92" t="s">
        <v>10</v>
      </c>
      <c r="B20" s="14" t="s">
        <v>125</v>
      </c>
      <c r="C20" s="31"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  <c r="I20" s="34"/>
    </row>
    <row r="21" spans="1:9" ht="46.5" customHeight="1" x14ac:dyDescent="0.2">
      <c r="A21" s="92" t="s">
        <v>11</v>
      </c>
      <c r="B21" s="14" t="s">
        <v>121</v>
      </c>
      <c r="C21" s="31"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  <c r="I21" s="34"/>
    </row>
    <row r="22" spans="1:9" ht="33" customHeight="1" x14ac:dyDescent="0.2">
      <c r="A22" s="92" t="s">
        <v>12</v>
      </c>
      <c r="B22" s="14" t="s">
        <v>161</v>
      </c>
      <c r="C22" s="31"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  <c r="I22" s="34"/>
    </row>
    <row r="23" spans="1:9" ht="33" customHeight="1" x14ac:dyDescent="0.2">
      <c r="A23" s="92" t="s">
        <v>13</v>
      </c>
      <c r="B23" s="14" t="s">
        <v>145</v>
      </c>
      <c r="C23" s="31"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  <c r="I23" s="34"/>
    </row>
    <row r="24" spans="1:9" ht="33" customHeight="1" x14ac:dyDescent="0.2">
      <c r="A24" s="94" t="s">
        <v>14</v>
      </c>
      <c r="B24" s="30" t="s">
        <v>177</v>
      </c>
      <c r="C24" s="31"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  <c r="I24" s="34"/>
    </row>
    <row r="25" spans="1:9" ht="37.5" x14ac:dyDescent="0.2">
      <c r="A25" s="93" t="s">
        <v>126</v>
      </c>
      <c r="B25" s="45" t="s">
        <v>147</v>
      </c>
      <c r="C25" s="31"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  <c r="I25" s="34"/>
    </row>
    <row r="26" spans="1:9" ht="31.5" customHeight="1" x14ac:dyDescent="0.2">
      <c r="A26" s="93" t="s">
        <v>146</v>
      </c>
      <c r="B26" s="45" t="s">
        <v>149</v>
      </c>
      <c r="C26" s="31"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  <c r="I26" s="34"/>
    </row>
    <row r="27" spans="1:9" ht="37.5" x14ac:dyDescent="0.2">
      <c r="A27" s="93" t="s">
        <v>150</v>
      </c>
      <c r="B27" s="45" t="s">
        <v>148</v>
      </c>
      <c r="C27" s="31"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  <c r="I27" s="34"/>
    </row>
    <row r="28" spans="1:9" ht="33" customHeight="1" x14ac:dyDescent="0.2">
      <c r="A28" s="95" t="s">
        <v>15</v>
      </c>
      <c r="B28" s="15" t="s">
        <v>110</v>
      </c>
      <c r="C28" s="31">
        <v>668390</v>
      </c>
      <c r="D28" s="13">
        <f t="shared" si="2"/>
        <v>668390</v>
      </c>
      <c r="E28" s="38" t="str">
        <f t="shared" si="0"/>
        <v>-</v>
      </c>
      <c r="F28" s="39">
        <f t="shared" si="1"/>
        <v>1</v>
      </c>
      <c r="I28" s="34"/>
    </row>
    <row r="29" spans="1:9" ht="33" customHeight="1" x14ac:dyDescent="0.2">
      <c r="A29" s="95" t="s">
        <v>107</v>
      </c>
      <c r="B29" s="16" t="s">
        <v>151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  <c r="I29" s="34"/>
    </row>
    <row r="30" spans="1:9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  <c r="I30" s="34"/>
    </row>
    <row r="31" spans="1:9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  <c r="I31" s="34"/>
    </row>
    <row r="32" spans="1:9" ht="33" customHeight="1" x14ac:dyDescent="0.2">
      <c r="A32" s="95" t="s">
        <v>109</v>
      </c>
      <c r="B32" s="16" t="s">
        <v>162</v>
      </c>
      <c r="C32" s="31"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  <c r="I32" s="34"/>
    </row>
    <row r="33" spans="1:9" ht="42.75" customHeight="1" x14ac:dyDescent="0.2">
      <c r="A33" s="95" t="s">
        <v>178</v>
      </c>
      <c r="B33" s="16" t="s">
        <v>179</v>
      </c>
      <c r="C33" s="31">
        <v>404999</v>
      </c>
      <c r="D33" s="13">
        <f t="shared" si="2"/>
        <v>404999</v>
      </c>
      <c r="E33" s="38" t="str">
        <f>IF(C33=D33,"-",D33-C33)</f>
        <v>-</v>
      </c>
      <c r="F33" s="39">
        <f>IF(C33=0,"-",D33/C33)</f>
        <v>1</v>
      </c>
      <c r="I33" s="34"/>
    </row>
    <row r="34" spans="1:9" ht="33" customHeight="1" x14ac:dyDescent="0.2">
      <c r="A34" s="95" t="s">
        <v>185</v>
      </c>
      <c r="B34" s="16" t="s">
        <v>186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  <c r="I34" s="34"/>
    </row>
    <row r="35" spans="1:9" ht="53.25" customHeight="1" x14ac:dyDescent="0.2">
      <c r="A35" s="95" t="s">
        <v>196</v>
      </c>
      <c r="B35" s="16" t="s">
        <v>197</v>
      </c>
      <c r="C35" s="31">
        <v>0</v>
      </c>
      <c r="D35" s="13">
        <f t="shared" ref="D35" si="3">C35</f>
        <v>0</v>
      </c>
      <c r="E35" s="38" t="str">
        <f>IF(C35=D35,"-",D35-C35)</f>
        <v>-</v>
      </c>
      <c r="F35" s="39" t="str">
        <f>IF(C35=0,"-",D35/C35)</f>
        <v>-</v>
      </c>
      <c r="I35" s="34"/>
    </row>
    <row r="36" spans="1:9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  <c r="I36" s="34"/>
    </row>
    <row r="37" spans="1:9" s="2" customFormat="1" ht="31.5" customHeight="1" x14ac:dyDescent="0.2">
      <c r="A37" s="96" t="s">
        <v>55</v>
      </c>
      <c r="B37" s="17" t="s">
        <v>58</v>
      </c>
      <c r="C37" s="32"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  <c r="I37" s="34"/>
    </row>
    <row r="38" spans="1:9" s="2" customFormat="1" ht="60.75" x14ac:dyDescent="0.2">
      <c r="A38" s="96" t="s">
        <v>187</v>
      </c>
      <c r="B38" s="17" t="s">
        <v>188</v>
      </c>
      <c r="C38" s="32">
        <v>0</v>
      </c>
      <c r="D38" s="37">
        <f>C38</f>
        <v>0</v>
      </c>
      <c r="E38" s="7" t="str">
        <f t="shared" si="0"/>
        <v>-</v>
      </c>
      <c r="F38" s="40" t="str">
        <f t="shared" si="1"/>
        <v>-</v>
      </c>
      <c r="I38" s="34"/>
    </row>
    <row r="39" spans="1:9" s="2" customFormat="1" ht="42.75" customHeight="1" x14ac:dyDescent="0.2">
      <c r="A39" s="96" t="s">
        <v>153</v>
      </c>
      <c r="B39" s="17" t="s">
        <v>154</v>
      </c>
      <c r="C39" s="32">
        <f>C11+C13+C24+C30</f>
        <v>0</v>
      </c>
      <c r="D39" s="32">
        <f>D11+D13+D24+D30</f>
        <v>0</v>
      </c>
      <c r="E39" s="7" t="str">
        <f t="shared" si="0"/>
        <v>-</v>
      </c>
      <c r="F39" s="40" t="str">
        <f t="shared" si="1"/>
        <v>-</v>
      </c>
      <c r="I39" s="34"/>
    </row>
    <row r="40" spans="1:9" ht="30" customHeight="1" x14ac:dyDescent="0.2">
      <c r="A40" s="97" t="s">
        <v>130</v>
      </c>
      <c r="B40" s="85" t="s">
        <v>183</v>
      </c>
      <c r="C40" s="71">
        <f>C41+C42+C43+C51+C53+C59+C60+C58</f>
        <v>260732</v>
      </c>
      <c r="D40" s="71">
        <f>D41+D42+D43+D51+D53+D59+D60+D58</f>
        <v>260732</v>
      </c>
      <c r="E40" s="68" t="str">
        <f t="shared" si="0"/>
        <v>-</v>
      </c>
      <c r="F40" s="86">
        <f t="shared" si="1"/>
        <v>1</v>
      </c>
      <c r="I40" s="34"/>
    </row>
    <row r="41" spans="1:9" ht="28.5" customHeight="1" x14ac:dyDescent="0.2">
      <c r="A41" s="95" t="s">
        <v>16</v>
      </c>
      <c r="B41" s="18" t="s">
        <v>17</v>
      </c>
      <c r="C41" s="31">
        <v>3688</v>
      </c>
      <c r="D41" s="33">
        <f>C41</f>
        <v>3688</v>
      </c>
      <c r="E41" s="38" t="str">
        <f t="shared" si="0"/>
        <v>-</v>
      </c>
      <c r="F41" s="39">
        <f t="shared" si="1"/>
        <v>1</v>
      </c>
      <c r="I41" s="34"/>
    </row>
    <row r="42" spans="1:9" ht="28.5" customHeight="1" x14ac:dyDescent="0.2">
      <c r="A42" s="95" t="s">
        <v>18</v>
      </c>
      <c r="B42" s="18" t="s">
        <v>19</v>
      </c>
      <c r="C42" s="31">
        <v>120484</v>
      </c>
      <c r="D42" s="33">
        <f t="shared" ref="D42:D60" si="4">C42</f>
        <v>120484</v>
      </c>
      <c r="E42" s="38" t="str">
        <f t="shared" si="0"/>
        <v>-</v>
      </c>
      <c r="F42" s="39">
        <f t="shared" si="1"/>
        <v>1</v>
      </c>
      <c r="I42" s="34"/>
    </row>
    <row r="43" spans="1:9" ht="28.5" customHeight="1" x14ac:dyDescent="0.2">
      <c r="A43" s="95" t="s">
        <v>20</v>
      </c>
      <c r="B43" s="19" t="s">
        <v>184</v>
      </c>
      <c r="C43" s="33">
        <f>C44+C46+C47+C48+C49+C50</f>
        <v>1024</v>
      </c>
      <c r="D43" s="33">
        <f>D44+D46+D47+D48+D49+D50</f>
        <v>1024</v>
      </c>
      <c r="E43" s="38" t="str">
        <f t="shared" si="0"/>
        <v>-</v>
      </c>
      <c r="F43" s="39">
        <f t="shared" si="1"/>
        <v>1</v>
      </c>
      <c r="I43" s="34"/>
    </row>
    <row r="44" spans="1:9" ht="28.5" customHeight="1" x14ac:dyDescent="0.2">
      <c r="A44" s="98" t="s">
        <v>37</v>
      </c>
      <c r="B44" s="46" t="s">
        <v>30</v>
      </c>
      <c r="C44" s="31">
        <v>100</v>
      </c>
      <c r="D44" s="33">
        <f t="shared" si="4"/>
        <v>100</v>
      </c>
      <c r="E44" s="38" t="str">
        <f t="shared" si="0"/>
        <v>-</v>
      </c>
      <c r="F44" s="39">
        <f t="shared" si="1"/>
        <v>1</v>
      </c>
      <c r="I44" s="34"/>
    </row>
    <row r="45" spans="1:9" ht="28.5" customHeight="1" x14ac:dyDescent="0.2">
      <c r="A45" s="98" t="s">
        <v>38</v>
      </c>
      <c r="B45" s="47" t="s">
        <v>31</v>
      </c>
      <c r="C45" s="31">
        <v>100</v>
      </c>
      <c r="D45" s="33">
        <f t="shared" si="4"/>
        <v>100</v>
      </c>
      <c r="E45" s="38" t="str">
        <f t="shared" si="0"/>
        <v>-</v>
      </c>
      <c r="F45" s="39">
        <f t="shared" si="1"/>
        <v>1</v>
      </c>
      <c r="I45" s="34"/>
    </row>
    <row r="46" spans="1:9" ht="28.5" customHeight="1" x14ac:dyDescent="0.2">
      <c r="A46" s="98" t="s">
        <v>39</v>
      </c>
      <c r="B46" s="46" t="s">
        <v>32</v>
      </c>
      <c r="C46" s="31">
        <v>94</v>
      </c>
      <c r="D46" s="33">
        <f t="shared" si="4"/>
        <v>94</v>
      </c>
      <c r="E46" s="38" t="str">
        <f t="shared" si="0"/>
        <v>-</v>
      </c>
      <c r="F46" s="39">
        <f t="shared" si="1"/>
        <v>1</v>
      </c>
      <c r="I46" s="34"/>
    </row>
    <row r="47" spans="1:9" ht="28.5" customHeight="1" x14ac:dyDescent="0.2">
      <c r="A47" s="98" t="s">
        <v>40</v>
      </c>
      <c r="B47" s="46" t="s">
        <v>33</v>
      </c>
      <c r="C47" s="31">
        <v>17</v>
      </c>
      <c r="D47" s="33">
        <f t="shared" si="4"/>
        <v>17</v>
      </c>
      <c r="E47" s="38" t="str">
        <f t="shared" si="0"/>
        <v>-</v>
      </c>
      <c r="F47" s="39">
        <f t="shared" si="1"/>
        <v>1</v>
      </c>
      <c r="I47" s="34"/>
    </row>
    <row r="48" spans="1:9" ht="28.5" customHeight="1" x14ac:dyDescent="0.2">
      <c r="A48" s="98" t="s">
        <v>41</v>
      </c>
      <c r="B48" s="46" t="s">
        <v>34</v>
      </c>
      <c r="C48" s="31"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  <c r="I48" s="34"/>
    </row>
    <row r="49" spans="1:9" ht="28.5" customHeight="1" x14ac:dyDescent="0.2">
      <c r="A49" s="98" t="s">
        <v>42</v>
      </c>
      <c r="B49" s="46" t="s">
        <v>35</v>
      </c>
      <c r="C49" s="31">
        <v>452</v>
      </c>
      <c r="D49" s="33">
        <f t="shared" si="4"/>
        <v>452</v>
      </c>
      <c r="E49" s="38" t="str">
        <f t="shared" si="0"/>
        <v>-</v>
      </c>
      <c r="F49" s="39">
        <f t="shared" si="1"/>
        <v>1</v>
      </c>
      <c r="I49" s="34"/>
    </row>
    <row r="50" spans="1:9" ht="28.5" customHeight="1" x14ac:dyDescent="0.2">
      <c r="A50" s="98" t="s">
        <v>43</v>
      </c>
      <c r="B50" s="46" t="s">
        <v>36</v>
      </c>
      <c r="C50" s="31">
        <v>361</v>
      </c>
      <c r="D50" s="33">
        <f t="shared" si="4"/>
        <v>361</v>
      </c>
      <c r="E50" s="38" t="str">
        <f t="shared" si="0"/>
        <v>-</v>
      </c>
      <c r="F50" s="39">
        <f t="shared" si="1"/>
        <v>1</v>
      </c>
      <c r="I50" s="34"/>
    </row>
    <row r="51" spans="1:9" ht="28.5" customHeight="1" x14ac:dyDescent="0.2">
      <c r="A51" s="95" t="s">
        <v>21</v>
      </c>
      <c r="B51" s="18" t="s">
        <v>155</v>
      </c>
      <c r="C51" s="31">
        <v>46643</v>
      </c>
      <c r="D51" s="33">
        <f t="shared" si="4"/>
        <v>46643</v>
      </c>
      <c r="E51" s="38" t="str">
        <f t="shared" si="0"/>
        <v>-</v>
      </c>
      <c r="F51" s="39">
        <f t="shared" si="1"/>
        <v>1</v>
      </c>
      <c r="I51" s="34"/>
    </row>
    <row r="52" spans="1:9" ht="28.5" customHeight="1" x14ac:dyDescent="0.2">
      <c r="A52" s="98" t="s">
        <v>156</v>
      </c>
      <c r="B52" s="46" t="s">
        <v>157</v>
      </c>
      <c r="C52" s="31">
        <v>423</v>
      </c>
      <c r="D52" s="33">
        <f t="shared" si="4"/>
        <v>423</v>
      </c>
      <c r="E52" s="38" t="str">
        <f t="shared" si="0"/>
        <v>-</v>
      </c>
      <c r="F52" s="39">
        <f t="shared" si="1"/>
        <v>1</v>
      </c>
      <c r="I52" s="34"/>
    </row>
    <row r="53" spans="1:9" ht="28.5" customHeight="1" x14ac:dyDescent="0.2">
      <c r="A53" s="95" t="s">
        <v>22</v>
      </c>
      <c r="B53" s="19" t="s">
        <v>182</v>
      </c>
      <c r="C53" s="29">
        <f>C54+C55+C56+C57</f>
        <v>11241</v>
      </c>
      <c r="D53" s="29">
        <f>D54+D55+D56+D57</f>
        <v>11241</v>
      </c>
      <c r="E53" s="38" t="str">
        <f t="shared" si="0"/>
        <v>-</v>
      </c>
      <c r="F53" s="39">
        <f t="shared" si="1"/>
        <v>1</v>
      </c>
      <c r="I53" s="34"/>
    </row>
    <row r="54" spans="1:9" ht="28.5" customHeight="1" x14ac:dyDescent="0.2">
      <c r="A54" s="98" t="s">
        <v>48</v>
      </c>
      <c r="B54" s="46" t="s">
        <v>44</v>
      </c>
      <c r="C54" s="31">
        <v>8018</v>
      </c>
      <c r="D54" s="33">
        <f t="shared" si="4"/>
        <v>8018</v>
      </c>
      <c r="E54" s="38" t="str">
        <f t="shared" si="0"/>
        <v>-</v>
      </c>
      <c r="F54" s="39">
        <f t="shared" si="1"/>
        <v>1</v>
      </c>
      <c r="I54" s="34"/>
    </row>
    <row r="55" spans="1:9" ht="28.5" customHeight="1" x14ac:dyDescent="0.2">
      <c r="A55" s="98" t="s">
        <v>49</v>
      </c>
      <c r="B55" s="46" t="s">
        <v>45</v>
      </c>
      <c r="C55" s="31">
        <v>1144</v>
      </c>
      <c r="D55" s="33">
        <f t="shared" si="4"/>
        <v>1144</v>
      </c>
      <c r="E55" s="38" t="str">
        <f t="shared" si="0"/>
        <v>-</v>
      </c>
      <c r="F55" s="39">
        <f t="shared" si="1"/>
        <v>1</v>
      </c>
      <c r="I55" s="34"/>
    </row>
    <row r="56" spans="1:9" ht="28.5" customHeight="1" x14ac:dyDescent="0.2">
      <c r="A56" s="98" t="s">
        <v>50</v>
      </c>
      <c r="B56" s="46" t="s">
        <v>46</v>
      </c>
      <c r="C56" s="31"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  <c r="I56" s="34"/>
    </row>
    <row r="57" spans="1:9" ht="28.5" customHeight="1" x14ac:dyDescent="0.2">
      <c r="A57" s="98" t="s">
        <v>51</v>
      </c>
      <c r="B57" s="46" t="s">
        <v>47</v>
      </c>
      <c r="C57" s="31">
        <v>2079</v>
      </c>
      <c r="D57" s="33">
        <f t="shared" si="4"/>
        <v>2079</v>
      </c>
      <c r="E57" s="38" t="str">
        <f t="shared" si="0"/>
        <v>-</v>
      </c>
      <c r="F57" s="39">
        <f t="shared" si="1"/>
        <v>1</v>
      </c>
      <c r="I57" s="34"/>
    </row>
    <row r="58" spans="1:9" ht="28.5" customHeight="1" x14ac:dyDescent="0.2">
      <c r="A58" s="95" t="s">
        <v>23</v>
      </c>
      <c r="B58" s="18" t="s">
        <v>24</v>
      </c>
      <c r="C58" s="31">
        <v>50</v>
      </c>
      <c r="D58" s="33">
        <f t="shared" si="4"/>
        <v>50</v>
      </c>
      <c r="E58" s="38" t="str">
        <f t="shared" si="0"/>
        <v>-</v>
      </c>
      <c r="F58" s="39">
        <f t="shared" si="1"/>
        <v>1</v>
      </c>
      <c r="I58" s="34"/>
    </row>
    <row r="59" spans="1:9" ht="28.5" customHeight="1" x14ac:dyDescent="0.2">
      <c r="A59" s="95" t="s">
        <v>25</v>
      </c>
      <c r="B59" s="18" t="s">
        <v>158</v>
      </c>
      <c r="C59" s="31">
        <v>75225</v>
      </c>
      <c r="D59" s="33">
        <f t="shared" si="4"/>
        <v>75225</v>
      </c>
      <c r="E59" s="38" t="str">
        <f t="shared" si="0"/>
        <v>-</v>
      </c>
      <c r="F59" s="41">
        <f t="shared" si="1"/>
        <v>1</v>
      </c>
      <c r="I59" s="34"/>
    </row>
    <row r="60" spans="1:9" ht="28.5" customHeight="1" x14ac:dyDescent="0.2">
      <c r="A60" s="95" t="s">
        <v>26</v>
      </c>
      <c r="B60" s="18" t="s">
        <v>27</v>
      </c>
      <c r="C60" s="31">
        <v>2377</v>
      </c>
      <c r="D60" s="33">
        <f t="shared" si="4"/>
        <v>2377</v>
      </c>
      <c r="E60" s="38" t="str">
        <f t="shared" si="0"/>
        <v>-</v>
      </c>
      <c r="F60" s="39">
        <f t="shared" si="1"/>
        <v>1</v>
      </c>
      <c r="I60" s="34"/>
    </row>
    <row r="61" spans="1:9" ht="30" customHeight="1" x14ac:dyDescent="0.2">
      <c r="A61" s="99" t="s">
        <v>132</v>
      </c>
      <c r="B61" s="77" t="s">
        <v>159</v>
      </c>
      <c r="C61" s="87">
        <f>C62+C63+C64+C65</f>
        <v>29017</v>
      </c>
      <c r="D61" s="87">
        <f>D62+D63+D64+D65</f>
        <v>29017</v>
      </c>
      <c r="E61" s="68" t="str">
        <f t="shared" si="0"/>
        <v>-</v>
      </c>
      <c r="F61" s="88">
        <f t="shared" si="1"/>
        <v>1</v>
      </c>
      <c r="I61" s="34"/>
    </row>
    <row r="62" spans="1:9" ht="42" customHeight="1" x14ac:dyDescent="0.2">
      <c r="A62" s="95" t="s">
        <v>99</v>
      </c>
      <c r="B62" s="18" t="s">
        <v>112</v>
      </c>
      <c r="C62" s="31">
        <v>875</v>
      </c>
      <c r="D62" s="33">
        <f>C62</f>
        <v>875</v>
      </c>
      <c r="E62" s="29" t="str">
        <f t="shared" si="0"/>
        <v>-</v>
      </c>
      <c r="F62" s="39">
        <f t="shared" si="1"/>
        <v>1</v>
      </c>
      <c r="I62" s="34"/>
    </row>
    <row r="63" spans="1:9" ht="31.5" customHeight="1" x14ac:dyDescent="0.2">
      <c r="A63" s="95" t="s">
        <v>28</v>
      </c>
      <c r="B63" s="18" t="s">
        <v>53</v>
      </c>
      <c r="C63" s="31">
        <v>1180</v>
      </c>
      <c r="D63" s="33">
        <f>C63</f>
        <v>1180</v>
      </c>
      <c r="E63" s="29" t="str">
        <f t="shared" si="0"/>
        <v>-</v>
      </c>
      <c r="F63" s="39">
        <f t="shared" si="1"/>
        <v>1</v>
      </c>
      <c r="I63" s="34"/>
    </row>
    <row r="64" spans="1:9" ht="31.5" customHeight="1" x14ac:dyDescent="0.2">
      <c r="A64" s="95" t="s">
        <v>29</v>
      </c>
      <c r="B64" s="18" t="s">
        <v>101</v>
      </c>
      <c r="C64" s="31">
        <v>21335</v>
      </c>
      <c r="D64" s="33">
        <f>C64</f>
        <v>21335</v>
      </c>
      <c r="E64" s="29" t="str">
        <f t="shared" si="0"/>
        <v>-</v>
      </c>
      <c r="F64" s="39">
        <f t="shared" si="1"/>
        <v>1</v>
      </c>
      <c r="I64" s="34"/>
    </row>
    <row r="65" spans="1:9" ht="31.5" customHeight="1" x14ac:dyDescent="0.2">
      <c r="A65" s="95" t="s">
        <v>100</v>
      </c>
      <c r="B65" s="18" t="s">
        <v>102</v>
      </c>
      <c r="C65" s="31">
        <v>5627</v>
      </c>
      <c r="D65" s="33">
        <f>C65</f>
        <v>5627</v>
      </c>
      <c r="E65" s="29" t="str">
        <f t="shared" si="0"/>
        <v>-</v>
      </c>
      <c r="F65" s="39">
        <f t="shared" si="1"/>
        <v>1</v>
      </c>
      <c r="I65" s="34"/>
    </row>
    <row r="66" spans="1:9" ht="32.25" customHeight="1" x14ac:dyDescent="0.2">
      <c r="A66" s="99" t="s">
        <v>134</v>
      </c>
      <c r="B66" s="77" t="s">
        <v>113</v>
      </c>
      <c r="C66" s="87">
        <v>30182</v>
      </c>
      <c r="D66" s="87">
        <f>C66</f>
        <v>30182</v>
      </c>
      <c r="E66" s="68" t="str">
        <f t="shared" si="0"/>
        <v>-</v>
      </c>
      <c r="F66" s="88">
        <f t="shared" si="1"/>
        <v>1</v>
      </c>
      <c r="I66" s="34"/>
    </row>
    <row r="72" spans="1:9" x14ac:dyDescent="0.2">
      <c r="C72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view="pageBreakPreview" zoomScale="55" zoomScaleNormal="6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166</v>
      </c>
      <c r="B2" s="54"/>
      <c r="C2" s="54"/>
    </row>
    <row r="3" spans="1:6" ht="33" customHeight="1" x14ac:dyDescent="0.25">
      <c r="A3" s="90"/>
      <c r="B3" s="5"/>
      <c r="C3" s="35"/>
      <c r="D3" s="43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77525700</v>
      </c>
      <c r="D6" s="83">
        <f>D7+D8+D9+D14+D15+D16+D17+D18+D19+D20+D21+D22+D23+D24+D28+D29+D31+D32+D33+D34+D35</f>
        <v>77806560</v>
      </c>
      <c r="E6" s="68">
        <f>IF(C6=D6,"-",D6-C6)</f>
        <v>280860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10544040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10544040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4498003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4498003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40134546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40314546</v>
      </c>
      <c r="E9" s="38">
        <f t="shared" si="0"/>
        <v>180000</v>
      </c>
      <c r="F9" s="39">
        <f t="shared" si="1"/>
        <v>1.0044999999999999</v>
      </c>
    </row>
    <row r="10" spans="1:6" ht="31.5" customHeight="1" x14ac:dyDescent="0.2">
      <c r="A10" s="93" t="s">
        <v>54</v>
      </c>
      <c r="B10" s="45" t="s">
        <v>199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3626597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3626597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3297242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3297242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1448100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1448100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683143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683143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2852304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2910044</v>
      </c>
      <c r="E14" s="38">
        <f t="shared" si="0"/>
        <v>57740</v>
      </c>
      <c r="F14" s="39">
        <f t="shared" si="1"/>
        <v>1.0202</v>
      </c>
    </row>
    <row r="15" spans="1:6" ht="33" customHeight="1" x14ac:dyDescent="0.2">
      <c r="A15" s="92" t="s">
        <v>5</v>
      </c>
      <c r="B15" s="14" t="s">
        <v>118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2419700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2419700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1567282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1567282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711836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711836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1896520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1896520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683924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683924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49909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49909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203266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203266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2032132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2032132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1076269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1076269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8355367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8355367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8321856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8321856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20622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20622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12889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12889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115784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115784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12390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12390</v>
      </c>
      <c r="E30" s="38" t="str">
        <f t="shared" si="0"/>
        <v>-</v>
      </c>
      <c r="F30" s="39">
        <f t="shared" si="1"/>
        <v>1</v>
      </c>
    </row>
    <row r="31" spans="1:6" ht="33" customHeight="1" x14ac:dyDescent="0.2">
      <c r="A31" s="95" t="s">
        <v>108</v>
      </c>
      <c r="B31" s="16" t="s">
        <v>111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345506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345506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22877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22877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16435</v>
      </c>
      <c r="D35" s="13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59555</v>
      </c>
      <c r="E35" s="38">
        <f>IF(C35=D35,"-",D35-C35)</f>
        <v>43120</v>
      </c>
      <c r="F35" s="39">
        <f>IF(C35=0,"-",D35/C35)</f>
        <v>3.6236999999999999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4790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4790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1911303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1911303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7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643300</v>
      </c>
      <c r="D38" s="37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643300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12348142</v>
      </c>
      <c r="D39" s="32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12348142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525122</v>
      </c>
      <c r="D40" s="71">
        <f>D41+D42+D43+D51+D53+D59+D60+D58</f>
        <v>525122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21393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21393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73698</v>
      </c>
      <c r="D42" s="33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73698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3991</v>
      </c>
      <c r="D43" s="33">
        <f>D44+D46+D47+D48+D49+D50</f>
        <v>3991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587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587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584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612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612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2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0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2507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2507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283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283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311935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311935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1109</v>
      </c>
      <c r="D52" s="33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1109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69923</v>
      </c>
      <c r="D53" s="29">
        <f>D54+D55+D56+D57</f>
        <v>69923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53379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53379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7464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7464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0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9080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9080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0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39636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39636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4546</v>
      </c>
      <c r="D60" s="33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4546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227907</v>
      </c>
      <c r="D61" s="87">
        <f>D62+D63+D64+D65</f>
        <v>227907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407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407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191158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191158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0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36342</v>
      </c>
      <c r="D65" s="33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36342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52889</v>
      </c>
      <c r="D66" s="87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52889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59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6"/>
  <sheetViews>
    <sheetView showGridLines="0" view="pageBreakPreview" zoomScale="55" zoomScaleNormal="70" zoomScaleSheetLayoutView="55" workbookViewId="0">
      <pane ySplit="6" topLeftCell="A7" activePane="bottomLeft" state="frozen"/>
      <selection activeCell="J7" sqref="J7"/>
      <selection pane="bottomLef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59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5827752</v>
      </c>
      <c r="D6" s="83">
        <f>D7+D8+D9+D14+D15+D16+D17+D18+D19+D20+D21+D22+D23+D24+D28+D29+D31+D32+D33+D34+D35</f>
        <v>5852053</v>
      </c>
      <c r="E6" s="68">
        <f>IF(C6=D6,"-",D6-C6)</f>
        <v>24301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765250</v>
      </c>
      <c r="D7" s="13">
        <f>C7</f>
        <v>765250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374077</v>
      </c>
      <c r="D8" s="13">
        <f>C8</f>
        <v>374077</v>
      </c>
      <c r="E8" s="38" t="str">
        <f>IF(C8=D8,"-",D8-C8)</f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3008286</v>
      </c>
      <c r="D9" s="13">
        <f>C9+14589</f>
        <v>3022875</v>
      </c>
      <c r="E9" s="38">
        <f t="shared" si="0"/>
        <v>14589</v>
      </c>
      <c r="F9" s="39">
        <f t="shared" si="1"/>
        <v>1.0047999999999999</v>
      </c>
    </row>
    <row r="10" spans="1:6" ht="31.5" customHeight="1" x14ac:dyDescent="0.2">
      <c r="A10" s="93" t="s">
        <v>54</v>
      </c>
      <c r="B10" s="45" t="s">
        <v>199</v>
      </c>
      <c r="C10" s="31">
        <v>284681</v>
      </c>
      <c r="D10" s="13">
        <f t="shared" ref="D10:D34" si="2">C10</f>
        <v>284681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259532</v>
      </c>
      <c r="D11" s="13">
        <f t="shared" si="2"/>
        <v>259532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107905</v>
      </c>
      <c r="D12" s="13">
        <f t="shared" si="2"/>
        <v>107905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49131</v>
      </c>
      <c r="D13" s="13">
        <f t="shared" si="2"/>
        <v>49131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231588</v>
      </c>
      <c r="D14" s="13">
        <f>C14+6682</f>
        <v>238270</v>
      </c>
      <c r="E14" s="38">
        <f t="shared" si="0"/>
        <v>6682</v>
      </c>
      <c r="F14" s="39">
        <f t="shared" si="1"/>
        <v>1.0288999999999999</v>
      </c>
    </row>
    <row r="15" spans="1:6" ht="33" customHeight="1" x14ac:dyDescent="0.2">
      <c r="A15" s="92" t="s">
        <v>5</v>
      </c>
      <c r="B15" s="14" t="s">
        <v>118</v>
      </c>
      <c r="C15" s="31">
        <v>179329</v>
      </c>
      <c r="D15" s="13">
        <f t="shared" si="2"/>
        <v>179329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125330</v>
      </c>
      <c r="D16" s="13">
        <f t="shared" si="2"/>
        <v>125330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65697</v>
      </c>
      <c r="D17" s="13">
        <f t="shared" si="2"/>
        <v>65697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123104</v>
      </c>
      <c r="D18" s="13">
        <f t="shared" si="2"/>
        <v>123104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67828</v>
      </c>
      <c r="D19" s="13">
        <f t="shared" si="2"/>
        <v>67828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4892</v>
      </c>
      <c r="D20" s="13">
        <f t="shared" si="2"/>
        <v>4892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15974</v>
      </c>
      <c r="D21" s="13">
        <f t="shared" si="2"/>
        <v>15974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135181</v>
      </c>
      <c r="D22" s="13">
        <f t="shared" si="2"/>
        <v>135181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88100</v>
      </c>
      <c r="D23" s="13">
        <f t="shared" si="2"/>
        <v>88100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610761</v>
      </c>
      <c r="D24" s="13">
        <f t="shared" si="2"/>
        <v>610761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608761</v>
      </c>
      <c r="D25" s="13">
        <f t="shared" si="2"/>
        <v>608761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15329</v>
      </c>
      <c r="D29" s="13">
        <f t="shared" si="2"/>
        <v>15329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v>4390</v>
      </c>
      <c r="D30" s="13">
        <f t="shared" si="2"/>
        <v>4390</v>
      </c>
      <c r="E30" s="38" t="str">
        <f t="shared" si="0"/>
        <v>-</v>
      </c>
      <c r="F30" s="39">
        <f t="shared" si="1"/>
        <v>1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15821</v>
      </c>
      <c r="D32" s="13">
        <f t="shared" si="2"/>
        <v>15821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1105</v>
      </c>
      <c r="D35" s="13">
        <f>C35+3030</f>
        <v>4135</v>
      </c>
      <c r="E35" s="38">
        <f>IF(C35=D35,"-",D35-C35)</f>
        <v>3030</v>
      </c>
      <c r="F35" s="39">
        <f>IF(C35=0,"-",D35/C35)</f>
        <v>3.7421000000000002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612</v>
      </c>
      <c r="D36" s="37">
        <f>C36</f>
        <v>612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143812</v>
      </c>
      <c r="D37" s="37">
        <f>C37</f>
        <v>143812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49029</v>
      </c>
      <c r="D38" s="37">
        <f>C38</f>
        <v>49029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923814</v>
      </c>
      <c r="D39" s="32">
        <f>D11+D13+D24+D30</f>
        <v>923814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36268</v>
      </c>
      <c r="D40" s="71">
        <f>D41+D42+D43+D51+D53+D59+D60+D58</f>
        <v>36268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1429</v>
      </c>
      <c r="D41" s="33">
        <f>C41</f>
        <v>1429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4911</v>
      </c>
      <c r="D42" s="33">
        <f t="shared" ref="D42:D60" si="3">C42</f>
        <v>4911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359</v>
      </c>
      <c r="D43" s="33">
        <f>D44+D46+D47+D48+D49+D50</f>
        <v>359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55</v>
      </c>
      <c r="D44" s="33">
        <f t="shared" si="3"/>
        <v>55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55</v>
      </c>
      <c r="D45" s="33">
        <f t="shared" si="3"/>
        <v>55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68</v>
      </c>
      <c r="D46" s="33">
        <f t="shared" si="3"/>
        <v>68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1</v>
      </c>
      <c r="D47" s="33">
        <f t="shared" si="3"/>
        <v>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233</v>
      </c>
      <c r="D49" s="33">
        <f t="shared" si="3"/>
        <v>233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2</v>
      </c>
      <c r="D50" s="33">
        <f t="shared" si="3"/>
        <v>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22409</v>
      </c>
      <c r="D51" s="33">
        <f t="shared" si="3"/>
        <v>22409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100</v>
      </c>
      <c r="D52" s="33">
        <f t="shared" si="3"/>
        <v>100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5026</v>
      </c>
      <c r="D53" s="29">
        <f>D54+D55+D56+D57</f>
        <v>5026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3745</v>
      </c>
      <c r="D54" s="33">
        <f t="shared" si="3"/>
        <v>3745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449</v>
      </c>
      <c r="D55" s="33">
        <f t="shared" si="3"/>
        <v>449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832</v>
      </c>
      <c r="D57" s="33">
        <f t="shared" si="3"/>
        <v>832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1933</v>
      </c>
      <c r="D59" s="33">
        <f t="shared" si="3"/>
        <v>1933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201</v>
      </c>
      <c r="D60" s="33">
        <f t="shared" si="3"/>
        <v>201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16705</v>
      </c>
      <c r="D61" s="87">
        <f>D62+D63+D64+D65</f>
        <v>16705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15045</v>
      </c>
      <c r="D63" s="33">
        <f>C63</f>
        <v>15045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1660</v>
      </c>
      <c r="D65" s="33">
        <f>C65</f>
        <v>1660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1981</v>
      </c>
      <c r="D66" s="87">
        <f>C66</f>
        <v>1981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4144125</v>
      </c>
      <c r="D6" s="83">
        <f>D7+D8+D9+D14+D15+D16+D17+D18+D19+D20+D21+D22+D23+D24+D28+D29+D31+D32+D33+D34+D35</f>
        <v>4158329</v>
      </c>
      <c r="E6" s="68">
        <f>IF(C6=D6,"-",D6-C6)</f>
        <v>14204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570824</v>
      </c>
      <c r="D7" s="13">
        <f>C7</f>
        <v>570824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199461</v>
      </c>
      <c r="D8" s="13">
        <f>C8</f>
        <v>199461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2136023</v>
      </c>
      <c r="D9" s="13">
        <f>C9+9107</f>
        <v>2145130</v>
      </c>
      <c r="E9" s="38">
        <f t="shared" si="0"/>
        <v>9107</v>
      </c>
      <c r="F9" s="39">
        <f t="shared" si="1"/>
        <v>1.0043</v>
      </c>
    </row>
    <row r="10" spans="1:6" ht="31.5" customHeight="1" x14ac:dyDescent="0.2">
      <c r="A10" s="93" t="s">
        <v>54</v>
      </c>
      <c r="B10" s="45" t="s">
        <v>199</v>
      </c>
      <c r="C10" s="31">
        <v>185296</v>
      </c>
      <c r="D10" s="13">
        <f t="shared" ref="D10:D34" si="2">C10</f>
        <v>185296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167652</v>
      </c>
      <c r="D11" s="13">
        <f t="shared" si="2"/>
        <v>167652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69455</v>
      </c>
      <c r="D12" s="13">
        <f t="shared" si="2"/>
        <v>69455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38995</v>
      </c>
      <c r="D13" s="13">
        <f t="shared" si="2"/>
        <v>38995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153154</v>
      </c>
      <c r="D14" s="13">
        <f>C14+3062</f>
        <v>156216</v>
      </c>
      <c r="E14" s="38">
        <f t="shared" si="0"/>
        <v>3062</v>
      </c>
      <c r="F14" s="39">
        <f t="shared" si="1"/>
        <v>1.02</v>
      </c>
    </row>
    <row r="15" spans="1:6" ht="33" customHeight="1" x14ac:dyDescent="0.2">
      <c r="A15" s="92" t="s">
        <v>5</v>
      </c>
      <c r="B15" s="14" t="s">
        <v>118</v>
      </c>
      <c r="C15" s="31">
        <v>118002</v>
      </c>
      <c r="D15" s="13">
        <f t="shared" si="2"/>
        <v>118002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68182</v>
      </c>
      <c r="D16" s="13">
        <f t="shared" si="2"/>
        <v>68182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47060</v>
      </c>
      <c r="D17" s="13">
        <f t="shared" si="2"/>
        <v>47060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102087</v>
      </c>
      <c r="D18" s="13">
        <f t="shared" si="2"/>
        <v>102087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37732</v>
      </c>
      <c r="D19" s="13">
        <f t="shared" si="2"/>
        <v>37732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3050</v>
      </c>
      <c r="D20" s="13">
        <f t="shared" si="2"/>
        <v>3050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13770</v>
      </c>
      <c r="D21" s="13">
        <f t="shared" si="2"/>
        <v>13770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113620</v>
      </c>
      <c r="D22" s="13">
        <f t="shared" si="2"/>
        <v>113620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53000</v>
      </c>
      <c r="D23" s="13">
        <f t="shared" si="2"/>
        <v>53000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439358</v>
      </c>
      <c r="D24" s="13">
        <f t="shared" si="2"/>
        <v>439358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438325</v>
      </c>
      <c r="D25" s="13">
        <f t="shared" si="2"/>
        <v>438325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55675</v>
      </c>
      <c r="D29" s="13">
        <f t="shared" si="2"/>
        <v>55675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32177</v>
      </c>
      <c r="D32" s="13">
        <f t="shared" si="2"/>
        <v>32177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200</v>
      </c>
      <c r="D34" s="13">
        <f t="shared" si="2"/>
        <v>200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750</v>
      </c>
      <c r="D35" s="13">
        <f>C35+2035</f>
        <v>2785</v>
      </c>
      <c r="E35" s="38">
        <f>IF(C35=D35,"-",D35-C35)</f>
        <v>2035</v>
      </c>
      <c r="F35" s="39">
        <f>IF(C35=0,"-",D35/C35)</f>
        <v>3.7132999999999998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115646</v>
      </c>
      <c r="D37" s="37">
        <f>C37</f>
        <v>115646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32446</v>
      </c>
      <c r="D38" s="37">
        <f>C38</f>
        <v>32446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646005</v>
      </c>
      <c r="D39" s="32">
        <f>D11+D13+D24+D30</f>
        <v>646005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33024</v>
      </c>
      <c r="D40" s="71">
        <f>D41+D42+D43+D51+D53+D59+D60+D58</f>
        <v>33024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1660</v>
      </c>
      <c r="D41" s="33">
        <f>C41</f>
        <v>1660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5217</v>
      </c>
      <c r="D42" s="33">
        <f t="shared" ref="D42:D60" si="3">C42</f>
        <v>5217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302</v>
      </c>
      <c r="D43" s="33">
        <f>D44+D46+D47+D48+D49+D50</f>
        <v>302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82</v>
      </c>
      <c r="D44" s="33">
        <f t="shared" si="3"/>
        <v>82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82</v>
      </c>
      <c r="D45" s="33">
        <f t="shared" si="3"/>
        <v>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25</v>
      </c>
      <c r="D46" s="33">
        <f t="shared" si="3"/>
        <v>25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180</v>
      </c>
      <c r="D49" s="33">
        <f t="shared" si="3"/>
        <v>180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15</v>
      </c>
      <c r="D50" s="33">
        <f t="shared" si="3"/>
        <v>15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15812</v>
      </c>
      <c r="D51" s="33">
        <f t="shared" si="3"/>
        <v>15812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0</v>
      </c>
      <c r="D52" s="33">
        <f t="shared" si="3"/>
        <v>0</v>
      </c>
      <c r="E52" s="38" t="str">
        <f t="shared" si="0"/>
        <v>-</v>
      </c>
      <c r="F52" s="39" t="str">
        <f t="shared" si="1"/>
        <v>-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3545</v>
      </c>
      <c r="D53" s="29">
        <f>D54+D55+D56+D57</f>
        <v>3545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2647</v>
      </c>
      <c r="D54" s="33">
        <f t="shared" si="3"/>
        <v>2647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306</v>
      </c>
      <c r="D55" s="33">
        <f t="shared" si="3"/>
        <v>306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592</v>
      </c>
      <c r="D57" s="33">
        <f t="shared" si="3"/>
        <v>592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6070</v>
      </c>
      <c r="D59" s="33">
        <f t="shared" si="3"/>
        <v>6070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418</v>
      </c>
      <c r="D60" s="33">
        <f t="shared" si="3"/>
        <v>418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45001</v>
      </c>
      <c r="D61" s="87">
        <f>D62+D63+D64+D65</f>
        <v>45001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38601</v>
      </c>
      <c r="D63" s="33">
        <f>C63</f>
        <v>38601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6400</v>
      </c>
      <c r="D65" s="33">
        <f>C65</f>
        <v>6400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18259</v>
      </c>
      <c r="D66" s="87">
        <f>C66</f>
        <v>18259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4343939</v>
      </c>
      <c r="D6" s="83">
        <f>D7+D8+D9+D14+D15+D16+D17+D18+D19+D20+D21+D22+D23+D24+D28+D29+D31+D32+D33+D34+D35</f>
        <v>4358307</v>
      </c>
      <c r="E6" s="68">
        <f>IF(C6=D6,"-",D6-C6)</f>
        <v>14368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568716</v>
      </c>
      <c r="D7" s="13">
        <f>C7</f>
        <v>568716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228285</v>
      </c>
      <c r="D8" s="13">
        <f>C8</f>
        <v>228285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2261285</v>
      </c>
      <c r="D9" s="13">
        <f>C9+9571</f>
        <v>2270856</v>
      </c>
      <c r="E9" s="38">
        <f t="shared" si="0"/>
        <v>9571</v>
      </c>
      <c r="F9" s="39">
        <f t="shared" si="1"/>
        <v>1.0042</v>
      </c>
    </row>
    <row r="10" spans="1:6" ht="31.5" customHeight="1" x14ac:dyDescent="0.2">
      <c r="A10" s="93" t="s">
        <v>54</v>
      </c>
      <c r="B10" s="45" t="s">
        <v>199</v>
      </c>
      <c r="C10" s="31">
        <v>194028</v>
      </c>
      <c r="D10" s="13">
        <f t="shared" ref="D10:D34" si="2">C10</f>
        <v>194028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174326</v>
      </c>
      <c r="D11" s="13">
        <f t="shared" si="2"/>
        <v>174326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95775</v>
      </c>
      <c r="D12" s="13">
        <f t="shared" si="2"/>
        <v>95775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44369</v>
      </c>
      <c r="D13" s="13">
        <f t="shared" si="2"/>
        <v>44369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173991</v>
      </c>
      <c r="D14" s="13">
        <f>C14+3947</f>
        <v>177938</v>
      </c>
      <c r="E14" s="38">
        <f t="shared" si="0"/>
        <v>3947</v>
      </c>
      <c r="F14" s="39">
        <f t="shared" si="1"/>
        <v>1.0226999999999999</v>
      </c>
    </row>
    <row r="15" spans="1:6" ht="33" customHeight="1" x14ac:dyDescent="0.2">
      <c r="A15" s="92" t="s">
        <v>5</v>
      </c>
      <c r="B15" s="14" t="s">
        <v>118</v>
      </c>
      <c r="C15" s="31">
        <v>132636</v>
      </c>
      <c r="D15" s="13">
        <f t="shared" si="2"/>
        <v>132636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88730</v>
      </c>
      <c r="D16" s="13">
        <f t="shared" si="2"/>
        <v>88730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32413</v>
      </c>
      <c r="D17" s="13">
        <f t="shared" si="2"/>
        <v>32413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130071</v>
      </c>
      <c r="D18" s="13">
        <f t="shared" si="2"/>
        <v>130071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42622</v>
      </c>
      <c r="D19" s="13">
        <f t="shared" si="2"/>
        <v>42622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3513</v>
      </c>
      <c r="D20" s="13">
        <f t="shared" si="2"/>
        <v>3513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11300</v>
      </c>
      <c r="D21" s="13">
        <f t="shared" si="2"/>
        <v>11300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120488</v>
      </c>
      <c r="D22" s="13">
        <f t="shared" si="2"/>
        <v>120488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54113</v>
      </c>
      <c r="D23" s="13">
        <f t="shared" si="2"/>
        <v>54113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473388</v>
      </c>
      <c r="D24" s="13">
        <f t="shared" si="2"/>
        <v>473388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470888</v>
      </c>
      <c r="D25" s="13">
        <f t="shared" si="2"/>
        <v>470888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300</v>
      </c>
      <c r="D27" s="13">
        <f t="shared" si="2"/>
        <v>300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20968</v>
      </c>
      <c r="D32" s="13">
        <f t="shared" si="2"/>
        <v>20968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420</v>
      </c>
      <c r="D35" s="13">
        <f>C35+850</f>
        <v>1270</v>
      </c>
      <c r="E35" s="38">
        <f>IF(C35=D35,"-",D35-C35)</f>
        <v>850</v>
      </c>
      <c r="F35" s="39">
        <f>IF(C35=0,"-",D35/C35)</f>
        <v>3.0238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114331</v>
      </c>
      <c r="D37" s="37">
        <f>C37</f>
        <v>114331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38608</v>
      </c>
      <c r="D38" s="37">
        <f>C38</f>
        <v>38608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692083</v>
      </c>
      <c r="D39" s="32">
        <f>D11+D13+D24+D30</f>
        <v>692083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25579</v>
      </c>
      <c r="D40" s="71">
        <f>D41+D42+D43+D51+D53+D59+D60+D58</f>
        <v>25579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893</v>
      </c>
      <c r="D41" s="33">
        <f>C41</f>
        <v>893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2867</v>
      </c>
      <c r="D42" s="33">
        <f t="shared" ref="D42:D60" si="3">C42</f>
        <v>2867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271</v>
      </c>
      <c r="D43" s="33">
        <f>D44+D46+D47+D48+D49+D50</f>
        <v>271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32</v>
      </c>
      <c r="D44" s="33">
        <f t="shared" si="3"/>
        <v>32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32</v>
      </c>
      <c r="D45" s="33">
        <f t="shared" si="3"/>
        <v>32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225</v>
      </c>
      <c r="D49" s="33">
        <f t="shared" si="3"/>
        <v>225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14</v>
      </c>
      <c r="D50" s="33">
        <f t="shared" si="3"/>
        <v>14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16499</v>
      </c>
      <c r="D51" s="33">
        <f t="shared" si="3"/>
        <v>16499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144</v>
      </c>
      <c r="D52" s="33">
        <f t="shared" si="3"/>
        <v>144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3699</v>
      </c>
      <c r="D53" s="29">
        <f>D54+D55+D56+D57</f>
        <v>3699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2834</v>
      </c>
      <c r="D54" s="33">
        <f t="shared" si="3"/>
        <v>2834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405</v>
      </c>
      <c r="D55" s="33">
        <f t="shared" si="3"/>
        <v>405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460</v>
      </c>
      <c r="D57" s="33">
        <f t="shared" si="3"/>
        <v>460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966</v>
      </c>
      <c r="D59" s="33">
        <f t="shared" si="3"/>
        <v>966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384</v>
      </c>
      <c r="D60" s="33">
        <f t="shared" si="3"/>
        <v>384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41500</v>
      </c>
      <c r="D61" s="87">
        <f>D62+D63+D64+D65</f>
        <v>41500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40500</v>
      </c>
      <c r="D63" s="33">
        <f>C63</f>
        <v>40500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1000</v>
      </c>
      <c r="D65" s="33">
        <f>C65</f>
        <v>1000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5000</v>
      </c>
      <c r="D66" s="87">
        <f>C66</f>
        <v>5000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1979271</v>
      </c>
      <c r="D6" s="83">
        <f>D7+D8+D9+D14+D15+D16+D17+D18+D19+D20+D21+D22+D23+D24+D28+D29+D31+D32+D33+D34+D35</f>
        <v>1987229</v>
      </c>
      <c r="E6" s="68">
        <f>IF(C6=D6,"-",D6-C6)</f>
        <v>7958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281753</v>
      </c>
      <c r="D7" s="13">
        <f>C7</f>
        <v>281753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111258</v>
      </c>
      <c r="D8" s="13">
        <f>C8</f>
        <v>111258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1022750</v>
      </c>
      <c r="D9" s="13">
        <f>C9+4352</f>
        <v>1027102</v>
      </c>
      <c r="E9" s="38">
        <f t="shared" si="0"/>
        <v>4352</v>
      </c>
      <c r="F9" s="39">
        <f t="shared" si="1"/>
        <v>1.0043</v>
      </c>
    </row>
    <row r="10" spans="1:6" ht="31.5" customHeight="1" x14ac:dyDescent="0.2">
      <c r="A10" s="93" t="s">
        <v>54</v>
      </c>
      <c r="B10" s="45" t="s">
        <v>199</v>
      </c>
      <c r="C10" s="31">
        <v>84280</v>
      </c>
      <c r="D10" s="13">
        <f>C10</f>
        <v>84280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78007</v>
      </c>
      <c r="D11" s="13">
        <f t="shared" ref="D11:D34" si="2">C11</f>
        <v>78007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38889</v>
      </c>
      <c r="D12" s="13">
        <f t="shared" si="2"/>
        <v>38889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15940</v>
      </c>
      <c r="D13" s="13">
        <f t="shared" si="2"/>
        <v>15940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94869</v>
      </c>
      <c r="D14" s="13">
        <f>C14+2816</f>
        <v>97685</v>
      </c>
      <c r="E14" s="38">
        <f t="shared" si="0"/>
        <v>2816</v>
      </c>
      <c r="F14" s="39">
        <f t="shared" si="1"/>
        <v>1.0297000000000001</v>
      </c>
    </row>
    <row r="15" spans="1:6" ht="33" customHeight="1" x14ac:dyDescent="0.2">
      <c r="A15" s="92" t="s">
        <v>5</v>
      </c>
      <c r="B15" s="14" t="s">
        <v>118</v>
      </c>
      <c r="C15" s="31">
        <v>55557</v>
      </c>
      <c r="D15" s="13">
        <f t="shared" si="2"/>
        <v>55557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31269</v>
      </c>
      <c r="D16" s="13">
        <f t="shared" si="2"/>
        <v>31269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15992</v>
      </c>
      <c r="D17" s="13">
        <f t="shared" si="2"/>
        <v>15992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40282</v>
      </c>
      <c r="D18" s="13">
        <f t="shared" si="2"/>
        <v>40282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14400</v>
      </c>
      <c r="D19" s="13">
        <f t="shared" si="2"/>
        <v>14400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1693</v>
      </c>
      <c r="D20" s="13">
        <f t="shared" si="2"/>
        <v>1693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5581</v>
      </c>
      <c r="D21" s="13">
        <f t="shared" si="2"/>
        <v>5581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56879</v>
      </c>
      <c r="D22" s="13">
        <f t="shared" si="2"/>
        <v>56879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28665</v>
      </c>
      <c r="D23" s="13">
        <f t="shared" si="2"/>
        <v>28665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202785</v>
      </c>
      <c r="D24" s="13">
        <f t="shared" si="2"/>
        <v>202785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202235</v>
      </c>
      <c r="D25" s="13">
        <f t="shared" si="2"/>
        <v>202235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3765</v>
      </c>
      <c r="D29" s="13">
        <f t="shared" si="2"/>
        <v>3765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10363</v>
      </c>
      <c r="D32" s="13">
        <f t="shared" si="2"/>
        <v>10363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410</v>
      </c>
      <c r="D35" s="13">
        <f>C35+790</f>
        <v>1200</v>
      </c>
      <c r="E35" s="38">
        <f>IF(C35=D35,"-",D35-C35)</f>
        <v>790</v>
      </c>
      <c r="F35" s="39">
        <f>IF(C35=0,"-",D35/C35)</f>
        <v>2.9268000000000001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66976</v>
      </c>
      <c r="D37" s="37">
        <f>C37</f>
        <v>66976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14878</v>
      </c>
      <c r="D38" s="37">
        <f>C38</f>
        <v>14878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296732</v>
      </c>
      <c r="D39" s="32">
        <f>D11+D13+D24+D30</f>
        <v>296732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17681</v>
      </c>
      <c r="D40" s="71">
        <f>D41+D42+D43+D51+D53+D59+D60+D58</f>
        <v>17681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829</v>
      </c>
      <c r="D41" s="33">
        <f>C41</f>
        <v>829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2203</v>
      </c>
      <c r="D42" s="33">
        <f t="shared" ref="D42:D60" si="3">C42</f>
        <v>2203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80</v>
      </c>
      <c r="D43" s="33">
        <f>D44+D46+D47+D48+D49+D50</f>
        <v>80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15</v>
      </c>
      <c r="D44" s="33">
        <f t="shared" si="3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15</v>
      </c>
      <c r="D45" s="33">
        <f t="shared" si="3"/>
        <v>15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41</v>
      </c>
      <c r="D49" s="33">
        <f t="shared" si="3"/>
        <v>41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24</v>
      </c>
      <c r="D50" s="33">
        <f t="shared" si="3"/>
        <v>24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9524</v>
      </c>
      <c r="D51" s="33">
        <f t="shared" si="3"/>
        <v>9524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43</v>
      </c>
      <c r="D52" s="33">
        <f t="shared" si="3"/>
        <v>43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2131</v>
      </c>
      <c r="D53" s="29">
        <f>D54+D55+D56+D57</f>
        <v>2131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1634</v>
      </c>
      <c r="D54" s="33">
        <f t="shared" si="3"/>
        <v>1634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233</v>
      </c>
      <c r="D55" s="33">
        <f t="shared" si="3"/>
        <v>233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264</v>
      </c>
      <c r="D57" s="33">
        <f t="shared" si="3"/>
        <v>264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2600</v>
      </c>
      <c r="D59" s="33">
        <f t="shared" si="3"/>
        <v>2600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314</v>
      </c>
      <c r="D60" s="33">
        <f t="shared" si="3"/>
        <v>314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2623</v>
      </c>
      <c r="D61" s="87">
        <f>D62+D63+D64+D65</f>
        <v>2623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1523</v>
      </c>
      <c r="D63" s="33">
        <f>C63</f>
        <v>1523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1100</v>
      </c>
      <c r="D65" s="33">
        <f>C65</f>
        <v>1100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750</v>
      </c>
      <c r="D66" s="87">
        <f>C66</f>
        <v>750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5289084</v>
      </c>
      <c r="D6" s="83">
        <f>D7+D8+D9+D14+D15+D16+D17+D18+D19+D20+D21+D22+D23+D24+D28+D29+D31+D32+D33+D34+D35</f>
        <v>5307554</v>
      </c>
      <c r="E6" s="68">
        <f>IF(C6=D6,"-",D6-C6)</f>
        <v>18470</v>
      </c>
      <c r="F6" s="84">
        <f>IF(C6=0,"-",D6/C6)</f>
        <v>1.0029999999999999</v>
      </c>
    </row>
    <row r="7" spans="1:6" ht="33" customHeight="1" x14ac:dyDescent="0.2">
      <c r="A7" s="92" t="s">
        <v>1</v>
      </c>
      <c r="B7" s="14" t="s">
        <v>116</v>
      </c>
      <c r="C7" s="31">
        <v>701671</v>
      </c>
      <c r="D7" s="13">
        <f>C7</f>
        <v>701671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280906</v>
      </c>
      <c r="D8" s="13">
        <f>C8</f>
        <v>280906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2813021</v>
      </c>
      <c r="D9" s="13">
        <f>C9+11622</f>
        <v>2824643</v>
      </c>
      <c r="E9" s="38">
        <f t="shared" si="0"/>
        <v>11622</v>
      </c>
      <c r="F9" s="39">
        <f t="shared" si="1"/>
        <v>1.0041</v>
      </c>
    </row>
    <row r="10" spans="1:6" ht="31.5" customHeight="1" x14ac:dyDescent="0.2">
      <c r="A10" s="93" t="s">
        <v>54</v>
      </c>
      <c r="B10" s="45" t="s">
        <v>199</v>
      </c>
      <c r="C10" s="31">
        <v>284417</v>
      </c>
      <c r="D10" s="13">
        <f>C10</f>
        <v>284417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259200</v>
      </c>
      <c r="D11" s="13">
        <f t="shared" ref="D11:D34" si="2">C11</f>
        <v>259200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92152</v>
      </c>
      <c r="D12" s="13">
        <f t="shared" si="2"/>
        <v>92152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37285</v>
      </c>
      <c r="D13" s="13">
        <f t="shared" si="2"/>
        <v>37285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196090</v>
      </c>
      <c r="D14" s="13">
        <f>C14+3823</f>
        <v>199913</v>
      </c>
      <c r="E14" s="38">
        <f t="shared" si="0"/>
        <v>3823</v>
      </c>
      <c r="F14" s="39">
        <f t="shared" si="1"/>
        <v>1.0195000000000001</v>
      </c>
    </row>
    <row r="15" spans="1:6" ht="33" customHeight="1" x14ac:dyDescent="0.2">
      <c r="A15" s="92" t="s">
        <v>5</v>
      </c>
      <c r="B15" s="14" t="s">
        <v>118</v>
      </c>
      <c r="C15" s="31">
        <v>138942</v>
      </c>
      <c r="D15" s="13">
        <f t="shared" si="2"/>
        <v>138942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77698</v>
      </c>
      <c r="D16" s="13">
        <f t="shared" si="2"/>
        <v>77698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36771</v>
      </c>
      <c r="D17" s="13">
        <f t="shared" si="2"/>
        <v>36771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130292</v>
      </c>
      <c r="D18" s="13">
        <f t="shared" si="2"/>
        <v>130292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44500</v>
      </c>
      <c r="D19" s="13">
        <f t="shared" si="2"/>
        <v>44500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2506</v>
      </c>
      <c r="D20" s="13">
        <f t="shared" si="2"/>
        <v>2506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12258</v>
      </c>
      <c r="D21" s="13">
        <f t="shared" si="2"/>
        <v>12258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145182</v>
      </c>
      <c r="D22" s="13">
        <f t="shared" si="2"/>
        <v>145182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69421</v>
      </c>
      <c r="D23" s="13">
        <f t="shared" si="2"/>
        <v>69421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612383</v>
      </c>
      <c r="D24" s="13">
        <f t="shared" si="2"/>
        <v>612383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610670</v>
      </c>
      <c r="D25" s="13">
        <f t="shared" si="2"/>
        <v>610670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20838</v>
      </c>
      <c r="D32" s="13">
        <f t="shared" si="2"/>
        <v>20838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5500</v>
      </c>
      <c r="D34" s="13">
        <f t="shared" si="2"/>
        <v>5500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1105</v>
      </c>
      <c r="D35" s="13">
        <f>C35+3025</f>
        <v>4130</v>
      </c>
      <c r="E35" s="38">
        <f>IF(C35=D35,"-",D35-C35)</f>
        <v>3025</v>
      </c>
      <c r="F35" s="39">
        <f>IF(C35=0,"-",D35/C35)</f>
        <v>3.7376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127580</v>
      </c>
      <c r="D37" s="37">
        <f>C37</f>
        <v>127580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45730</v>
      </c>
      <c r="D38" s="37">
        <f>C38</f>
        <v>45730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908868</v>
      </c>
      <c r="D39" s="32">
        <f>D11+D13+D24+D30</f>
        <v>908868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32539</v>
      </c>
      <c r="D40" s="71">
        <f>D41+D42+D43+D51+D53+D59+D60+D58</f>
        <v>32539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1279</v>
      </c>
      <c r="D41" s="33">
        <f>C41</f>
        <v>1279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5394</v>
      </c>
      <c r="D42" s="33">
        <f t="shared" ref="D42:D60" si="3">C42</f>
        <v>5394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273</v>
      </c>
      <c r="D43" s="33">
        <f>D44+D46+D47+D48+D49+D50</f>
        <v>273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11</v>
      </c>
      <c r="D44" s="33">
        <f t="shared" si="3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11</v>
      </c>
      <c r="D45" s="33">
        <f t="shared" si="3"/>
        <v>11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10</v>
      </c>
      <c r="D46" s="33">
        <f t="shared" si="3"/>
        <v>10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248</v>
      </c>
      <c r="D49" s="33">
        <f t="shared" si="3"/>
        <v>248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4</v>
      </c>
      <c r="D50" s="33">
        <f t="shared" si="3"/>
        <v>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19220</v>
      </c>
      <c r="D51" s="33">
        <f t="shared" si="3"/>
        <v>19220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90</v>
      </c>
      <c r="D52" s="33">
        <f t="shared" si="3"/>
        <v>90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4310</v>
      </c>
      <c r="D53" s="29">
        <f>D54+D55+D56+D57</f>
        <v>4310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3300</v>
      </c>
      <c r="D54" s="33">
        <f t="shared" si="3"/>
        <v>3300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471</v>
      </c>
      <c r="D55" s="33">
        <f t="shared" si="3"/>
        <v>471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539</v>
      </c>
      <c r="D57" s="33">
        <f t="shared" si="3"/>
        <v>539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1780</v>
      </c>
      <c r="D59" s="33">
        <f t="shared" si="3"/>
        <v>1780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283</v>
      </c>
      <c r="D60" s="33">
        <f t="shared" si="3"/>
        <v>283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16800</v>
      </c>
      <c r="D61" s="87">
        <f>D62+D63+D64+D65</f>
        <v>16800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14800</v>
      </c>
      <c r="D63" s="33">
        <f>C63</f>
        <v>14800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2000</v>
      </c>
      <c r="D65" s="33">
        <f>C65</f>
        <v>2000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5000</v>
      </c>
      <c r="D66" s="87">
        <f>C66</f>
        <v>5000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6"/>
  <sheetViews>
    <sheetView showGridLines="0" view="pageBreakPreview" zoomScale="55" zoomScaleNormal="70" zoomScaleSheetLayoutView="55" workbookViewId="0">
      <pane xSplit="1" ySplit="6" topLeftCell="B7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2.75" customHeight="1" x14ac:dyDescent="0.2">
      <c r="A1" s="112" t="s">
        <v>202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195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198</v>
      </c>
      <c r="C6" s="83">
        <f>C7+C8+C9+C14+C15+C16+C17+C18+C19+C20+C21+C22+C23+C24+C28+C29+C31+C32+C33+C34+C35</f>
        <v>6746845</v>
      </c>
      <c r="D6" s="83">
        <f>D7+D8+D9+D14+D15+D16+D17+D18+D19+D20+D21+D22+D23+D24+D28+D29+D31+D32+D33+D34+D35</f>
        <v>6772940</v>
      </c>
      <c r="E6" s="68">
        <f>IF(C6=D6,"-",D6-C6)</f>
        <v>26095</v>
      </c>
      <c r="F6" s="84">
        <f>IF(C6=0,"-",D6/C6)</f>
        <v>1.004</v>
      </c>
    </row>
    <row r="7" spans="1:6" ht="33" customHeight="1" x14ac:dyDescent="0.2">
      <c r="A7" s="92" t="s">
        <v>1</v>
      </c>
      <c r="B7" s="14" t="s">
        <v>116</v>
      </c>
      <c r="C7" s="31">
        <v>968060</v>
      </c>
      <c r="D7" s="13">
        <f>C7</f>
        <v>968060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391735</v>
      </c>
      <c r="D8" s="13">
        <f>C8</f>
        <v>391735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3378753</v>
      </c>
      <c r="D9" s="13">
        <f>C9+16351</f>
        <v>3395104</v>
      </c>
      <c r="E9" s="38">
        <f t="shared" si="0"/>
        <v>16351</v>
      </c>
      <c r="F9" s="39">
        <f t="shared" si="1"/>
        <v>1.0047999999999999</v>
      </c>
    </row>
    <row r="10" spans="1:6" ht="31.5" customHeight="1" x14ac:dyDescent="0.2">
      <c r="A10" s="93" t="s">
        <v>54</v>
      </c>
      <c r="B10" s="45" t="s">
        <v>199</v>
      </c>
      <c r="C10" s="31">
        <v>335287</v>
      </c>
      <c r="D10" s="13">
        <f>C10</f>
        <v>335287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308108</v>
      </c>
      <c r="D11" s="13">
        <f t="shared" ref="D11:D34" si="2">C11</f>
        <v>308108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102794</v>
      </c>
      <c r="D12" s="13">
        <f t="shared" si="2"/>
        <v>102794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52652</v>
      </c>
      <c r="D13" s="13">
        <f t="shared" si="2"/>
        <v>52652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214686</v>
      </c>
      <c r="D14" s="13">
        <f>C14+2794</f>
        <v>217480</v>
      </c>
      <c r="E14" s="38">
        <f t="shared" si="0"/>
        <v>2794</v>
      </c>
      <c r="F14" s="39">
        <f t="shared" si="1"/>
        <v>1.0129999999999999</v>
      </c>
    </row>
    <row r="15" spans="1:6" ht="33" customHeight="1" x14ac:dyDescent="0.2">
      <c r="A15" s="92" t="s">
        <v>5</v>
      </c>
      <c r="B15" s="14" t="s">
        <v>118</v>
      </c>
      <c r="C15" s="31">
        <v>232087</v>
      </c>
      <c r="D15" s="13">
        <f t="shared" si="2"/>
        <v>232087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169064</v>
      </c>
      <c r="D16" s="13">
        <f t="shared" si="2"/>
        <v>169064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71395</v>
      </c>
      <c r="D17" s="13">
        <f t="shared" si="2"/>
        <v>71395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205320</v>
      </c>
      <c r="D18" s="13">
        <f t="shared" si="2"/>
        <v>205320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54000</v>
      </c>
      <c r="D19" s="13">
        <f t="shared" si="2"/>
        <v>54000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v>1876</v>
      </c>
      <c r="D20" s="13">
        <f t="shared" si="2"/>
        <v>1876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14982</v>
      </c>
      <c r="D21" s="13">
        <f t="shared" si="2"/>
        <v>14982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208855</v>
      </c>
      <c r="D22" s="13">
        <f t="shared" si="2"/>
        <v>208855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80000</v>
      </c>
      <c r="D23" s="13">
        <f t="shared" si="2"/>
        <v>80000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727678</v>
      </c>
      <c r="D24" s="13">
        <f t="shared" si="2"/>
        <v>727678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723678</v>
      </c>
      <c r="D25" s="13">
        <f t="shared" si="2"/>
        <v>723678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25274</v>
      </c>
      <c r="D32" s="13">
        <f t="shared" si="2"/>
        <v>25274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700</v>
      </c>
      <c r="D34" s="13">
        <f t="shared" si="2"/>
        <v>700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196</v>
      </c>
      <c r="B35" s="16" t="s">
        <v>197</v>
      </c>
      <c r="C35" s="31">
        <v>2380</v>
      </c>
      <c r="D35" s="13">
        <f>C35+6950</f>
        <v>9330</v>
      </c>
      <c r="E35" s="38">
        <f>IF(C35=D35,"-",D35-C35)</f>
        <v>6950</v>
      </c>
      <c r="F35" s="39">
        <f>IF(C35=0,"-",D35/C35)</f>
        <v>3.9201999999999999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306</v>
      </c>
      <c r="D36" s="37">
        <f>C36</f>
        <v>306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148702</v>
      </c>
      <c r="D37" s="37">
        <f>C37</f>
        <v>148702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57136</v>
      </c>
      <c r="D38" s="37">
        <f>C38</f>
        <v>57136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1088438</v>
      </c>
      <c r="D39" s="32">
        <f>D11+D13+D24+D30</f>
        <v>1088438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41290</v>
      </c>
      <c r="D40" s="71">
        <f>D41+D42+D43+D51+D53+D59+D60+D58</f>
        <v>41290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v>1790</v>
      </c>
      <c r="D41" s="33">
        <f>C41</f>
        <v>1790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v>5961</v>
      </c>
      <c r="D42" s="33">
        <f t="shared" ref="D42:D60" si="3">C42</f>
        <v>5961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296</v>
      </c>
      <c r="D43" s="33">
        <f>D44+D46+D47+D48+D49+D50</f>
        <v>296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v>25</v>
      </c>
      <c r="D45" s="33">
        <f t="shared" si="3"/>
        <v>25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v>55</v>
      </c>
      <c r="D46" s="33">
        <f t="shared" si="3"/>
        <v>55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v>155</v>
      </c>
      <c r="D49" s="33">
        <f t="shared" si="3"/>
        <v>155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v>61</v>
      </c>
      <c r="D50" s="33">
        <f t="shared" si="3"/>
        <v>61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v>24234</v>
      </c>
      <c r="D51" s="33">
        <f t="shared" si="3"/>
        <v>24234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v>24</v>
      </c>
      <c r="D52" s="33">
        <f t="shared" si="3"/>
        <v>24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5443</v>
      </c>
      <c r="D53" s="29">
        <f>D54+D55+D56+D57</f>
        <v>5443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v>4160</v>
      </c>
      <c r="D54" s="33">
        <f t="shared" si="3"/>
        <v>4160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v>594</v>
      </c>
      <c r="D55" s="33">
        <f t="shared" si="3"/>
        <v>594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v>689</v>
      </c>
      <c r="D57" s="33">
        <f t="shared" si="3"/>
        <v>689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v>3250</v>
      </c>
      <c r="D59" s="33">
        <f t="shared" si="3"/>
        <v>3250</v>
      </c>
      <c r="E59" s="38" t="str">
        <f t="shared" si="0"/>
        <v>-</v>
      </c>
      <c r="F59" s="41">
        <f t="shared" si="1"/>
        <v>1</v>
      </c>
    </row>
    <row r="60" spans="1:6" ht="28.5" customHeight="1" x14ac:dyDescent="0.2">
      <c r="A60" s="95" t="s">
        <v>26</v>
      </c>
      <c r="B60" s="18" t="s">
        <v>27</v>
      </c>
      <c r="C60" s="31">
        <v>316</v>
      </c>
      <c r="D60" s="33">
        <f t="shared" si="3"/>
        <v>316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19360</v>
      </c>
      <c r="D61" s="87">
        <f>D62+D63+D64+D65</f>
        <v>19360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v>16095</v>
      </c>
      <c r="D63" s="33">
        <f>C63</f>
        <v>16095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v>3265</v>
      </c>
      <c r="D65" s="33">
        <f>C65</f>
        <v>3265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v>300</v>
      </c>
      <c r="D66" s="87">
        <f>C66</f>
        <v>300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Rosińska</dc:creator>
  <cp:lastModifiedBy>Babraj Rafał</cp:lastModifiedBy>
  <cp:lastPrinted>2018-04-16T08:21:44Z</cp:lastPrinted>
  <dcterms:created xsi:type="dcterms:W3CDTF">2005-07-21T09:51:05Z</dcterms:created>
  <dcterms:modified xsi:type="dcterms:W3CDTF">2018-04-20T12:30:34Z</dcterms:modified>
</cp:coreProperties>
</file>