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0" yWindow="0" windowWidth="23040" windowHeight="8610"/>
  </bookViews>
  <sheets>
    <sheet name="Załącznik 1" sheetId="15" r:id="rId1"/>
    <sheet name="Załącznik nr 2" sheetId="17" r:id="rId2"/>
    <sheet name="Załącznik nr 3" sheetId="16" r:id="rId3"/>
  </sheets>
  <calcPr calcId="125725"/>
</workbook>
</file>

<file path=xl/calcChain.xml><?xml version="1.0" encoding="utf-8"?>
<calcChain xmlns="http://schemas.openxmlformats.org/spreadsheetml/2006/main">
  <c r="E10" i="15"/>
  <c r="F10"/>
  <c r="F16" i="17" l="1"/>
  <c r="G17" l="1"/>
  <c r="F17"/>
  <c r="F18" s="1"/>
  <c r="L10" i="15"/>
  <c r="H10"/>
  <c r="G10" l="1"/>
  <c r="K10"/>
  <c r="I10"/>
  <c r="M10"/>
  <c r="J10"/>
  <c r="N10"/>
  <c r="G16" i="17"/>
  <c r="G18" s="1"/>
  <c r="H17"/>
  <c r="Q4" i="16"/>
  <c r="S4" s="1"/>
  <c r="Y4"/>
  <c r="Q5"/>
  <c r="R5" s="1"/>
  <c r="Y5"/>
  <c r="Z5" s="1"/>
  <c r="Q6"/>
  <c r="R6" s="1"/>
  <c r="S6"/>
  <c r="Y6"/>
  <c r="Z6" s="1"/>
  <c r="Q7"/>
  <c r="R7"/>
  <c r="S7"/>
  <c r="Y7"/>
  <c r="Z7" s="1"/>
  <c r="Q8"/>
  <c r="S8" s="1"/>
  <c r="R8"/>
  <c r="Y8"/>
  <c r="AA8" s="1"/>
  <c r="Q9"/>
  <c r="R9" s="1"/>
  <c r="Y9"/>
  <c r="Z9" s="1"/>
  <c r="Q10"/>
  <c r="R10" s="1"/>
  <c r="Y10"/>
  <c r="Z10" s="1"/>
  <c r="AA10"/>
  <c r="Q11"/>
  <c r="S11" s="1"/>
  <c r="Y11"/>
  <c r="Z11" s="1"/>
  <c r="O12"/>
  <c r="Q12"/>
  <c r="W12"/>
  <c r="O120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R4" l="1"/>
  <c r="R11"/>
  <c r="S10"/>
  <c r="P10" s="1"/>
  <c r="Z8"/>
  <c r="Z12" s="1"/>
  <c r="AA6"/>
  <c r="I17" i="17"/>
  <c r="H16"/>
  <c r="H18" s="1"/>
  <c r="AA11" i="16"/>
  <c r="X11" s="1"/>
  <c r="AA7"/>
  <c r="X7" s="1"/>
  <c r="AA4"/>
  <c r="P6"/>
  <c r="Z4"/>
  <c r="P4"/>
  <c r="P11"/>
  <c r="X10"/>
  <c r="P7"/>
  <c r="X6"/>
  <c r="R12"/>
  <c r="AA9"/>
  <c r="X9" s="1"/>
  <c r="S9"/>
  <c r="P9" s="1"/>
  <c r="X8"/>
  <c r="P8"/>
  <c r="AA5"/>
  <c r="S5"/>
  <c r="S12" s="1"/>
  <c r="Y12"/>
  <c r="AA12" l="1"/>
  <c r="J17" i="17"/>
  <c r="I16"/>
  <c r="I18" s="1"/>
  <c r="X4" i="16"/>
  <c r="P5"/>
  <c r="P12" s="1"/>
  <c r="X5"/>
  <c r="J16" i="17" l="1"/>
  <c r="J18" s="1"/>
  <c r="K17"/>
  <c r="X12" i="16"/>
  <c r="L19" s="1"/>
  <c r="L20" s="1"/>
  <c r="P13"/>
  <c r="P14" s="1"/>
  <c r="L17"/>
  <c r="L18"/>
  <c r="M20"/>
  <c r="L17" i="17" l="1"/>
  <c r="K16"/>
  <c r="K18" s="1"/>
  <c r="M18" i="16"/>
  <c r="N18" s="1"/>
  <c r="N17"/>
  <c r="M19"/>
  <c r="N19" s="1"/>
  <c r="L21"/>
  <c r="M21"/>
  <c r="N20"/>
  <c r="L16" i="17" l="1"/>
  <c r="L18" s="1"/>
  <c r="M17"/>
  <c r="L22" i="16"/>
  <c r="N21"/>
  <c r="M22"/>
  <c r="M16" i="17" l="1"/>
  <c r="M18" s="1"/>
  <c r="N22" i="16"/>
  <c r="L23"/>
  <c r="M23"/>
  <c r="L24" l="1"/>
  <c r="M24"/>
  <c r="N23"/>
  <c r="L25" l="1"/>
  <c r="N24"/>
  <c r="M25"/>
  <c r="L26" l="1"/>
  <c r="N25"/>
  <c r="M26"/>
  <c r="M27" l="1"/>
  <c r="L27"/>
  <c r="N26"/>
  <c r="N27" l="1"/>
  <c r="L28"/>
  <c r="M28"/>
  <c r="N28" l="1"/>
  <c r="L29"/>
  <c r="M29"/>
  <c r="L30" l="1"/>
  <c r="N29"/>
  <c r="M30"/>
  <c r="L31" l="1"/>
  <c r="M31"/>
  <c r="N30"/>
  <c r="L32" l="1"/>
  <c r="M32"/>
  <c r="N31"/>
  <c r="L33" l="1"/>
  <c r="M33"/>
  <c r="N32"/>
  <c r="L34" l="1"/>
  <c r="M34"/>
  <c r="N33"/>
  <c r="L35" l="1"/>
  <c r="M35"/>
  <c r="N34"/>
  <c r="L36" l="1"/>
  <c r="M36"/>
  <c r="N35"/>
  <c r="L37" l="1"/>
  <c r="M37"/>
  <c r="N36"/>
  <c r="L38" l="1"/>
  <c r="M38"/>
  <c r="N37"/>
  <c r="L39" l="1"/>
  <c r="M39"/>
  <c r="N38"/>
  <c r="M40" l="1"/>
  <c r="N39"/>
  <c r="L40"/>
  <c r="N40" l="1"/>
  <c r="M41"/>
  <c r="L41"/>
  <c r="N41" l="1"/>
  <c r="L42"/>
  <c r="M42"/>
  <c r="L43" l="1"/>
  <c r="M43"/>
  <c r="N42"/>
  <c r="M44" l="1"/>
  <c r="N43"/>
  <c r="L44"/>
  <c r="M45" l="1"/>
  <c r="L45"/>
  <c r="N44"/>
  <c r="M46" l="1"/>
  <c r="N45"/>
  <c r="L46"/>
  <c r="M47" l="1"/>
  <c r="N46"/>
  <c r="L47"/>
  <c r="M48" l="1"/>
  <c r="N47"/>
  <c r="L48"/>
  <c r="M49" l="1"/>
  <c r="L49"/>
  <c r="N48"/>
  <c r="M50" l="1"/>
  <c r="N49"/>
  <c r="L50"/>
  <c r="M51" l="1"/>
  <c r="N50"/>
  <c r="L51"/>
  <c r="M52" l="1"/>
  <c r="N51"/>
  <c r="L52"/>
  <c r="N52" s="1"/>
</calcChain>
</file>

<file path=xl/sharedStrings.xml><?xml version="1.0" encoding="utf-8"?>
<sst xmlns="http://schemas.openxmlformats.org/spreadsheetml/2006/main" count="240" uniqueCount="74">
  <si>
    <t>Nazwa</t>
  </si>
  <si>
    <t>Lp</t>
  </si>
  <si>
    <t>Liczba</t>
  </si>
  <si>
    <t>SUMA</t>
  </si>
  <si>
    <t>Kierownik komórki organizacyjnej</t>
  </si>
  <si>
    <t>Egzaminator testu pisemnego</t>
  </si>
  <si>
    <t>Egzaminator symulatora</t>
  </si>
  <si>
    <t>Recepcja</t>
  </si>
  <si>
    <t>Informatyk</t>
  </si>
  <si>
    <t>Serwisant symulatorów</t>
  </si>
  <si>
    <t>Liczba przeprowadzonych egzaminów praktycznych w ciagu roku</t>
  </si>
  <si>
    <t>Koszt zatrudnienia w ciagu roku [PLN]</t>
  </si>
  <si>
    <t>Utrzymanie sprzętu (naprawa) i oprogramowania (licencje)</t>
  </si>
  <si>
    <t>Koszty zatrudnienia pracowników etatowych</t>
  </si>
  <si>
    <t>Aktualizacja oprogramowania (tras)</t>
  </si>
  <si>
    <t>Wynagrodzenie za przeprowadzenie egzaminu [PLN]</t>
  </si>
  <si>
    <t>Wynagrodzenia</t>
  </si>
  <si>
    <t>Składki na ubezp. Społ</t>
  </si>
  <si>
    <t>Składki na FP</t>
  </si>
  <si>
    <t xml:space="preserve">Pracownicy administracyjni </t>
  </si>
  <si>
    <t>DWR-y</t>
  </si>
  <si>
    <t>Utrzymanie symulatorów</t>
  </si>
  <si>
    <t>Pracownicy merytoryczno- administracyjni</t>
  </si>
  <si>
    <t>Usługi outsourcowane</t>
  </si>
  <si>
    <t>Koszty eksploatacyjne</t>
  </si>
  <si>
    <t>Założenia do zmiennych kosztów</t>
  </si>
  <si>
    <t>Czynsz przy założeniu umowy na wynajem na 10 lat co dekadę będzie wzrastac o 5%</t>
  </si>
  <si>
    <t xml:space="preserve">Aktualizacja oprogramowania - koszt stały w szczególności, że po zakończeniu inwestycji PKP PLK linie kolejowe nie będą się znacząco zmieniać </t>
  </si>
  <si>
    <t>Utrzymanie sprzetu i aktualizacja oprogramowania - zakładany wzrost 5% co 5 lat</t>
  </si>
  <si>
    <t>Usługi outsourcingowe - zakładany wzrost 10 % na 5 lat</t>
  </si>
  <si>
    <t>Koszty eksploatacyjne  zakładany wzrost 5% na 5 lat</t>
  </si>
  <si>
    <t>co 10 lat wzrost opłaty serwisowej o 1 zł, wzrost oplat za media każdego roku o 1,5 %</t>
  </si>
  <si>
    <t>DWR</t>
  </si>
  <si>
    <t>Pracownicy etatowi- należy mieć na uwadze możliwy wzrost wynagrodzeń oraz wypłatę DWR-ów (tzw. 13 pensji). Co 5 lat założeono wzrost dla kazdego pracownika wymnagrodzenia o 0,1 mnoznika</t>
  </si>
  <si>
    <t>świadectwo</t>
  </si>
  <si>
    <t>część teoretyczna</t>
  </si>
  <si>
    <t>symulator</t>
  </si>
  <si>
    <t>pojazd</t>
  </si>
  <si>
    <t>licencja</t>
  </si>
  <si>
    <t xml:space="preserve">Czynsz za wynajem powierzchni egzaminacyjnej </t>
  </si>
  <si>
    <t>stałe koszty operacyjne</t>
  </si>
  <si>
    <t>zmienne koszty operacyjne (bezpośrednie)</t>
  </si>
  <si>
    <t>Opłaty roczne (media + opłaty serwisowe - koszty ogólne)</t>
  </si>
  <si>
    <t>Opłaty roczne (media + opłaty serwisowe- koszty bezposrednie)</t>
  </si>
  <si>
    <t>Czynsz za wynajem powierzchni biurowej</t>
  </si>
  <si>
    <t>Utrzymanie symulatorów - roczne utrzymanie symulatora wynosi aktualnie do 40 000 PLN - założenie wzrostu o 10 tys na jedno urzadzenie co 10 lat</t>
  </si>
  <si>
    <t>Zastępca komórki organizacyjnej</t>
  </si>
  <si>
    <t>Pracownicy zatrudnieni na podstawie umowy o prace na pełen etat w roku 2023</t>
  </si>
  <si>
    <t>Pracownicy zatrudnieni na podstawie umowy o prace na pełen etat w roku 2024</t>
  </si>
  <si>
    <t>Pracownicy zatrudnieni na podstawie umowy o prace na pełen etat w roku 2025</t>
  </si>
  <si>
    <t>Pracownicy zatrudnieni na podstawie umowy o prace na pełen etat w roku 2026</t>
  </si>
  <si>
    <t>Pracownicy zatrudnieni na podstawie umowy o prace na pełen etat w roku 2027</t>
  </si>
  <si>
    <t>Pracownicy zatrudnieni na podstawie umowy o prace na pełen etat w roku 2028</t>
  </si>
  <si>
    <t>Pracownicy zatrudnieni na podstawie umowy o prace na pełen etat w roku 2029</t>
  </si>
  <si>
    <t>Pracownicy zatrudnieni na podstawie umowy o prace na pełen etat w roku 2030</t>
  </si>
  <si>
    <t>Egzamin praktyczny - umowy na zlecenie</t>
  </si>
  <si>
    <t>Załącznik nr 2 do OSR</t>
  </si>
  <si>
    <t>Załącznik nr 3 do OSR</t>
  </si>
  <si>
    <t>Koszty:</t>
  </si>
  <si>
    <t>Egzaminator testu pisemnego i jazdy praktycznej</t>
  </si>
  <si>
    <t>Egzamin praktyczny - koszty pozapracownicze</t>
  </si>
  <si>
    <t>Średnia liczba przeprowadzonych egzaminów praktycznych w ciagu roku generujących koszty pozapłacowe</t>
  </si>
  <si>
    <t>Średnie wynagrodzenie pozapłacowe egzaminu [PLN]</t>
  </si>
  <si>
    <t>Koszty pozapłacowe egzaminów praktycznych</t>
  </si>
  <si>
    <t>Budzet państwa - okres trwałości projektu POIŚ „Poprawa bezpieczeństwa kolejowego poprzez budowę Systemu Egzaminowania i Monitorowania Maszynistów”</t>
  </si>
  <si>
    <t>Budzet państwa</t>
  </si>
  <si>
    <t>Egzaminatorzy praktyczni - ich wynagrodzenie jest uzaleznione od kosztów egzaminu praktycznego na pojeździe - założenie koszt przeprowadzenia egzaminu będzie wrastał raz na 7 lat o 50 zł</t>
  </si>
  <si>
    <t>UWAGA</t>
  </si>
  <si>
    <t>Należy wskazać, że przygotowanie do wdrożenia nowego zadania jest przewidziane do finansowania w ramach projektu „Poprawa bezpieczeństwa kolejowego poprzez budowę Systemu Egzaminowania i Monitorowania Maszynistów” realizowanego przez Prezesa Urzędu Transportu Kolejowego w ramach Programu Operacyjnego Infrastruktura i Środowisko 2014-2020. Szacowany koszt całkowity projektu współfinansowanego ze środków Unii Europejskiej na ten cel to 36,62 mln PLN. Niezapewnienie limitu wydatków na utrzymanie wyników projektu w okresie jego trwałości spowoduje konieczność zwrotu poniesionych nakładów na budowę systemu egzaminowania i monitorowania maszynistów. Zachowanie trwałości stanowi niezwykle istotny element każdego projektu współfinansowanego ze środków Unii Europejskiej. Naruszenie zasady trwałości może oznaczać konieczność zwrotu środków otrzymanych na realizację projektu wraz z odsetkami liczonymi jak dla zaległości podatkowych, proporcjonalnie do okresu niezachowania obowiązku trwałości.</t>
  </si>
  <si>
    <t>Wartość dofinansowania Projektu z funduszu UE obliczona będzie w oparciu o metodę luki w finansowaniu, dlatego też dochód generowany przez Projekt, nie może przekroczyć poziomu, który skutkowałby zmniejszeniem dofinansowania Projektu z funduszy UE.</t>
  </si>
  <si>
    <t xml:space="preserve">                                                                                                                                                                                            DOCHODY BUDŻETU ZWIĄZANE Z EGZAMINOWANIEM MASZYNISTÓW</t>
  </si>
  <si>
    <t>Załączniki do OSR</t>
  </si>
  <si>
    <t xml:space="preserve">Załącznik nr 1 </t>
  </si>
  <si>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PROPOZYCJE OPŁAT ZA EGZAMINY PRZEPROWADZANE PRZEZ PREZESA UTK w </t>
    </r>
    <r>
      <rPr>
        <b/>
        <sz val="11"/>
        <color theme="1"/>
        <rFont val="Wickenden Cafe NDP"/>
      </rPr>
      <t>[</t>
    </r>
    <r>
      <rPr>
        <b/>
        <sz val="11"/>
        <color theme="1"/>
        <rFont val="Calibri"/>
        <family val="2"/>
        <charset val="238"/>
      </rPr>
      <t>PLN</t>
    </r>
    <r>
      <rPr>
        <b/>
        <sz val="11"/>
        <color theme="1"/>
        <rFont val="Wickenden Cafe NDP"/>
      </rPr>
      <t>]</t>
    </r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</si>
</sst>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\ _z_ł_-;\-* #,##0\ _z_ł_-;_-* &quot;-&quot;??\ _z_ł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theme="3" tint="0.3999755851924192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Wickenden Cafe NDP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1" xfId="0" applyFont="1" applyBorder="1"/>
    <xf numFmtId="0" fontId="0" fillId="0" borderId="1" xfId="0" applyFill="1" applyBorder="1"/>
    <xf numFmtId="43" fontId="0" fillId="0" borderId="1" xfId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0" fillId="0" borderId="1" xfId="1" applyFont="1" applyBorder="1"/>
    <xf numFmtId="43" fontId="2" fillId="0" borderId="1" xfId="1" applyFont="1" applyBorder="1"/>
    <xf numFmtId="164" fontId="0" fillId="0" borderId="1" xfId="1" applyNumberFormat="1" applyFont="1" applyFill="1" applyBorder="1"/>
    <xf numFmtId="0" fontId="0" fillId="0" borderId="1" xfId="0" applyBorder="1" applyAlignment="1">
      <alignment horizontal="center" vertical="center" wrapText="1"/>
    </xf>
    <xf numFmtId="43" fontId="2" fillId="0" borderId="0" xfId="0" applyNumberFormat="1" applyFont="1" applyFill="1" applyBorder="1"/>
    <xf numFmtId="0" fontId="0" fillId="5" borderId="1" xfId="0" applyFill="1" applyBorder="1"/>
    <xf numFmtId="43" fontId="0" fillId="0" borderId="0" xfId="0" applyNumberFormat="1"/>
    <xf numFmtId="0" fontId="0" fillId="0" borderId="3" xfId="0" applyFill="1" applyBorder="1" applyAlignment="1">
      <alignment horizontal="center" vertical="center" wrapText="1"/>
    </xf>
    <xf numFmtId="43" fontId="2" fillId="0" borderId="0" xfId="0" applyNumberFormat="1" applyFont="1"/>
    <xf numFmtId="43" fontId="2" fillId="0" borderId="0" xfId="1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3" fontId="0" fillId="0" borderId="0" xfId="1" applyFont="1" applyFill="1" applyBorder="1"/>
    <xf numFmtId="0" fontId="2" fillId="0" borderId="0" xfId="0" applyFont="1" applyFill="1" applyBorder="1"/>
    <xf numFmtId="43" fontId="2" fillId="0" borderId="0" xfId="1" applyFont="1" applyFill="1" applyBorder="1"/>
    <xf numFmtId="43" fontId="0" fillId="0" borderId="0" xfId="0" applyNumberFormat="1" applyFill="1" applyBorder="1"/>
    <xf numFmtId="0" fontId="0" fillId="6" borderId="0" xfId="0" applyFill="1"/>
    <xf numFmtId="164" fontId="0" fillId="0" borderId="0" xfId="0" applyNumberFormat="1"/>
    <xf numFmtId="43" fontId="0" fillId="8" borderId="1" xfId="1" applyFont="1" applyFill="1" applyBorder="1"/>
    <xf numFmtId="0" fontId="0" fillId="8" borderId="0" xfId="0" applyFill="1"/>
    <xf numFmtId="44" fontId="0" fillId="0" borderId="1" xfId="4" applyFont="1" applyFill="1" applyBorder="1"/>
    <xf numFmtId="44" fontId="2" fillId="0" borderId="1" xfId="4" applyFont="1" applyBorder="1"/>
    <xf numFmtId="44" fontId="0" fillId="0" borderId="0" xfId="4" applyFont="1"/>
    <xf numFmtId="44" fontId="0" fillId="0" borderId="0" xfId="4" applyFont="1" applyFill="1" applyBorder="1"/>
    <xf numFmtId="44" fontId="2" fillId="0" borderId="0" xfId="4" applyFont="1" applyFill="1" applyBorder="1" applyAlignment="1">
      <alignment horizontal="center" vertical="center"/>
    </xf>
    <xf numFmtId="0" fontId="0" fillId="2" borderId="1" xfId="0" applyFill="1" applyBorder="1"/>
    <xf numFmtId="164" fontId="0" fillId="2" borderId="1" xfId="1" applyNumberFormat="1" applyFont="1" applyFill="1" applyBorder="1"/>
    <xf numFmtId="0" fontId="0" fillId="0" borderId="0" xfId="0" applyAlignment="1">
      <alignment horizontal="right"/>
    </xf>
    <xf numFmtId="0" fontId="4" fillId="0" borderId="0" xfId="0" applyFont="1" applyAlignment="1">
      <alignment horizontal="right" vertical="center"/>
    </xf>
    <xf numFmtId="0" fontId="9" fillId="9" borderId="4" xfId="0" applyFont="1" applyFill="1" applyBorder="1" applyAlignment="1">
      <alignment horizontal="center" vertical="center"/>
    </xf>
    <xf numFmtId="43" fontId="6" fillId="3" borderId="26" xfId="1" applyFont="1" applyFill="1" applyBorder="1" applyAlignment="1">
      <alignment horizontal="center" vertical="center"/>
    </xf>
    <xf numFmtId="43" fontId="6" fillId="3" borderId="8" xfId="1" applyFont="1" applyFill="1" applyBorder="1" applyAlignment="1">
      <alignment horizontal="center" vertical="center"/>
    </xf>
    <xf numFmtId="44" fontId="0" fillId="0" borderId="0" xfId="4" applyFont="1" applyFill="1" applyBorder="1" applyAlignment="1">
      <alignment horizontal="right" wrapText="1"/>
    </xf>
    <xf numFmtId="44" fontId="0" fillId="0" borderId="0" xfId="4" applyFont="1" applyFill="1" applyBorder="1" applyAlignment="1">
      <alignment horizontal="right"/>
    </xf>
    <xf numFmtId="0" fontId="10" fillId="0" borderId="1" xfId="0" applyFont="1" applyBorder="1"/>
    <xf numFmtId="0" fontId="0" fillId="0" borderId="0" xfId="0" applyBorder="1" applyAlignment="1">
      <alignment horizontal="center" vertical="center" wrapText="1"/>
    </xf>
    <xf numFmtId="43" fontId="0" fillId="0" borderId="0" xfId="1" applyFont="1" applyBorder="1"/>
    <xf numFmtId="44" fontId="0" fillId="0" borderId="1" xfId="4" applyFont="1" applyBorder="1"/>
    <xf numFmtId="44" fontId="0" fillId="9" borderId="1" xfId="4" applyFont="1" applyFill="1" applyBorder="1"/>
    <xf numFmtId="0" fontId="0" fillId="0" borderId="1" xfId="1" applyNumberFormat="1" applyFont="1" applyFill="1" applyBorder="1" applyAlignment="1">
      <alignment horizontal="center"/>
    </xf>
    <xf numFmtId="43" fontId="0" fillId="9" borderId="1" xfId="1" applyFont="1" applyFill="1" applyBorder="1"/>
    <xf numFmtId="0" fontId="3" fillId="0" borderId="1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43" fontId="6" fillId="3" borderId="12" xfId="1" applyFont="1" applyFill="1" applyBorder="1" applyAlignment="1">
      <alignment horizontal="center" vertical="center"/>
    </xf>
    <xf numFmtId="43" fontId="6" fillId="3" borderId="13" xfId="1" applyFont="1" applyFill="1" applyBorder="1" applyAlignment="1">
      <alignment horizontal="center" vertical="center"/>
    </xf>
    <xf numFmtId="43" fontId="6" fillId="3" borderId="25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3" fontId="6" fillId="3" borderId="18" xfId="1" applyFont="1" applyFill="1" applyBorder="1" applyAlignment="1">
      <alignment horizontal="center" vertical="center"/>
    </xf>
    <xf numFmtId="43" fontId="6" fillId="3" borderId="10" xfId="1" applyFont="1" applyFill="1" applyBorder="1" applyAlignment="1">
      <alignment horizontal="center" vertical="center"/>
    </xf>
    <xf numFmtId="43" fontId="6" fillId="3" borderId="19" xfId="1" applyFont="1" applyFill="1" applyBorder="1" applyAlignment="1">
      <alignment horizontal="center" vertical="center"/>
    </xf>
    <xf numFmtId="43" fontId="4" fillId="0" borderId="18" xfId="0" applyNumberFormat="1" applyFont="1" applyBorder="1" applyAlignment="1">
      <alignment horizontal="center" vertical="center"/>
    </xf>
    <xf numFmtId="43" fontId="4" fillId="0" borderId="12" xfId="0" applyNumberFormat="1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43" fontId="4" fillId="0" borderId="30" xfId="0" applyNumberFormat="1" applyFont="1" applyBorder="1" applyAlignment="1">
      <alignment horizontal="center" vertical="center"/>
    </xf>
    <xf numFmtId="43" fontId="4" fillId="0" borderId="14" xfId="0" applyNumberFormat="1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43" fontId="4" fillId="9" borderId="4" xfId="0" applyNumberFormat="1" applyFont="1" applyFill="1" applyBorder="1" applyAlignment="1">
      <alignment horizontal="center" vertical="center"/>
    </xf>
    <xf numFmtId="43" fontId="4" fillId="9" borderId="24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8" xfId="0" applyBorder="1"/>
    <xf numFmtId="0" fontId="0" fillId="0" borderId="10" xfId="0" applyBorder="1"/>
    <xf numFmtId="0" fontId="0" fillId="0" borderId="19" xfId="0" applyBorder="1"/>
    <xf numFmtId="0" fontId="0" fillId="9" borderId="4" xfId="0" applyFill="1" applyBorder="1" applyAlignment="1">
      <alignment horizontal="center" vertical="center"/>
    </xf>
    <xf numFmtId="43" fontId="0" fillId="9" borderId="4" xfId="1" applyFont="1" applyFill="1" applyBorder="1"/>
    <xf numFmtId="0" fontId="0" fillId="9" borderId="24" xfId="0" applyFill="1" applyBorder="1" applyAlignment="1">
      <alignment horizontal="center" vertical="center"/>
    </xf>
    <xf numFmtId="0" fontId="11" fillId="0" borderId="0" xfId="0" applyFont="1"/>
    <xf numFmtId="0" fontId="0" fillId="0" borderId="6" xfId="0" applyBorder="1" applyAlignment="1">
      <alignment horizontal="center" vertical="center"/>
    </xf>
    <xf numFmtId="0" fontId="12" fillId="0" borderId="1" xfId="0" applyFont="1" applyFill="1" applyBorder="1"/>
    <xf numFmtId="0" fontId="5" fillId="0" borderId="7" xfId="0" applyFont="1" applyBorder="1" applyAlignment="1">
      <alignment horizontal="center" vertical="center"/>
    </xf>
    <xf numFmtId="0" fontId="8" fillId="0" borderId="0" xfId="0" applyFont="1"/>
    <xf numFmtId="0" fontId="4" fillId="7" borderId="13" xfId="0" applyFont="1" applyFill="1" applyBorder="1" applyAlignment="1">
      <alignment horizontal="left"/>
    </xf>
    <xf numFmtId="0" fontId="4" fillId="4" borderId="27" xfId="0" applyFont="1" applyFill="1" applyBorder="1" applyAlignment="1">
      <alignment horizontal="left"/>
    </xf>
    <xf numFmtId="0" fontId="4" fillId="7" borderId="26" xfId="0" applyFont="1" applyFill="1" applyBorder="1" applyAlignment="1">
      <alignment horizontal="left"/>
    </xf>
    <xf numFmtId="0" fontId="7" fillId="4" borderId="26" xfId="0" applyFont="1" applyFill="1" applyBorder="1" applyAlignment="1">
      <alignment horizontal="left"/>
    </xf>
    <xf numFmtId="0" fontId="7" fillId="7" borderId="26" xfId="0" applyFont="1" applyFill="1" applyBorder="1" applyAlignment="1">
      <alignment horizontal="left"/>
    </xf>
    <xf numFmtId="43" fontId="4" fillId="7" borderId="26" xfId="1" applyFont="1" applyFill="1" applyBorder="1" applyAlignment="1">
      <alignment horizontal="left" vertical="center"/>
    </xf>
    <xf numFmtId="0" fontId="4" fillId="4" borderId="26" xfId="0" applyFont="1" applyFill="1" applyBorder="1" applyAlignment="1">
      <alignment horizontal="left"/>
    </xf>
    <xf numFmtId="0" fontId="4" fillId="4" borderId="28" xfId="0" applyFont="1" applyFill="1" applyBorder="1" applyAlignment="1">
      <alignment horizontal="left"/>
    </xf>
    <xf numFmtId="0" fontId="5" fillId="0" borderId="22" xfId="0" applyFont="1" applyBorder="1" applyAlignment="1">
      <alignment horizontal="center" vertical="center"/>
    </xf>
    <xf numFmtId="43" fontId="6" fillId="3" borderId="27" xfId="1" applyFont="1" applyFill="1" applyBorder="1" applyAlignment="1">
      <alignment horizontal="center" vertical="center"/>
    </xf>
    <xf numFmtId="43" fontId="6" fillId="3" borderId="28" xfId="1" applyFont="1" applyFill="1" applyBorder="1" applyAlignment="1">
      <alignment horizontal="center" vertical="center"/>
    </xf>
    <xf numFmtId="43" fontId="6" fillId="3" borderId="32" xfId="1" applyFont="1" applyFill="1" applyBorder="1" applyAlignment="1">
      <alignment horizontal="center" vertical="center"/>
    </xf>
    <xf numFmtId="43" fontId="6" fillId="3" borderId="9" xfId="1" applyFont="1" applyFill="1" applyBorder="1" applyAlignment="1">
      <alignment horizontal="center" vertical="center"/>
    </xf>
    <xf numFmtId="0" fontId="4" fillId="4" borderId="27" xfId="0" applyFont="1" applyFill="1" applyBorder="1"/>
    <xf numFmtId="0" fontId="4" fillId="7" borderId="29" xfId="0" applyFont="1" applyFill="1" applyBorder="1"/>
    <xf numFmtId="43" fontId="4" fillId="0" borderId="32" xfId="0" applyNumberFormat="1" applyFont="1" applyBorder="1" applyAlignment="1">
      <alignment horizontal="center" vertical="center"/>
    </xf>
    <xf numFmtId="43" fontId="4" fillId="0" borderId="16" xfId="0" applyNumberFormat="1" applyFont="1" applyBorder="1" applyAlignment="1">
      <alignment horizontal="center" vertical="center"/>
    </xf>
    <xf numFmtId="43" fontId="4" fillId="9" borderId="33" xfId="0" applyNumberFormat="1" applyFont="1" applyFill="1" applyBorder="1" applyAlignment="1">
      <alignment horizontal="center" vertical="center"/>
    </xf>
    <xf numFmtId="43" fontId="4" fillId="0" borderId="27" xfId="0" applyNumberFormat="1" applyFont="1" applyBorder="1" applyAlignment="1">
      <alignment horizontal="center" vertical="center"/>
    </xf>
    <xf numFmtId="43" fontId="4" fillId="0" borderId="28" xfId="0" applyNumberFormat="1" applyFont="1" applyBorder="1" applyAlignment="1">
      <alignment horizontal="center" vertical="center"/>
    </xf>
    <xf numFmtId="43" fontId="4" fillId="0" borderId="19" xfId="0" applyNumberFormat="1" applyFont="1" applyBorder="1" applyAlignment="1">
      <alignment horizontal="center" vertical="center"/>
    </xf>
    <xf numFmtId="43" fontId="4" fillId="9" borderId="23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0" xfId="0" applyFont="1" applyAlignment="1"/>
    <xf numFmtId="0" fontId="0" fillId="0" borderId="0" xfId="0" applyAlignment="1"/>
    <xf numFmtId="0" fontId="0" fillId="0" borderId="0" xfId="0" applyAlignment="1">
      <alignment horizontal="center" wrapText="1"/>
    </xf>
    <xf numFmtId="0" fontId="16" fillId="0" borderId="0" xfId="0" applyFont="1"/>
    <xf numFmtId="0" fontId="2" fillId="0" borderId="0" xfId="0" applyFont="1" applyAlignment="1">
      <alignment horizontal="right"/>
    </xf>
  </cellXfs>
  <cellStyles count="5">
    <cellStyle name="Dziesiętny" xfId="1" builtinId="3"/>
    <cellStyle name="Dziesiętny 2" xfId="2"/>
    <cellStyle name="Normalny" xfId="0" builtinId="0"/>
    <cellStyle name="Normalny 5" xfId="3"/>
    <cellStyle name="Walutowy" xfId="4" builtinId="4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B1:N10"/>
  <sheetViews>
    <sheetView tabSelected="1" workbookViewId="0">
      <selection activeCell="S3" sqref="S3"/>
    </sheetView>
  </sheetViews>
  <sheetFormatPr defaultRowHeight="15"/>
  <cols>
    <col min="2" max="2" width="29.5703125" customWidth="1"/>
    <col min="3" max="3" width="16.140625" customWidth="1"/>
    <col min="5" max="6" width="13.42578125" customWidth="1"/>
    <col min="7" max="13" width="13.42578125" bestFit="1" customWidth="1"/>
    <col min="14" max="14" width="16.42578125" bestFit="1" customWidth="1"/>
  </cols>
  <sheetData>
    <row r="1" spans="2:14" ht="66" customHeight="1">
      <c r="N1" s="124" t="s">
        <v>71</v>
      </c>
    </row>
    <row r="2" spans="2:14" ht="21.75" customHeight="1">
      <c r="B2" s="84" t="s">
        <v>70</v>
      </c>
      <c r="F2" s="123"/>
      <c r="G2" s="123"/>
      <c r="H2" s="123"/>
      <c r="I2" s="123"/>
      <c r="J2" s="123"/>
      <c r="K2" s="123"/>
      <c r="N2" s="125" t="s">
        <v>72</v>
      </c>
    </row>
    <row r="3" spans="2:14" ht="45.75" customHeight="1">
      <c r="B3" s="121" t="s">
        <v>73</v>
      </c>
      <c r="C3" s="121"/>
      <c r="D3" s="121"/>
      <c r="E3" s="121"/>
      <c r="F3" s="121"/>
      <c r="G3" s="121"/>
      <c r="H3" s="122"/>
      <c r="I3" s="122"/>
      <c r="J3" s="122"/>
      <c r="K3" s="122"/>
      <c r="L3" s="122"/>
      <c r="M3" s="122"/>
      <c r="N3" s="122"/>
    </row>
    <row r="4" spans="2:14" ht="29.25" customHeight="1" thickBot="1">
      <c r="B4" s="2"/>
    </row>
    <row r="5" spans="2:14" ht="15.75" thickBot="1">
      <c r="E5" s="81">
        <v>2021</v>
      </c>
      <c r="F5" s="81">
        <v>2022</v>
      </c>
      <c r="G5" s="81">
        <v>2023</v>
      </c>
      <c r="H5" s="81">
        <v>2024</v>
      </c>
      <c r="I5" s="83">
        <v>2025</v>
      </c>
      <c r="J5" s="81">
        <v>2026</v>
      </c>
      <c r="K5" s="83">
        <v>2027</v>
      </c>
      <c r="L5" s="81">
        <v>2028</v>
      </c>
      <c r="M5" s="83">
        <v>2029</v>
      </c>
      <c r="N5" s="81">
        <v>2030</v>
      </c>
    </row>
    <row r="6" spans="2:14" ht="30">
      <c r="B6" s="85" t="s">
        <v>38</v>
      </c>
      <c r="C6" s="75" t="s">
        <v>35</v>
      </c>
      <c r="D6" s="78">
        <v>1200</v>
      </c>
      <c r="E6" s="78">
        <v>0</v>
      </c>
      <c r="F6" s="78">
        <v>0</v>
      </c>
      <c r="G6" s="78">
        <v>100</v>
      </c>
      <c r="H6" s="78">
        <v>100</v>
      </c>
      <c r="I6" s="78">
        <v>100</v>
      </c>
      <c r="J6" s="78">
        <v>100</v>
      </c>
      <c r="K6" s="78">
        <v>100</v>
      </c>
      <c r="L6" s="78">
        <v>100</v>
      </c>
      <c r="M6" s="78">
        <v>100</v>
      </c>
      <c r="N6" s="78">
        <v>100</v>
      </c>
    </row>
    <row r="7" spans="2:14" ht="30">
      <c r="B7" s="111" t="s">
        <v>34</v>
      </c>
      <c r="C7" s="76" t="s">
        <v>35</v>
      </c>
      <c r="D7" s="79">
        <v>1050</v>
      </c>
      <c r="E7" s="79">
        <v>0</v>
      </c>
      <c r="F7" s="79">
        <v>0</v>
      </c>
      <c r="G7" s="79">
        <v>100</v>
      </c>
      <c r="H7" s="79">
        <v>100</v>
      </c>
      <c r="I7" s="79">
        <v>100</v>
      </c>
      <c r="J7" s="79">
        <v>100</v>
      </c>
      <c r="K7" s="79">
        <v>100</v>
      </c>
      <c r="L7" s="79">
        <v>100</v>
      </c>
      <c r="M7" s="79">
        <v>100</v>
      </c>
      <c r="N7" s="79">
        <v>100</v>
      </c>
    </row>
    <row r="8" spans="2:14">
      <c r="B8" s="112"/>
      <c r="C8" s="76" t="s">
        <v>36</v>
      </c>
      <c r="D8" s="79">
        <v>1050</v>
      </c>
      <c r="E8" s="79">
        <v>0</v>
      </c>
      <c r="F8" s="79">
        <v>0</v>
      </c>
      <c r="G8" s="79">
        <v>200</v>
      </c>
      <c r="H8" s="79">
        <v>200</v>
      </c>
      <c r="I8" s="79">
        <v>200</v>
      </c>
      <c r="J8" s="79">
        <v>200</v>
      </c>
      <c r="K8" s="79">
        <v>200</v>
      </c>
      <c r="L8" s="79">
        <v>200</v>
      </c>
      <c r="M8" s="79">
        <v>200</v>
      </c>
      <c r="N8" s="79">
        <v>200</v>
      </c>
    </row>
    <row r="9" spans="2:14" ht="15.75" thickBot="1">
      <c r="B9" s="113"/>
      <c r="C9" s="77" t="s">
        <v>37</v>
      </c>
      <c r="D9" s="80">
        <v>1050</v>
      </c>
      <c r="E9" s="80">
        <v>0</v>
      </c>
      <c r="F9" s="80">
        <v>0</v>
      </c>
      <c r="G9" s="80">
        <v>300</v>
      </c>
      <c r="H9" s="80">
        <v>300</v>
      </c>
      <c r="I9" s="80">
        <v>300</v>
      </c>
      <c r="J9" s="80">
        <v>300</v>
      </c>
      <c r="K9" s="80">
        <v>300</v>
      </c>
      <c r="L9" s="80">
        <v>300</v>
      </c>
      <c r="M9" s="80">
        <v>300</v>
      </c>
      <c r="N9" s="80">
        <v>300</v>
      </c>
    </row>
    <row r="10" spans="2:14" ht="15.75" thickBot="1">
      <c r="E10" s="82">
        <f t="shared" ref="E10:F10" si="0">($D$6*E6)+($D$7*E7)+($D$8*E8)+($D$9*E9)</f>
        <v>0</v>
      </c>
      <c r="F10" s="82">
        <f t="shared" si="0"/>
        <v>0</v>
      </c>
      <c r="G10" s="82">
        <f>($D$6*G6)+($D$7*G7)+($D$8*G8)+($D$9*G9)</f>
        <v>750000</v>
      </c>
      <c r="H10" s="82">
        <f t="shared" ref="H10:N10" si="1">($D$6*H6)+($D$7*H7)+($D$8*H8)+($D$9*H9)</f>
        <v>750000</v>
      </c>
      <c r="I10" s="82">
        <f t="shared" si="1"/>
        <v>750000</v>
      </c>
      <c r="J10" s="82">
        <f t="shared" si="1"/>
        <v>750000</v>
      </c>
      <c r="K10" s="82">
        <f t="shared" si="1"/>
        <v>750000</v>
      </c>
      <c r="L10" s="82">
        <f t="shared" si="1"/>
        <v>750000</v>
      </c>
      <c r="M10" s="82">
        <f t="shared" si="1"/>
        <v>750000</v>
      </c>
      <c r="N10" s="82">
        <f t="shared" si="1"/>
        <v>750000</v>
      </c>
    </row>
  </sheetData>
  <mergeCells count="2">
    <mergeCell ref="B7:B9"/>
    <mergeCell ref="F2:K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</sheetPr>
  <dimension ref="A1:AM38"/>
  <sheetViews>
    <sheetView workbookViewId="0">
      <selection activeCell="P18" sqref="P18"/>
    </sheetView>
  </sheetViews>
  <sheetFormatPr defaultColWidth="8.85546875" defaultRowHeight="12.75"/>
  <cols>
    <col min="1" max="1" width="8.85546875" style="18"/>
    <col min="2" max="2" width="3" style="18" bestFit="1" customWidth="1"/>
    <col min="3" max="3" width="72.28515625" style="18" bestFit="1" customWidth="1"/>
    <col min="4" max="4" width="14.42578125" style="20" bestFit="1" customWidth="1"/>
    <col min="5" max="6" width="14.42578125" style="20" customWidth="1"/>
    <col min="7" max="7" width="14.140625" style="20" customWidth="1"/>
    <col min="8" max="13" width="14.140625" style="20" bestFit="1" customWidth="1"/>
    <col min="14" max="16384" width="8.85546875" style="18"/>
  </cols>
  <sheetData>
    <row r="1" spans="2:13" ht="13.5" thickBot="1">
      <c r="M1" s="42" t="s">
        <v>56</v>
      </c>
    </row>
    <row r="2" spans="2:13" ht="39.6" customHeight="1" thickBot="1">
      <c r="D2" s="114" t="s">
        <v>64</v>
      </c>
      <c r="E2" s="115"/>
      <c r="F2" s="115"/>
      <c r="G2" s="115"/>
      <c r="H2" s="115"/>
      <c r="I2" s="115"/>
      <c r="J2" s="115"/>
      <c r="K2" s="116"/>
      <c r="L2" s="114" t="s">
        <v>65</v>
      </c>
      <c r="M2" s="116"/>
    </row>
    <row r="3" spans="2:13" ht="13.5" thickBot="1">
      <c r="B3" s="55" t="s">
        <v>1</v>
      </c>
      <c r="C3" s="21" t="s">
        <v>0</v>
      </c>
      <c r="D3" s="97">
        <v>2021</v>
      </c>
      <c r="E3" s="97">
        <v>2022</v>
      </c>
      <c r="F3" s="87">
        <v>2023</v>
      </c>
      <c r="G3" s="59">
        <v>2024</v>
      </c>
      <c r="H3" s="63">
        <v>2025</v>
      </c>
      <c r="I3" s="59">
        <v>2026</v>
      </c>
      <c r="J3" s="63">
        <v>2027</v>
      </c>
      <c r="K3" s="59">
        <v>2028</v>
      </c>
      <c r="L3" s="63">
        <v>2029</v>
      </c>
      <c r="M3" s="87">
        <v>2030</v>
      </c>
    </row>
    <row r="4" spans="2:13" ht="13.9" customHeight="1">
      <c r="B4" s="56">
        <v>1</v>
      </c>
      <c r="C4" s="90" t="s">
        <v>44</v>
      </c>
      <c r="D4" s="64">
        <v>0</v>
      </c>
      <c r="E4" s="100">
        <v>0</v>
      </c>
      <c r="F4" s="60">
        <v>281030.40000000002</v>
      </c>
      <c r="G4" s="64">
        <v>281030.40000000002</v>
      </c>
      <c r="H4" s="60">
        <v>281030.40000000002</v>
      </c>
      <c r="I4" s="64">
        <v>281030.40000000002</v>
      </c>
      <c r="J4" s="60">
        <v>281030.40000000002</v>
      </c>
      <c r="K4" s="64">
        <v>281030.40000000002</v>
      </c>
      <c r="L4" s="98">
        <v>281030.40000000002</v>
      </c>
      <c r="M4" s="64">
        <v>281030.40000000002</v>
      </c>
    </row>
    <row r="5" spans="2:13" ht="13.9" customHeight="1">
      <c r="B5" s="57">
        <v>2</v>
      </c>
      <c r="C5" s="91" t="s">
        <v>39</v>
      </c>
      <c r="D5" s="65">
        <v>0</v>
      </c>
      <c r="E5" s="45">
        <v>0</v>
      </c>
      <c r="F5" s="61">
        <v>580127.03999999992</v>
      </c>
      <c r="G5" s="65">
        <v>580127.03999999992</v>
      </c>
      <c r="H5" s="61">
        <v>580127.03999999992</v>
      </c>
      <c r="I5" s="65">
        <v>580127.03999999992</v>
      </c>
      <c r="J5" s="61">
        <v>580127.03999999992</v>
      </c>
      <c r="K5" s="65">
        <v>580127.03999999992</v>
      </c>
      <c r="L5" s="44">
        <v>580127.03999999992</v>
      </c>
      <c r="M5" s="65">
        <v>580127.03999999992</v>
      </c>
    </row>
    <row r="6" spans="2:13">
      <c r="B6" s="57">
        <v>3</v>
      </c>
      <c r="C6" s="92" t="s">
        <v>42</v>
      </c>
      <c r="D6" s="65">
        <v>0</v>
      </c>
      <c r="E6" s="45">
        <v>0</v>
      </c>
      <c r="F6" s="61">
        <v>145728</v>
      </c>
      <c r="G6" s="65">
        <v>147868.91999999998</v>
      </c>
      <c r="H6" s="61">
        <v>148580.35379999998</v>
      </c>
      <c r="I6" s="65">
        <v>149302.459107</v>
      </c>
      <c r="J6" s="61">
        <v>150035.39599360499</v>
      </c>
      <c r="K6" s="65">
        <v>150779.32693350906</v>
      </c>
      <c r="L6" s="44">
        <v>151534.4168375117</v>
      </c>
      <c r="M6" s="65">
        <v>152300.83309007436</v>
      </c>
    </row>
    <row r="7" spans="2:13">
      <c r="B7" s="57">
        <v>4</v>
      </c>
      <c r="C7" s="93" t="s">
        <v>43</v>
      </c>
      <c r="D7" s="65">
        <v>0</v>
      </c>
      <c r="E7" s="45">
        <v>0</v>
      </c>
      <c r="F7" s="61">
        <v>122305.8</v>
      </c>
      <c r="G7" s="65">
        <v>121556.667</v>
      </c>
      <c r="H7" s="61">
        <v>122257.89700500001</v>
      </c>
      <c r="I7" s="65">
        <v>122969.645460075</v>
      </c>
      <c r="J7" s="61">
        <v>123692.07014197612</v>
      </c>
      <c r="K7" s="65">
        <v>124425.33119410575</v>
      </c>
      <c r="L7" s="44">
        <v>125169.59116201733</v>
      </c>
      <c r="M7" s="65">
        <v>125925.01502944759</v>
      </c>
    </row>
    <row r="8" spans="2:13">
      <c r="B8" s="57">
        <v>5</v>
      </c>
      <c r="C8" s="94" t="s">
        <v>14</v>
      </c>
      <c r="D8" s="65">
        <v>0</v>
      </c>
      <c r="E8" s="45">
        <v>0</v>
      </c>
      <c r="F8" s="61">
        <v>70000</v>
      </c>
      <c r="G8" s="65">
        <v>70000</v>
      </c>
      <c r="H8" s="61">
        <v>70000</v>
      </c>
      <c r="I8" s="65">
        <v>70000</v>
      </c>
      <c r="J8" s="61">
        <v>70000</v>
      </c>
      <c r="K8" s="65">
        <v>70000</v>
      </c>
      <c r="L8" s="44">
        <v>70000</v>
      </c>
      <c r="M8" s="65">
        <v>70000</v>
      </c>
    </row>
    <row r="9" spans="2:13">
      <c r="B9" s="57">
        <v>6</v>
      </c>
      <c r="C9" s="94" t="s">
        <v>21</v>
      </c>
      <c r="D9" s="65">
        <v>0</v>
      </c>
      <c r="E9" s="45">
        <v>0</v>
      </c>
      <c r="F9" s="61">
        <v>80000</v>
      </c>
      <c r="G9" s="65">
        <v>80000</v>
      </c>
      <c r="H9" s="61">
        <v>80000</v>
      </c>
      <c r="I9" s="65">
        <v>80000</v>
      </c>
      <c r="J9" s="61">
        <v>80000</v>
      </c>
      <c r="K9" s="65">
        <v>80000</v>
      </c>
      <c r="L9" s="44">
        <v>80000</v>
      </c>
      <c r="M9" s="65">
        <v>80000</v>
      </c>
    </row>
    <row r="10" spans="2:13">
      <c r="B10" s="57">
        <v>7</v>
      </c>
      <c r="C10" s="94" t="s">
        <v>12</v>
      </c>
      <c r="D10" s="65">
        <v>0</v>
      </c>
      <c r="E10" s="45">
        <v>0</v>
      </c>
      <c r="F10" s="61">
        <v>8200</v>
      </c>
      <c r="G10" s="65">
        <v>8200</v>
      </c>
      <c r="H10" s="61">
        <v>8200</v>
      </c>
      <c r="I10" s="65">
        <v>8200</v>
      </c>
      <c r="J10" s="61">
        <v>8200</v>
      </c>
      <c r="K10" s="65">
        <v>8610</v>
      </c>
      <c r="L10" s="44">
        <v>8610</v>
      </c>
      <c r="M10" s="65">
        <v>8610</v>
      </c>
    </row>
    <row r="11" spans="2:13">
      <c r="B11" s="57">
        <v>8</v>
      </c>
      <c r="C11" s="95" t="s">
        <v>13</v>
      </c>
      <c r="D11" s="65">
        <v>0</v>
      </c>
      <c r="E11" s="45">
        <v>0</v>
      </c>
      <c r="F11" s="61">
        <v>2124624.5345604001</v>
      </c>
      <c r="G11" s="65">
        <v>2305217.6199980341</v>
      </c>
      <c r="H11" s="61">
        <v>2305217.6199980341</v>
      </c>
      <c r="I11" s="65">
        <v>2305217.6199980341</v>
      </c>
      <c r="J11" s="61">
        <v>2355502.2293240339</v>
      </c>
      <c r="K11" s="65">
        <v>2359776.4211167442</v>
      </c>
      <c r="L11" s="44">
        <v>2359776.4211167442</v>
      </c>
      <c r="M11" s="65">
        <v>2359776.4211167442</v>
      </c>
    </row>
    <row r="12" spans="2:13">
      <c r="B12" s="57">
        <v>9</v>
      </c>
      <c r="C12" s="89" t="s">
        <v>63</v>
      </c>
      <c r="D12" s="65">
        <v>0</v>
      </c>
      <c r="E12" s="45">
        <v>0</v>
      </c>
      <c r="F12" s="61">
        <v>290400</v>
      </c>
      <c r="G12" s="65">
        <v>290400</v>
      </c>
      <c r="H12" s="61">
        <v>290400</v>
      </c>
      <c r="I12" s="65">
        <v>290400</v>
      </c>
      <c r="J12" s="61">
        <v>290400</v>
      </c>
      <c r="K12" s="65">
        <v>290400</v>
      </c>
      <c r="L12" s="44">
        <v>290400</v>
      </c>
      <c r="M12" s="65">
        <v>334400</v>
      </c>
    </row>
    <row r="13" spans="2:13">
      <c r="B13" s="57">
        <v>10</v>
      </c>
      <c r="C13" s="95" t="s">
        <v>23</v>
      </c>
      <c r="D13" s="65">
        <v>0</v>
      </c>
      <c r="E13" s="45">
        <v>0</v>
      </c>
      <c r="F13" s="61">
        <v>85920</v>
      </c>
      <c r="G13" s="65">
        <v>85920</v>
      </c>
      <c r="H13" s="61">
        <v>85920</v>
      </c>
      <c r="I13" s="65">
        <v>85920</v>
      </c>
      <c r="J13" s="61">
        <v>85920</v>
      </c>
      <c r="K13" s="65">
        <v>94512.000000000015</v>
      </c>
      <c r="L13" s="44">
        <v>94512.000000000015</v>
      </c>
      <c r="M13" s="65">
        <v>94512.000000000015</v>
      </c>
    </row>
    <row r="14" spans="2:13" ht="13.5" thickBot="1">
      <c r="B14" s="58">
        <v>11</v>
      </c>
      <c r="C14" s="96" t="s">
        <v>24</v>
      </c>
      <c r="D14" s="66">
        <v>0</v>
      </c>
      <c r="E14" s="101">
        <v>0</v>
      </c>
      <c r="F14" s="62">
        <v>9451.7999999999993</v>
      </c>
      <c r="G14" s="66">
        <v>9451.7999999999993</v>
      </c>
      <c r="H14" s="62">
        <v>9451.7999999999993</v>
      </c>
      <c r="I14" s="66">
        <v>9451.7999999999993</v>
      </c>
      <c r="J14" s="62">
        <v>9451.7999999999993</v>
      </c>
      <c r="K14" s="66">
        <v>9924.39</v>
      </c>
      <c r="L14" s="99">
        <v>9924.39</v>
      </c>
      <c r="M14" s="66">
        <v>9924.39</v>
      </c>
    </row>
    <row r="15" spans="2:13" ht="13.5" thickBot="1">
      <c r="B15" s="20"/>
    </row>
    <row r="16" spans="2:13">
      <c r="B16" s="56">
        <v>12</v>
      </c>
      <c r="C16" s="102" t="s">
        <v>40</v>
      </c>
      <c r="D16" s="107">
        <v>0</v>
      </c>
      <c r="E16" s="67">
        <v>0</v>
      </c>
      <c r="F16" s="104">
        <f>F4+F6+F11+F13+F14</f>
        <v>2646754.7345603998</v>
      </c>
      <c r="G16" s="68">
        <f t="shared" ref="G16:M16" si="0">G4+G6+G11+G13+G14</f>
        <v>2829488.7399980337</v>
      </c>
      <c r="H16" s="67">
        <f t="shared" si="0"/>
        <v>2830200.173798034</v>
      </c>
      <c r="I16" s="68">
        <f t="shared" si="0"/>
        <v>2830922.2791050337</v>
      </c>
      <c r="J16" s="67">
        <f t="shared" si="0"/>
        <v>2881939.8253176389</v>
      </c>
      <c r="K16" s="68">
        <f t="shared" si="0"/>
        <v>2896022.5380502534</v>
      </c>
      <c r="L16" s="67">
        <f t="shared" si="0"/>
        <v>2896777.6279542563</v>
      </c>
      <c r="M16" s="67">
        <f t="shared" si="0"/>
        <v>2897544.0442068186</v>
      </c>
    </row>
    <row r="17" spans="1:39" ht="13.5" thickBot="1">
      <c r="B17" s="69">
        <v>13</v>
      </c>
      <c r="C17" s="103" t="s">
        <v>41</v>
      </c>
      <c r="D17" s="108">
        <v>0</v>
      </c>
      <c r="E17" s="109">
        <v>0</v>
      </c>
      <c r="F17" s="105">
        <f>F5+F7+F8+F9+F10+F12</f>
        <v>1151032.8399999999</v>
      </c>
      <c r="G17" s="71">
        <f t="shared" ref="G17:M17" si="1">G5+G7+G8+G9+G10+G12</f>
        <v>1150283.7069999999</v>
      </c>
      <c r="H17" s="70">
        <f t="shared" si="1"/>
        <v>1150984.937005</v>
      </c>
      <c r="I17" s="71">
        <f t="shared" si="1"/>
        <v>1151696.6854600748</v>
      </c>
      <c r="J17" s="70">
        <f t="shared" si="1"/>
        <v>1152419.110141976</v>
      </c>
      <c r="K17" s="71">
        <f t="shared" si="1"/>
        <v>1153562.3711941056</v>
      </c>
      <c r="L17" s="70">
        <f t="shared" si="1"/>
        <v>1154306.6311620171</v>
      </c>
      <c r="M17" s="70">
        <f t="shared" si="1"/>
        <v>1199062.0550294477</v>
      </c>
    </row>
    <row r="18" spans="1:39" ht="24.6" customHeight="1" thickBot="1">
      <c r="B18" s="72">
        <v>14</v>
      </c>
      <c r="C18" s="43" t="s">
        <v>58</v>
      </c>
      <c r="D18" s="106">
        <v>0</v>
      </c>
      <c r="E18" s="110">
        <v>0</v>
      </c>
      <c r="F18" s="73">
        <f>SUM(F16:F17)</f>
        <v>3797787.5745603996</v>
      </c>
      <c r="G18" s="74">
        <f t="shared" ref="G18:M18" si="2">SUM(G16:G17)</f>
        <v>3979772.4469980337</v>
      </c>
      <c r="H18" s="73">
        <f t="shared" si="2"/>
        <v>3981185.1108030342</v>
      </c>
      <c r="I18" s="74">
        <f t="shared" si="2"/>
        <v>3982618.9645651085</v>
      </c>
      <c r="J18" s="73">
        <f t="shared" si="2"/>
        <v>4034358.9354596147</v>
      </c>
      <c r="K18" s="74">
        <f t="shared" si="2"/>
        <v>4049584.909244359</v>
      </c>
      <c r="L18" s="73">
        <f t="shared" si="2"/>
        <v>4051084.2591162734</v>
      </c>
      <c r="M18" s="73">
        <f t="shared" si="2"/>
        <v>4096606.0992362662</v>
      </c>
    </row>
    <row r="23" spans="1:39">
      <c r="C23" s="19" t="s">
        <v>25</v>
      </c>
    </row>
    <row r="24" spans="1:39">
      <c r="C24" s="18" t="s">
        <v>31</v>
      </c>
    </row>
    <row r="25" spans="1:39">
      <c r="C25" s="18" t="s">
        <v>26</v>
      </c>
    </row>
    <row r="26" spans="1:39">
      <c r="C26" s="18" t="s">
        <v>33</v>
      </c>
    </row>
    <row r="27" spans="1:39">
      <c r="C27" s="18" t="s">
        <v>66</v>
      </c>
    </row>
    <row r="28" spans="1:39">
      <c r="C28" s="18" t="s">
        <v>27</v>
      </c>
    </row>
    <row r="29" spans="1:39">
      <c r="C29" s="18" t="s">
        <v>45</v>
      </c>
    </row>
    <row r="30" spans="1:39">
      <c r="C30" s="18" t="s">
        <v>28</v>
      </c>
    </row>
    <row r="31" spans="1:39">
      <c r="C31" s="18" t="s">
        <v>29</v>
      </c>
    </row>
    <row r="32" spans="1:39" s="20" customFormat="1">
      <c r="A32" s="18"/>
      <c r="B32" s="18"/>
      <c r="C32" s="18" t="s">
        <v>30</v>
      </c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</row>
    <row r="34" spans="1:39">
      <c r="C34" s="88" t="s">
        <v>67</v>
      </c>
    </row>
    <row r="35" spans="1:39" s="20" customFormat="1" ht="63" customHeight="1">
      <c r="A35" s="18"/>
      <c r="B35" s="18"/>
      <c r="C35" s="117" t="s">
        <v>68</v>
      </c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</row>
    <row r="36" spans="1:39" s="20" customFormat="1">
      <c r="A36" s="18"/>
      <c r="B36" s="18"/>
      <c r="C36" s="118" t="s">
        <v>69</v>
      </c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</row>
    <row r="37" spans="1:39" s="20" customFormat="1">
      <c r="A37" s="18"/>
      <c r="B37" s="18"/>
      <c r="C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</row>
    <row r="38" spans="1:39" s="20" customFormat="1">
      <c r="A38" s="18"/>
      <c r="B38" s="18"/>
      <c r="C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</row>
  </sheetData>
  <mergeCells count="4">
    <mergeCell ref="D2:K2"/>
    <mergeCell ref="C35:M35"/>
    <mergeCell ref="C36:M36"/>
    <mergeCell ref="L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</sheetPr>
  <dimension ref="A1:AA156"/>
  <sheetViews>
    <sheetView workbookViewId="0">
      <selection activeCell="AC16" sqref="AC16"/>
    </sheetView>
  </sheetViews>
  <sheetFormatPr defaultRowHeight="15"/>
  <cols>
    <col min="2" max="2" width="2.85546875" bestFit="1" customWidth="1"/>
    <col min="3" max="3" width="40" customWidth="1"/>
    <col min="4" max="4" width="15.140625" customWidth="1"/>
    <col min="5" max="5" width="16.5703125" customWidth="1"/>
    <col min="6" max="6" width="15.28515625" customWidth="1"/>
    <col min="7" max="7" width="13.5703125" customWidth="1"/>
    <col min="8" max="9" width="12" customWidth="1"/>
    <col min="10" max="10" width="12" hidden="1" customWidth="1"/>
    <col min="11" max="11" width="0" hidden="1" customWidth="1"/>
    <col min="12" max="12" width="15.140625" hidden="1" customWidth="1"/>
    <col min="13" max="13" width="12.85546875" hidden="1" customWidth="1"/>
    <col min="14" max="14" width="28.5703125" hidden="1" customWidth="1"/>
    <col min="15" max="15" width="0" hidden="1" customWidth="1"/>
    <col min="16" max="16" width="22.7109375" hidden="1" customWidth="1"/>
    <col min="17" max="17" width="14.7109375" hidden="1" customWidth="1"/>
    <col min="18" max="18" width="13.28515625" hidden="1" customWidth="1"/>
    <col min="19" max="19" width="12.140625" hidden="1" customWidth="1"/>
    <col min="20" max="21" width="0" hidden="1" customWidth="1"/>
    <col min="22" max="22" width="29.85546875" hidden="1" customWidth="1"/>
    <col min="23" max="23" width="0" hidden="1" customWidth="1"/>
    <col min="24" max="24" width="15" hidden="1" customWidth="1"/>
    <col min="25" max="25" width="14.7109375" hidden="1" customWidth="1"/>
    <col min="26" max="26" width="13.28515625" hidden="1" customWidth="1"/>
    <col min="27" max="27" width="12.140625" hidden="1" customWidth="1"/>
    <col min="28" max="28" width="0" hidden="1" customWidth="1"/>
  </cols>
  <sheetData>
    <row r="1" spans="1:27">
      <c r="H1" s="41" t="s">
        <v>57</v>
      </c>
    </row>
    <row r="2" spans="1:27">
      <c r="A2" s="2" t="s">
        <v>47</v>
      </c>
    </row>
    <row r="3" spans="1:27" ht="47.25" customHeight="1">
      <c r="B3" s="6" t="s">
        <v>1</v>
      </c>
      <c r="C3" s="6" t="s">
        <v>0</v>
      </c>
      <c r="D3" s="6" t="s">
        <v>2</v>
      </c>
      <c r="E3" s="7" t="s">
        <v>11</v>
      </c>
      <c r="F3" s="11" t="s">
        <v>16</v>
      </c>
      <c r="G3" s="11" t="s">
        <v>17</v>
      </c>
      <c r="H3" s="11" t="s">
        <v>18</v>
      </c>
      <c r="I3" s="49"/>
      <c r="J3" s="49"/>
      <c r="L3" s="15">
        <v>2023</v>
      </c>
      <c r="M3" s="6" t="s">
        <v>1</v>
      </c>
      <c r="N3" s="6" t="s">
        <v>0</v>
      </c>
      <c r="O3" s="6" t="s">
        <v>2</v>
      </c>
      <c r="P3" s="7" t="s">
        <v>11</v>
      </c>
      <c r="Q3" s="11" t="s">
        <v>16</v>
      </c>
      <c r="R3" s="11" t="s">
        <v>17</v>
      </c>
      <c r="S3" s="11" t="s">
        <v>18</v>
      </c>
      <c r="U3" s="6" t="s">
        <v>1</v>
      </c>
      <c r="V3" s="6" t="s">
        <v>0</v>
      </c>
      <c r="W3" s="6" t="s">
        <v>2</v>
      </c>
      <c r="X3" s="7" t="s">
        <v>11</v>
      </c>
      <c r="Y3" s="11" t="s">
        <v>16</v>
      </c>
      <c r="Z3" s="11" t="s">
        <v>17</v>
      </c>
      <c r="AA3" s="11" t="s">
        <v>18</v>
      </c>
    </row>
    <row r="4" spans="1:27">
      <c r="B4" s="1">
        <v>1</v>
      </c>
      <c r="C4" s="4" t="s">
        <v>4</v>
      </c>
      <c r="D4" s="4">
        <v>1</v>
      </c>
      <c r="E4" s="34">
        <v>248514.58832280003</v>
      </c>
      <c r="F4" s="52">
        <v>207875.02160000001</v>
      </c>
      <c r="G4" s="51">
        <v>35546.628693600003</v>
      </c>
      <c r="H4" s="51">
        <v>5092.9380292000005</v>
      </c>
      <c r="I4" s="50"/>
      <c r="J4" s="50"/>
      <c r="M4" s="1">
        <v>1</v>
      </c>
      <c r="N4" s="1" t="s">
        <v>4</v>
      </c>
      <c r="O4" s="1">
        <v>1</v>
      </c>
      <c r="P4" s="5">
        <f>SUM(Q4:S4)</f>
        <v>235800.74565420003</v>
      </c>
      <c r="Q4" s="32">
        <f>1916.94*(4.7+2)*1.15*O4*12+(4*5000)</f>
        <v>197240.27240000002</v>
      </c>
      <c r="R4" s="1">
        <f>Q4*17.1%</f>
        <v>33728.086580400006</v>
      </c>
      <c r="S4" s="1">
        <f>Q4*2.45%</f>
        <v>4832.3866738000006</v>
      </c>
      <c r="U4" s="1">
        <v>1</v>
      </c>
      <c r="V4" s="1" t="s">
        <v>4</v>
      </c>
      <c r="W4" s="1">
        <v>1</v>
      </c>
      <c r="X4" s="5">
        <f>SUM(Y4:AA4)</f>
        <v>259380.82021962007</v>
      </c>
      <c r="Y4" s="32">
        <f>(1916.94*(4.7+2)*1.15*W4*12+(4*5000))*1.1</f>
        <v>216964.29964000004</v>
      </c>
      <c r="Z4" s="1">
        <f>Y4*17.1%</f>
        <v>37100.895238440011</v>
      </c>
      <c r="AA4" s="1">
        <f>Y4*2.45%</f>
        <v>5315.6253411800008</v>
      </c>
    </row>
    <row r="5" spans="1:27">
      <c r="B5" s="1">
        <v>2</v>
      </c>
      <c r="C5" s="86" t="s">
        <v>46</v>
      </c>
      <c r="D5" s="4">
        <v>1</v>
      </c>
      <c r="E5" s="34">
        <v>214991.51543880001</v>
      </c>
      <c r="F5" s="52">
        <v>179833.9736</v>
      </c>
      <c r="G5" s="51">
        <v>30751.609485600002</v>
      </c>
      <c r="H5" s="51">
        <v>4405.9323531999999</v>
      </c>
      <c r="I5" s="50"/>
      <c r="J5" s="50"/>
      <c r="M5" s="1"/>
      <c r="N5" s="48" t="s">
        <v>46</v>
      </c>
      <c r="O5" s="1">
        <v>1</v>
      </c>
      <c r="P5" s="5">
        <f>SUM(Q5:S5)</f>
        <v>204175.26122819999</v>
      </c>
      <c r="Q5" s="32">
        <f>1916.94*(3.7+2)*1.15*O5*12+(4*5000)</f>
        <v>170786.50039999999</v>
      </c>
      <c r="R5" s="1">
        <f>Q5*17.1%</f>
        <v>29204.491568400001</v>
      </c>
      <c r="S5" s="1">
        <f>Q5*2.45%</f>
        <v>4184.2692598000003</v>
      </c>
      <c r="U5" s="1"/>
      <c r="V5" s="48" t="s">
        <v>46</v>
      </c>
      <c r="W5" s="1">
        <v>1</v>
      </c>
      <c r="X5" s="5">
        <f>SUM(Y5:AA5)</f>
        <v>224592.78735102</v>
      </c>
      <c r="Y5" s="32">
        <f>(1916.94*(3.7+2)*1.15*W5*12+(4*5000))*1.1</f>
        <v>187865.15044</v>
      </c>
      <c r="Z5" s="1">
        <f>Y5*17.1%</f>
        <v>32124.940725240001</v>
      </c>
      <c r="AA5" s="1">
        <f>Y5*2.45%</f>
        <v>4602.6961857799997</v>
      </c>
    </row>
    <row r="6" spans="1:27">
      <c r="B6" s="1">
        <v>3</v>
      </c>
      <c r="C6" s="4" t="s">
        <v>59</v>
      </c>
      <c r="D6" s="4">
        <v>4</v>
      </c>
      <c r="E6" s="34">
        <v>560279.16614400002</v>
      </c>
      <c r="F6" s="52">
        <v>468656.76799999998</v>
      </c>
      <c r="G6" s="51">
        <v>80140.30732800001</v>
      </c>
      <c r="H6" s="51">
        <v>11482.090816</v>
      </c>
      <c r="I6" s="50"/>
      <c r="J6" s="50"/>
      <c r="M6" s="1">
        <v>2</v>
      </c>
      <c r="N6" s="1" t="s">
        <v>5</v>
      </c>
      <c r="O6" s="39">
        <v>3</v>
      </c>
      <c r="P6" s="5">
        <f t="shared" ref="P6:P11" si="0">SUM(Q6:S6)</f>
        <v>403415.81311199995</v>
      </c>
      <c r="Q6" s="32">
        <f>1916.94*(4)*1.15*O6*12+(4*5000)</f>
        <v>337445.26399999997</v>
      </c>
      <c r="R6" s="1">
        <f t="shared" ref="R6:R11" si="1">Q6*17.1%</f>
        <v>57703.140143999997</v>
      </c>
      <c r="S6" s="1">
        <f t="shared" ref="S6:S11" si="2">Q6*2.45%</f>
        <v>8267.4089679999997</v>
      </c>
      <c r="U6" s="1">
        <v>2</v>
      </c>
      <c r="V6" s="1" t="s">
        <v>5</v>
      </c>
      <c r="W6" s="39">
        <v>3</v>
      </c>
      <c r="X6" s="5">
        <f t="shared" ref="X6:X11" si="3">SUM(Y6:AA6)</f>
        <v>443757.39442319999</v>
      </c>
      <c r="Y6" s="32">
        <f>(1916.94*(4)*1.15*W6*12+(4*5000))*1.1</f>
        <v>371189.7904</v>
      </c>
      <c r="Z6" s="1">
        <f t="shared" ref="Z6:Z11" si="4">Y6*17.1%</f>
        <v>63473.454158400004</v>
      </c>
      <c r="AA6" s="1">
        <f t="shared" ref="AA6:AA11" si="5">Y6*2.45%</f>
        <v>9094.1498647999997</v>
      </c>
    </row>
    <row r="7" spans="1:27">
      <c r="B7" s="1">
        <v>4</v>
      </c>
      <c r="C7" s="4" t="s">
        <v>6</v>
      </c>
      <c r="D7" s="4">
        <v>3</v>
      </c>
      <c r="E7" s="34">
        <v>426186.87460800004</v>
      </c>
      <c r="F7" s="52">
        <v>356492.576</v>
      </c>
      <c r="G7" s="51">
        <v>60960.230496000004</v>
      </c>
      <c r="H7" s="51">
        <v>8734.0681120000008</v>
      </c>
      <c r="I7" s="50"/>
      <c r="J7" s="50"/>
      <c r="M7" s="1">
        <v>3</v>
      </c>
      <c r="N7" s="1" t="s">
        <v>6</v>
      </c>
      <c r="O7" s="39">
        <v>3</v>
      </c>
      <c r="P7" s="5">
        <f t="shared" si="0"/>
        <v>403415.81311199995</v>
      </c>
      <c r="Q7" s="32">
        <f>1916.94*(4)*1.15*O7*12+(4*5000)</f>
        <v>337445.26399999997</v>
      </c>
      <c r="R7" s="1">
        <f t="shared" si="1"/>
        <v>57703.140143999997</v>
      </c>
      <c r="S7" s="1">
        <f t="shared" si="2"/>
        <v>8267.4089679999997</v>
      </c>
      <c r="U7" s="1">
        <v>3</v>
      </c>
      <c r="V7" s="1" t="s">
        <v>6</v>
      </c>
      <c r="W7" s="39">
        <v>3</v>
      </c>
      <c r="X7" s="5">
        <f t="shared" si="3"/>
        <v>443757.39442319999</v>
      </c>
      <c r="Y7" s="32">
        <f>(1916.94*(4)*1.15*W7*12+(4*5000))*1.1</f>
        <v>371189.7904</v>
      </c>
      <c r="Z7" s="1">
        <f t="shared" si="4"/>
        <v>63473.454158400004</v>
      </c>
      <c r="AA7" s="1">
        <f t="shared" si="5"/>
        <v>9094.1498647999997</v>
      </c>
    </row>
    <row r="8" spans="1:27">
      <c r="B8" s="1">
        <v>5</v>
      </c>
      <c r="C8" s="4" t="s">
        <v>7</v>
      </c>
      <c r="D8" s="4">
        <v>1</v>
      </c>
      <c r="E8" s="34">
        <v>88096.760344800001</v>
      </c>
      <c r="F8" s="52">
        <v>73690.305600000007</v>
      </c>
      <c r="G8" s="51">
        <v>12601.042257600002</v>
      </c>
      <c r="H8" s="51">
        <v>1805.4124872000002</v>
      </c>
      <c r="I8" s="50"/>
      <c r="J8" s="50"/>
      <c r="M8" s="1">
        <v>4</v>
      </c>
      <c r="N8" s="1" t="s">
        <v>7</v>
      </c>
      <c r="O8" s="39">
        <v>1</v>
      </c>
      <c r="P8" s="5">
        <f t="shared" si="0"/>
        <v>83922.065737199999</v>
      </c>
      <c r="Q8" s="32">
        <f>1916.94*(2.2)*1.15*O8*12+(4*3000)</f>
        <v>70198.2984</v>
      </c>
      <c r="R8" s="1">
        <f t="shared" si="1"/>
        <v>12003.909026400001</v>
      </c>
      <c r="S8" s="1">
        <f t="shared" si="2"/>
        <v>1719.8583108</v>
      </c>
      <c r="U8" s="1">
        <v>4</v>
      </c>
      <c r="V8" s="1" t="s">
        <v>7</v>
      </c>
      <c r="W8" s="39">
        <v>1</v>
      </c>
      <c r="X8" s="5">
        <f t="shared" si="3"/>
        <v>92314.272310920016</v>
      </c>
      <c r="Y8" s="32">
        <f>(1916.94*(2.2)*1.15*W8*12+(4*3000))*1.1</f>
        <v>77218.128240000005</v>
      </c>
      <c r="Z8" s="1">
        <f t="shared" si="4"/>
        <v>13204.299929040002</v>
      </c>
      <c r="AA8" s="1">
        <f t="shared" si="5"/>
        <v>1891.8441418800003</v>
      </c>
    </row>
    <row r="9" spans="1:27">
      <c r="B9" s="1">
        <v>6</v>
      </c>
      <c r="C9" s="4" t="s">
        <v>22</v>
      </c>
      <c r="D9" s="4">
        <v>3</v>
      </c>
      <c r="E9" s="34">
        <v>270551.04663</v>
      </c>
      <c r="F9" s="52">
        <v>226307.86</v>
      </c>
      <c r="G9" s="34">
        <v>38698.644059999999</v>
      </c>
      <c r="H9" s="34">
        <v>5544.5425699999996</v>
      </c>
      <c r="I9" s="26"/>
      <c r="J9" s="26"/>
      <c r="M9" s="1">
        <v>5</v>
      </c>
      <c r="N9" s="1" t="s">
        <v>19</v>
      </c>
      <c r="O9" s="1">
        <v>5</v>
      </c>
      <c r="P9" s="5">
        <f t="shared" si="0"/>
        <v>414446.55532500002</v>
      </c>
      <c r="Q9" s="32">
        <f>1916.94*(2.5)*1.15*O9*12+(4*4000)</f>
        <v>346672.15</v>
      </c>
      <c r="R9" s="13">
        <f t="shared" si="1"/>
        <v>59280.937650000007</v>
      </c>
      <c r="S9" s="13">
        <f t="shared" si="2"/>
        <v>8493.4676750000017</v>
      </c>
      <c r="U9" s="1">
        <v>5</v>
      </c>
      <c r="V9" s="1" t="s">
        <v>19</v>
      </c>
      <c r="W9" s="1">
        <v>5</v>
      </c>
      <c r="X9" s="5">
        <f t="shared" si="3"/>
        <v>455891.21085750009</v>
      </c>
      <c r="Y9" s="32">
        <f>(1916.94*(2.5)*1.15*W9*12+(4*4000))*1.1</f>
        <v>381339.36500000005</v>
      </c>
      <c r="Z9" s="13">
        <f t="shared" si="4"/>
        <v>65209.031415000012</v>
      </c>
      <c r="AA9" s="13">
        <f t="shared" si="5"/>
        <v>9342.814442500001</v>
      </c>
    </row>
    <row r="10" spans="1:27">
      <c r="B10" s="1">
        <v>7</v>
      </c>
      <c r="C10" s="4" t="s">
        <v>8</v>
      </c>
      <c r="D10" s="4">
        <v>1</v>
      </c>
      <c r="E10" s="34">
        <v>158002.29153599998</v>
      </c>
      <c r="F10" s="52">
        <v>132164.19199999998</v>
      </c>
      <c r="G10" s="51">
        <v>22600.076831999999</v>
      </c>
      <c r="H10" s="51">
        <v>3238.0227039999995</v>
      </c>
      <c r="I10" s="50"/>
      <c r="J10" s="50"/>
      <c r="M10" s="1">
        <v>6</v>
      </c>
      <c r="N10" s="1" t="s">
        <v>8</v>
      </c>
      <c r="O10" s="1">
        <v>1</v>
      </c>
      <c r="P10" s="5">
        <f t="shared" si="0"/>
        <v>150411.93770399998</v>
      </c>
      <c r="Q10" s="32">
        <f>1916.94*(4)*1.15*O10*12+(4*5000)</f>
        <v>125815.08799999999</v>
      </c>
      <c r="R10" s="1">
        <f t="shared" si="1"/>
        <v>21514.380047999999</v>
      </c>
      <c r="S10" s="1">
        <f t="shared" si="2"/>
        <v>3082.4696559999998</v>
      </c>
      <c r="U10" s="1">
        <v>6</v>
      </c>
      <c r="V10" s="1" t="s">
        <v>8</v>
      </c>
      <c r="W10" s="1">
        <v>1</v>
      </c>
      <c r="X10" s="5">
        <f t="shared" si="3"/>
        <v>165453.1314744</v>
      </c>
      <c r="Y10" s="32">
        <f>(1916.94*(4)*1.15*W10*12+(4*5000))*1.1</f>
        <v>138396.5968</v>
      </c>
      <c r="Z10" s="1">
        <f t="shared" si="4"/>
        <v>23665.818052800001</v>
      </c>
      <c r="AA10" s="1">
        <f t="shared" si="5"/>
        <v>3390.7166216000001</v>
      </c>
    </row>
    <row r="11" spans="1:27">
      <c r="B11" s="1">
        <v>8</v>
      </c>
      <c r="C11" s="4" t="s">
        <v>9</v>
      </c>
      <c r="D11" s="4">
        <v>1</v>
      </c>
      <c r="E11" s="34">
        <v>158002.29153599998</v>
      </c>
      <c r="F11" s="52">
        <v>132164.19199999998</v>
      </c>
      <c r="G11" s="51">
        <v>22600.076831999999</v>
      </c>
      <c r="H11" s="51">
        <v>3238.0227039999995</v>
      </c>
      <c r="I11" s="50"/>
      <c r="J11" s="50"/>
      <c r="M11" s="1">
        <v>8</v>
      </c>
      <c r="N11" s="1" t="s">
        <v>9</v>
      </c>
      <c r="O11" s="1">
        <v>1</v>
      </c>
      <c r="P11" s="5">
        <f t="shared" si="0"/>
        <v>150411.93770399998</v>
      </c>
      <c r="Q11" s="32">
        <f>1916.94*(4)*1.15*O11*12+(4*5000)</f>
        <v>125815.08799999999</v>
      </c>
      <c r="R11" s="1">
        <f t="shared" si="1"/>
        <v>21514.380047999999</v>
      </c>
      <c r="S11" s="1">
        <f t="shared" si="2"/>
        <v>3082.4696559999998</v>
      </c>
      <c r="U11" s="1">
        <v>8</v>
      </c>
      <c r="V11" s="1" t="s">
        <v>9</v>
      </c>
      <c r="W11" s="1">
        <v>1</v>
      </c>
      <c r="X11" s="5">
        <f t="shared" si="3"/>
        <v>165453.1314744</v>
      </c>
      <c r="Y11" s="32">
        <f>(1916.94*(4)*1.15*W11*12+(4*5000))*1.1</f>
        <v>138396.5968</v>
      </c>
      <c r="Z11" s="1">
        <f t="shared" si="4"/>
        <v>23665.818052800001</v>
      </c>
      <c r="AA11" s="1">
        <f t="shared" si="5"/>
        <v>3390.7166216000001</v>
      </c>
    </row>
    <row r="12" spans="1:27">
      <c r="B12" s="1"/>
      <c r="C12" s="3" t="s">
        <v>3</v>
      </c>
      <c r="D12" s="3">
        <v>15</v>
      </c>
      <c r="E12" s="35">
        <v>2124624.5345604001</v>
      </c>
      <c r="F12" s="35">
        <v>1777184.8887999998</v>
      </c>
      <c r="G12" s="35">
        <v>303898.61598479998</v>
      </c>
      <c r="H12" s="35">
        <v>43541.029775600007</v>
      </c>
      <c r="I12" s="17"/>
      <c r="J12" s="17"/>
      <c r="M12" s="1"/>
      <c r="N12" s="3" t="s">
        <v>3</v>
      </c>
      <c r="O12" s="3">
        <f>SUM(O4:O11)</f>
        <v>16</v>
      </c>
      <c r="P12" s="9">
        <f>SUM(P4:P11)</f>
        <v>2046000.1295765999</v>
      </c>
      <c r="Q12" s="9">
        <f>SUM(Q4:Q11)</f>
        <v>1711417.9251999999</v>
      </c>
      <c r="R12" s="9">
        <f>SUM(R4:R11)</f>
        <v>292652.46520920005</v>
      </c>
      <c r="S12" s="9">
        <f>SUM(S4:S11)</f>
        <v>41929.739167400003</v>
      </c>
      <c r="U12" s="1"/>
      <c r="V12" s="3" t="s">
        <v>3</v>
      </c>
      <c r="W12" s="3">
        <f>SUM(W4:W11)</f>
        <v>16</v>
      </c>
      <c r="X12" s="9">
        <f>SUM(X4:X11)</f>
        <v>2250600.1425342602</v>
      </c>
      <c r="Y12" s="9">
        <f>SUM(Y4:Y11)</f>
        <v>1882559.7177199998</v>
      </c>
      <c r="Z12" s="9">
        <f>SUM(Z4:Z11)</f>
        <v>321917.71173012006</v>
      </c>
      <c r="AA12" s="9">
        <f>SUM(AA4:AA11)</f>
        <v>46122.713084139992</v>
      </c>
    </row>
    <row r="13" spans="1:27">
      <c r="E13" s="36"/>
      <c r="F13" s="36"/>
      <c r="G13" s="36"/>
      <c r="H13" s="36"/>
      <c r="O13" s="2" t="s">
        <v>20</v>
      </c>
      <c r="P13" s="14">
        <f>E12/12</f>
        <v>177052.0445467</v>
      </c>
    </row>
    <row r="14" spans="1:27">
      <c r="O14" t="s">
        <v>3</v>
      </c>
      <c r="P14" s="16">
        <f>SUM(P12:P13)</f>
        <v>2223052.1741232998</v>
      </c>
    </row>
    <row r="15" spans="1:27">
      <c r="A15" s="2" t="s">
        <v>48</v>
      </c>
    </row>
    <row r="16" spans="1:27" ht="45">
      <c r="B16" s="6" t="s">
        <v>1</v>
      </c>
      <c r="C16" s="6" t="s">
        <v>0</v>
      </c>
      <c r="D16" s="6" t="s">
        <v>2</v>
      </c>
      <c r="E16" s="7" t="s">
        <v>11</v>
      </c>
      <c r="F16" s="11" t="s">
        <v>16</v>
      </c>
      <c r="G16" s="11" t="s">
        <v>17</v>
      </c>
      <c r="H16" s="11" t="s">
        <v>18</v>
      </c>
      <c r="I16" s="49"/>
      <c r="J16" s="49"/>
      <c r="L16" s="22"/>
      <c r="M16" s="22" t="s">
        <v>32</v>
      </c>
      <c r="N16" s="22" t="s">
        <v>3</v>
      </c>
      <c r="O16" s="22"/>
      <c r="P16" s="22"/>
      <c r="Q16" s="22"/>
      <c r="R16" s="22"/>
      <c r="S16" s="22"/>
    </row>
    <row r="17" spans="1:19">
      <c r="B17" s="1">
        <v>1</v>
      </c>
      <c r="C17" s="4" t="s">
        <v>4</v>
      </c>
      <c r="D17" s="1">
        <v>1</v>
      </c>
      <c r="E17" s="34">
        <v>248514.58832280003</v>
      </c>
      <c r="F17" s="52">
        <v>207875.02160000001</v>
      </c>
      <c r="G17" s="51">
        <v>35546.628693600003</v>
      </c>
      <c r="H17" s="51">
        <v>5092.9380292000005</v>
      </c>
      <c r="I17" s="50"/>
      <c r="J17" s="50"/>
      <c r="K17">
        <v>2022</v>
      </c>
      <c r="L17" s="46">
        <f>E12</f>
        <v>2124624.5345604001</v>
      </c>
      <c r="M17" s="38">
        <v>0</v>
      </c>
      <c r="N17" s="38">
        <f>L17+M17</f>
        <v>2124624.5345604001</v>
      </c>
      <c r="O17" s="24"/>
      <c r="P17" s="25"/>
      <c r="Q17" s="23"/>
      <c r="R17" s="23"/>
      <c r="S17" s="23"/>
    </row>
    <row r="18" spans="1:19">
      <c r="B18" s="1">
        <v>2</v>
      </c>
      <c r="C18" s="86" t="s">
        <v>46</v>
      </c>
      <c r="D18" s="1">
        <v>1</v>
      </c>
      <c r="E18" s="34">
        <v>214991.51543880001</v>
      </c>
      <c r="F18" s="52">
        <v>179833.9736</v>
      </c>
      <c r="G18" s="51">
        <v>30751.609485600002</v>
      </c>
      <c r="H18" s="51">
        <v>4405.9323531999999</v>
      </c>
      <c r="I18" s="50"/>
      <c r="J18" s="50"/>
      <c r="K18">
        <v>2023</v>
      </c>
      <c r="L18" s="46">
        <f>P12</f>
        <v>2046000.1295765999</v>
      </c>
      <c r="M18" s="37">
        <f>L17/12</f>
        <v>177052.0445467</v>
      </c>
      <c r="N18" s="38">
        <f t="shared" ref="N18:N52" si="6">L18+M18</f>
        <v>2223052.1741232998</v>
      </c>
      <c r="O18" s="22"/>
      <c r="P18" s="26"/>
      <c r="Q18" s="22"/>
      <c r="R18" s="22"/>
      <c r="S18" s="22"/>
    </row>
    <row r="19" spans="1:19">
      <c r="B19" s="1">
        <v>3</v>
      </c>
      <c r="C19" s="4" t="s">
        <v>59</v>
      </c>
      <c r="D19" s="1">
        <v>4</v>
      </c>
      <c r="E19" s="34">
        <v>560279.16614400002</v>
      </c>
      <c r="F19" s="52">
        <v>468656.76799999998</v>
      </c>
      <c r="G19" s="51">
        <v>80140.30732800001</v>
      </c>
      <c r="H19" s="51">
        <v>11482.090816</v>
      </c>
      <c r="I19" s="50"/>
      <c r="J19" s="50"/>
      <c r="K19">
        <v>2024</v>
      </c>
      <c r="L19" s="46">
        <f>X12</f>
        <v>2250600.1425342602</v>
      </c>
      <c r="M19" s="37">
        <f t="shared" ref="M19:M52" si="7">L18/12</f>
        <v>170500.01079805</v>
      </c>
      <c r="N19" s="38">
        <f t="shared" si="6"/>
        <v>2421100.1533323103</v>
      </c>
      <c r="O19" s="22"/>
      <c r="P19" s="26"/>
      <c r="Q19" s="22"/>
      <c r="R19" s="22"/>
      <c r="S19" s="22"/>
    </row>
    <row r="20" spans="1:19">
      <c r="B20" s="1">
        <v>4</v>
      </c>
      <c r="C20" s="4" t="s">
        <v>6</v>
      </c>
      <c r="D20" s="1">
        <v>3</v>
      </c>
      <c r="E20" s="34">
        <v>426186.87460800004</v>
      </c>
      <c r="F20" s="52">
        <v>356492.576</v>
      </c>
      <c r="G20" s="51">
        <v>60960.230496000004</v>
      </c>
      <c r="H20" s="51">
        <v>8734.0681120000008</v>
      </c>
      <c r="I20" s="50"/>
      <c r="J20" s="50"/>
      <c r="K20">
        <v>2025</v>
      </c>
      <c r="L20" s="46">
        <f>L19</f>
        <v>2250600.1425342602</v>
      </c>
      <c r="M20" s="37">
        <f t="shared" si="7"/>
        <v>187550.01187785502</v>
      </c>
      <c r="N20" s="38">
        <f t="shared" si="6"/>
        <v>2438150.154412115</v>
      </c>
      <c r="O20" s="22"/>
      <c r="P20" s="26"/>
      <c r="Q20" s="22"/>
      <c r="R20" s="22"/>
      <c r="S20" s="22"/>
    </row>
    <row r="21" spans="1:19">
      <c r="B21" s="1">
        <v>5</v>
      </c>
      <c r="C21" s="4" t="s">
        <v>7</v>
      </c>
      <c r="D21" s="1">
        <v>1</v>
      </c>
      <c r="E21" s="34">
        <v>88096.760344800001</v>
      </c>
      <c r="F21" s="52">
        <v>73690.305600000007</v>
      </c>
      <c r="G21" s="51">
        <v>12601.042257600002</v>
      </c>
      <c r="H21" s="51">
        <v>1805.4124872000002</v>
      </c>
      <c r="I21" s="50"/>
      <c r="J21" s="50"/>
      <c r="K21">
        <v>2026</v>
      </c>
      <c r="L21" s="46">
        <f>L20</f>
        <v>2250600.1425342602</v>
      </c>
      <c r="M21" s="37">
        <f t="shared" si="7"/>
        <v>187550.01187785502</v>
      </c>
      <c r="N21" s="38">
        <f t="shared" si="6"/>
        <v>2438150.154412115</v>
      </c>
      <c r="O21" s="22"/>
      <c r="P21" s="26"/>
      <c r="Q21" s="22"/>
      <c r="R21" s="22"/>
      <c r="S21" s="22"/>
    </row>
    <row r="22" spans="1:19">
      <c r="B22" s="1">
        <v>6</v>
      </c>
      <c r="C22" s="4" t="s">
        <v>22</v>
      </c>
      <c r="D22" s="1">
        <v>3</v>
      </c>
      <c r="E22" s="34">
        <v>270551.04663</v>
      </c>
      <c r="F22" s="52">
        <v>226307.86</v>
      </c>
      <c r="G22" s="34">
        <v>38698.644059999999</v>
      </c>
      <c r="H22" s="34">
        <v>5544.5425699999996</v>
      </c>
      <c r="I22" s="26"/>
      <c r="J22" s="26"/>
      <c r="K22">
        <v>2027</v>
      </c>
      <c r="L22" s="47">
        <f>L21*103%</f>
        <v>2318118.1468102881</v>
      </c>
      <c r="M22" s="37">
        <f t="shared" si="7"/>
        <v>187550.01187785502</v>
      </c>
      <c r="N22" s="38">
        <f t="shared" si="6"/>
        <v>2505668.1586881429</v>
      </c>
      <c r="O22" s="22"/>
      <c r="P22" s="26"/>
      <c r="Q22" s="22"/>
      <c r="R22" s="22"/>
      <c r="S22" s="22"/>
    </row>
    <row r="23" spans="1:19">
      <c r="B23" s="1">
        <v>7</v>
      </c>
      <c r="C23" s="4" t="s">
        <v>8</v>
      </c>
      <c r="D23" s="1">
        <v>1</v>
      </c>
      <c r="E23" s="34">
        <v>158002.29153599998</v>
      </c>
      <c r="F23" s="52">
        <v>132164.19199999998</v>
      </c>
      <c r="G23" s="51">
        <v>22600.076831999999</v>
      </c>
      <c r="H23" s="51">
        <v>3238.0227039999995</v>
      </c>
      <c r="I23" s="50"/>
      <c r="J23" s="50"/>
      <c r="K23">
        <v>2028</v>
      </c>
      <c r="L23" s="47">
        <f>L22</f>
        <v>2318118.1468102881</v>
      </c>
      <c r="M23" s="37">
        <f t="shared" si="7"/>
        <v>193176.51223419068</v>
      </c>
      <c r="N23" s="38">
        <f t="shared" si="6"/>
        <v>2511294.6590444786</v>
      </c>
      <c r="O23" s="22"/>
      <c r="P23" s="26"/>
      <c r="Q23" s="22"/>
      <c r="R23" s="22"/>
      <c r="S23" s="22"/>
    </row>
    <row r="24" spans="1:19">
      <c r="B24" s="1">
        <v>8</v>
      </c>
      <c r="C24" s="4" t="s">
        <v>9</v>
      </c>
      <c r="D24" s="1">
        <v>1</v>
      </c>
      <c r="E24" s="34">
        <v>158002.29153599998</v>
      </c>
      <c r="F24" s="52">
        <v>132164.19199999998</v>
      </c>
      <c r="G24" s="51">
        <v>22600.076831999999</v>
      </c>
      <c r="H24" s="51">
        <v>3238.0227039999995</v>
      </c>
      <c r="I24" s="50"/>
      <c r="J24" s="50"/>
      <c r="K24">
        <v>2029</v>
      </c>
      <c r="L24" s="47">
        <f>L23</f>
        <v>2318118.1468102881</v>
      </c>
      <c r="M24" s="37">
        <f t="shared" si="7"/>
        <v>193176.51223419068</v>
      </c>
      <c r="N24" s="38">
        <f t="shared" si="6"/>
        <v>2511294.6590444786</v>
      </c>
      <c r="O24" s="22"/>
      <c r="P24" s="26"/>
      <c r="Q24" s="22"/>
      <c r="R24" s="22"/>
      <c r="S24" s="22"/>
    </row>
    <row r="25" spans="1:19">
      <c r="B25" s="1"/>
      <c r="C25" s="3" t="s">
        <v>3</v>
      </c>
      <c r="D25" s="3">
        <v>15</v>
      </c>
      <c r="E25" s="35">
        <v>2124624.5345604001</v>
      </c>
      <c r="F25" s="35">
        <v>1777184.8887999998</v>
      </c>
      <c r="G25" s="35">
        <v>303898.61598479998</v>
      </c>
      <c r="H25" s="35">
        <v>43541.029775600007</v>
      </c>
      <c r="I25" s="17"/>
      <c r="J25" s="17"/>
      <c r="K25">
        <v>2030</v>
      </c>
      <c r="L25" s="47">
        <f>L24*103%</f>
        <v>2387661.6912145969</v>
      </c>
      <c r="M25" s="37">
        <f t="shared" si="7"/>
        <v>193176.51223419068</v>
      </c>
      <c r="N25" s="38">
        <f t="shared" si="6"/>
        <v>2580838.2034487873</v>
      </c>
      <c r="O25" s="27"/>
      <c r="P25" s="28"/>
      <c r="Q25" s="28"/>
      <c r="R25" s="28"/>
      <c r="S25" s="28"/>
    </row>
    <row r="26" spans="1:19">
      <c r="D26" s="2" t="s">
        <v>20</v>
      </c>
      <c r="E26" s="14">
        <v>180593.085437634</v>
      </c>
      <c r="K26">
        <v>2031</v>
      </c>
      <c r="L26" s="47">
        <f>L25</f>
        <v>2387661.6912145969</v>
      </c>
      <c r="M26" s="37">
        <f t="shared" si="7"/>
        <v>198971.80760121639</v>
      </c>
      <c r="N26" s="38">
        <f t="shared" si="6"/>
        <v>2586633.4988158131</v>
      </c>
      <c r="O26" s="27"/>
      <c r="P26" s="29"/>
      <c r="Q26" s="22"/>
      <c r="R26" s="22"/>
      <c r="S26" s="22"/>
    </row>
    <row r="27" spans="1:19">
      <c r="D27" t="s">
        <v>3</v>
      </c>
      <c r="E27" s="16">
        <v>2305217.6199980341</v>
      </c>
      <c r="K27">
        <v>2032</v>
      </c>
      <c r="L27" s="47">
        <f>L26</f>
        <v>2387661.6912145969</v>
      </c>
      <c r="M27" s="37">
        <f t="shared" si="7"/>
        <v>198971.80760121639</v>
      </c>
      <c r="N27" s="38">
        <f t="shared" si="6"/>
        <v>2586633.4988158131</v>
      </c>
      <c r="O27" s="22"/>
      <c r="P27" s="12"/>
      <c r="Q27" s="22"/>
      <c r="R27" s="22"/>
      <c r="S27" s="22"/>
    </row>
    <row r="28" spans="1:19">
      <c r="E28" s="36"/>
      <c r="K28">
        <v>2033</v>
      </c>
      <c r="L28" s="47">
        <f>L27*103%</f>
        <v>2459291.5419510347</v>
      </c>
      <c r="M28" s="37">
        <f t="shared" si="7"/>
        <v>198971.80760121639</v>
      </c>
      <c r="N28" s="38">
        <f t="shared" si="6"/>
        <v>2658263.3495522509</v>
      </c>
      <c r="O28" s="22"/>
      <c r="P28" s="22"/>
      <c r="Q28" s="22"/>
      <c r="R28" s="22"/>
      <c r="S28" s="22"/>
    </row>
    <row r="29" spans="1:19">
      <c r="A29" s="2" t="s">
        <v>49</v>
      </c>
      <c r="K29">
        <v>2034</v>
      </c>
      <c r="L29" s="47">
        <f>L28</f>
        <v>2459291.5419510347</v>
      </c>
      <c r="M29" s="37">
        <f t="shared" si="7"/>
        <v>204940.96182925289</v>
      </c>
      <c r="N29" s="38">
        <f t="shared" si="6"/>
        <v>2664232.5037802877</v>
      </c>
      <c r="O29" s="22"/>
      <c r="P29" s="22"/>
      <c r="Q29" s="22"/>
      <c r="R29" s="22"/>
      <c r="S29" s="22"/>
    </row>
    <row r="30" spans="1:19" ht="45">
      <c r="B30" s="6" t="s">
        <v>1</v>
      </c>
      <c r="C30" s="6" t="s">
        <v>0</v>
      </c>
      <c r="D30" s="6" t="s">
        <v>2</v>
      </c>
      <c r="E30" s="7" t="s">
        <v>11</v>
      </c>
      <c r="F30" s="11" t="s">
        <v>16</v>
      </c>
      <c r="G30" s="11" t="s">
        <v>17</v>
      </c>
      <c r="H30" s="11" t="s">
        <v>18</v>
      </c>
      <c r="K30">
        <v>2035</v>
      </c>
      <c r="L30" s="47">
        <f>L29</f>
        <v>2459291.5419510347</v>
      </c>
      <c r="M30" s="37">
        <f t="shared" si="7"/>
        <v>204940.96182925289</v>
      </c>
      <c r="N30" s="38">
        <f t="shared" si="6"/>
        <v>2664232.5037802877</v>
      </c>
      <c r="O30" s="24"/>
      <c r="P30" s="25"/>
      <c r="Q30" s="23"/>
      <c r="R30" s="23"/>
      <c r="S30" s="23"/>
    </row>
    <row r="31" spans="1:19">
      <c r="B31" s="1">
        <v>1</v>
      </c>
      <c r="C31" s="4" t="s">
        <v>4</v>
      </c>
      <c r="D31" s="1">
        <v>1</v>
      </c>
      <c r="E31" s="34">
        <v>248514.58832280003</v>
      </c>
      <c r="F31" s="52">
        <v>207875.02160000001</v>
      </c>
      <c r="G31" s="51">
        <v>35546.628693600003</v>
      </c>
      <c r="H31" s="51">
        <v>5092.9380292000005</v>
      </c>
      <c r="K31">
        <v>2036</v>
      </c>
      <c r="L31" s="47">
        <f>L30*103%</f>
        <v>2533070.2882095659</v>
      </c>
      <c r="M31" s="37">
        <f t="shared" si="7"/>
        <v>204940.96182925289</v>
      </c>
      <c r="N31" s="38">
        <f t="shared" si="6"/>
        <v>2738011.2500388189</v>
      </c>
      <c r="O31" s="22"/>
      <c r="P31" s="26"/>
      <c r="Q31" s="22"/>
      <c r="R31" s="22"/>
      <c r="S31" s="22"/>
    </row>
    <row r="32" spans="1:19">
      <c r="B32" s="1">
        <v>2</v>
      </c>
      <c r="C32" s="86" t="s">
        <v>46</v>
      </c>
      <c r="D32" s="1">
        <v>1</v>
      </c>
      <c r="E32" s="34">
        <v>214991.51543880001</v>
      </c>
      <c r="F32" s="52">
        <v>179833.9736</v>
      </c>
      <c r="G32" s="51">
        <v>30751.609485600002</v>
      </c>
      <c r="H32" s="51">
        <v>4405.9323531999999</v>
      </c>
      <c r="K32">
        <v>2037</v>
      </c>
      <c r="L32" s="47">
        <f>L31</f>
        <v>2533070.2882095659</v>
      </c>
      <c r="M32" s="37">
        <f t="shared" si="7"/>
        <v>211089.1906841305</v>
      </c>
      <c r="N32" s="38">
        <f t="shared" si="6"/>
        <v>2744159.4788936963</v>
      </c>
      <c r="O32" s="22"/>
      <c r="P32" s="26"/>
      <c r="Q32" s="22"/>
      <c r="R32" s="22"/>
      <c r="S32" s="22"/>
    </row>
    <row r="33" spans="1:19">
      <c r="B33" s="1">
        <v>3</v>
      </c>
      <c r="C33" s="4" t="s">
        <v>59</v>
      </c>
      <c r="D33" s="1">
        <v>4</v>
      </c>
      <c r="E33" s="34">
        <v>560279.16614400002</v>
      </c>
      <c r="F33" s="52">
        <v>468656.76799999998</v>
      </c>
      <c r="G33" s="51">
        <v>80140.30732800001</v>
      </c>
      <c r="H33" s="51">
        <v>11482.090816</v>
      </c>
      <c r="K33">
        <v>2038</v>
      </c>
      <c r="L33" s="47">
        <f>L32</f>
        <v>2533070.2882095659</v>
      </c>
      <c r="M33" s="37">
        <f t="shared" si="7"/>
        <v>211089.1906841305</v>
      </c>
      <c r="N33" s="38">
        <f t="shared" si="6"/>
        <v>2744159.4788936963</v>
      </c>
      <c r="O33" s="22"/>
      <c r="P33" s="26"/>
      <c r="Q33" s="22"/>
      <c r="R33" s="22"/>
      <c r="S33" s="22"/>
    </row>
    <row r="34" spans="1:19">
      <c r="B34" s="1">
        <v>4</v>
      </c>
      <c r="C34" s="4" t="s">
        <v>6</v>
      </c>
      <c r="D34" s="1">
        <v>3</v>
      </c>
      <c r="E34" s="34">
        <v>426186.87460800004</v>
      </c>
      <c r="F34" s="52">
        <v>356492.576</v>
      </c>
      <c r="G34" s="51">
        <v>60960.230496000004</v>
      </c>
      <c r="H34" s="51">
        <v>8734.0681120000008</v>
      </c>
      <c r="K34">
        <v>2039</v>
      </c>
      <c r="L34" s="47">
        <f>L33*103%</f>
        <v>2609062.396855853</v>
      </c>
      <c r="M34" s="37">
        <f t="shared" si="7"/>
        <v>211089.1906841305</v>
      </c>
      <c r="N34" s="38">
        <f t="shared" si="6"/>
        <v>2820151.5875399834</v>
      </c>
      <c r="O34" s="22"/>
      <c r="P34" s="26"/>
      <c r="Q34" s="22"/>
      <c r="R34" s="22"/>
      <c r="S34" s="22"/>
    </row>
    <row r="35" spans="1:19">
      <c r="B35" s="1">
        <v>5</v>
      </c>
      <c r="C35" s="4" t="s">
        <v>7</v>
      </c>
      <c r="D35" s="1">
        <v>1</v>
      </c>
      <c r="E35" s="34">
        <v>88096.760344800001</v>
      </c>
      <c r="F35" s="52">
        <v>73690.305600000007</v>
      </c>
      <c r="G35" s="51">
        <v>12601.042257600002</v>
      </c>
      <c r="H35" s="51">
        <v>1805.4124872000002</v>
      </c>
      <c r="K35">
        <v>2040</v>
      </c>
      <c r="L35" s="47">
        <f>L34</f>
        <v>2609062.396855853</v>
      </c>
      <c r="M35" s="37">
        <f t="shared" si="7"/>
        <v>217421.86640465443</v>
      </c>
      <c r="N35" s="38">
        <f t="shared" si="6"/>
        <v>2826484.2632605075</v>
      </c>
      <c r="O35" s="22"/>
      <c r="P35" s="26"/>
      <c r="Q35" s="22"/>
      <c r="R35" s="22"/>
      <c r="S35" s="22"/>
    </row>
    <row r="36" spans="1:19">
      <c r="B36" s="1">
        <v>6</v>
      </c>
      <c r="C36" s="4" t="s">
        <v>22</v>
      </c>
      <c r="D36" s="1">
        <v>3</v>
      </c>
      <c r="E36" s="34">
        <v>270551.04663</v>
      </c>
      <c r="F36" s="52">
        <v>226307.86</v>
      </c>
      <c r="G36" s="34">
        <v>38698.644059999999</v>
      </c>
      <c r="H36" s="34">
        <v>5544.5425699999996</v>
      </c>
      <c r="K36">
        <v>2041</v>
      </c>
      <c r="L36" s="47">
        <f>L35</f>
        <v>2609062.396855853</v>
      </c>
      <c r="M36" s="37">
        <f t="shared" si="7"/>
        <v>217421.86640465443</v>
      </c>
      <c r="N36" s="38">
        <f t="shared" si="6"/>
        <v>2826484.2632605075</v>
      </c>
      <c r="O36" s="22"/>
      <c r="P36" s="26"/>
      <c r="Q36" s="22"/>
      <c r="R36" s="22"/>
      <c r="S36" s="22"/>
    </row>
    <row r="37" spans="1:19">
      <c r="B37" s="1">
        <v>7</v>
      </c>
      <c r="C37" s="4" t="s">
        <v>8</v>
      </c>
      <c r="D37" s="1">
        <v>1</v>
      </c>
      <c r="E37" s="34">
        <v>158002.29153599998</v>
      </c>
      <c r="F37" s="52">
        <v>132164.19199999998</v>
      </c>
      <c r="G37" s="51">
        <v>22600.076831999999</v>
      </c>
      <c r="H37" s="51">
        <v>3238.0227039999995</v>
      </c>
      <c r="K37">
        <v>2042</v>
      </c>
      <c r="L37" s="47">
        <f>L36*103%</f>
        <v>2687334.2687615287</v>
      </c>
      <c r="M37" s="37">
        <f t="shared" si="7"/>
        <v>217421.86640465443</v>
      </c>
      <c r="N37" s="38">
        <f t="shared" si="6"/>
        <v>2904756.1351661831</v>
      </c>
      <c r="O37" s="22"/>
      <c r="P37" s="26"/>
      <c r="Q37" s="22"/>
      <c r="R37" s="22"/>
      <c r="S37" s="22"/>
    </row>
    <row r="38" spans="1:19">
      <c r="B38" s="1">
        <v>8</v>
      </c>
      <c r="C38" s="4" t="s">
        <v>9</v>
      </c>
      <c r="D38" s="1">
        <v>1</v>
      </c>
      <c r="E38" s="34">
        <v>158002.29153599998</v>
      </c>
      <c r="F38" s="52">
        <v>132164.19199999998</v>
      </c>
      <c r="G38" s="51">
        <v>22600.076831999999</v>
      </c>
      <c r="H38" s="51">
        <v>3238.0227039999995</v>
      </c>
      <c r="K38">
        <v>2043</v>
      </c>
      <c r="L38" s="47">
        <f>L37</f>
        <v>2687334.2687615287</v>
      </c>
      <c r="M38" s="37">
        <f t="shared" si="7"/>
        <v>223944.52239679405</v>
      </c>
      <c r="N38" s="38">
        <f t="shared" si="6"/>
        <v>2911278.7911583227</v>
      </c>
      <c r="O38" s="27"/>
      <c r="P38" s="28"/>
      <c r="Q38" s="28"/>
      <c r="R38" s="28"/>
      <c r="S38" s="28"/>
    </row>
    <row r="39" spans="1:19">
      <c r="B39" s="1"/>
      <c r="C39" s="3" t="s">
        <v>3</v>
      </c>
      <c r="D39" s="3">
        <v>15</v>
      </c>
      <c r="E39" s="35">
        <v>2124624.5345604001</v>
      </c>
      <c r="F39" s="35">
        <v>1777184.8887999998</v>
      </c>
      <c r="G39" s="35">
        <v>303898.61598479998</v>
      </c>
      <c r="H39" s="35">
        <v>43541.029775600007</v>
      </c>
      <c r="K39">
        <v>2044</v>
      </c>
      <c r="L39" s="47">
        <f>L38</f>
        <v>2687334.2687615287</v>
      </c>
      <c r="M39" s="37">
        <f t="shared" si="7"/>
        <v>223944.52239679405</v>
      </c>
      <c r="N39" s="38">
        <f t="shared" si="6"/>
        <v>2911278.7911583227</v>
      </c>
      <c r="O39" s="27"/>
      <c r="P39" s="29"/>
      <c r="Q39" s="22"/>
      <c r="R39" s="22"/>
      <c r="S39" s="22"/>
    </row>
    <row r="40" spans="1:19">
      <c r="D40" s="2" t="s">
        <v>20</v>
      </c>
      <c r="E40" s="14">
        <v>180593.085437634</v>
      </c>
      <c r="K40">
        <v>2045</v>
      </c>
      <c r="L40" s="47">
        <f>L39*103%</f>
        <v>2767954.2968243747</v>
      </c>
      <c r="M40" s="37">
        <f t="shared" si="7"/>
        <v>223944.52239679405</v>
      </c>
      <c r="N40" s="38">
        <f t="shared" si="6"/>
        <v>2991898.8192211688</v>
      </c>
      <c r="O40" s="22"/>
      <c r="P40" s="12"/>
      <c r="Q40" s="22"/>
      <c r="R40" s="22"/>
      <c r="S40" s="22"/>
    </row>
    <row r="41" spans="1:19">
      <c r="D41" t="s">
        <v>3</v>
      </c>
      <c r="E41" s="16">
        <v>2305217.6199980341</v>
      </c>
      <c r="K41">
        <v>2046</v>
      </c>
      <c r="L41" s="47">
        <f>L40</f>
        <v>2767954.2968243747</v>
      </c>
      <c r="M41" s="37">
        <f t="shared" si="7"/>
        <v>230662.85806869788</v>
      </c>
      <c r="N41" s="38">
        <f t="shared" si="6"/>
        <v>2998617.1548930728</v>
      </c>
      <c r="O41" s="22"/>
      <c r="P41" s="22"/>
      <c r="Q41" s="22"/>
      <c r="R41" s="22"/>
      <c r="S41" s="22"/>
    </row>
    <row r="42" spans="1:19">
      <c r="E42" s="36"/>
      <c r="K42">
        <v>2047</v>
      </c>
      <c r="L42" s="47">
        <f>L41</f>
        <v>2767954.2968243747</v>
      </c>
      <c r="M42" s="37">
        <f t="shared" si="7"/>
        <v>230662.85806869788</v>
      </c>
      <c r="N42" s="38">
        <f t="shared" si="6"/>
        <v>2998617.1548930728</v>
      </c>
      <c r="O42" s="22"/>
      <c r="P42" s="22"/>
      <c r="Q42" s="22"/>
      <c r="R42" s="22"/>
      <c r="S42" s="22"/>
    </row>
    <row r="43" spans="1:19">
      <c r="A43" s="2" t="s">
        <v>50</v>
      </c>
      <c r="K43">
        <v>2048</v>
      </c>
      <c r="L43" s="47">
        <f>L42*103%</f>
        <v>2850992.9257291062</v>
      </c>
      <c r="M43" s="37">
        <f t="shared" si="7"/>
        <v>230662.85806869788</v>
      </c>
      <c r="N43" s="38">
        <f t="shared" si="6"/>
        <v>3081655.7837978043</v>
      </c>
      <c r="O43" s="22"/>
      <c r="P43" s="22"/>
      <c r="Q43" s="22"/>
      <c r="R43" s="22"/>
      <c r="S43" s="22"/>
    </row>
    <row r="44" spans="1:19" ht="45">
      <c r="B44" s="6" t="s">
        <v>1</v>
      </c>
      <c r="C44" s="6" t="s">
        <v>0</v>
      </c>
      <c r="D44" s="6" t="s">
        <v>2</v>
      </c>
      <c r="E44" s="7" t="s">
        <v>11</v>
      </c>
      <c r="F44" s="11" t="s">
        <v>16</v>
      </c>
      <c r="G44" s="11" t="s">
        <v>17</v>
      </c>
      <c r="H44" s="11" t="s">
        <v>18</v>
      </c>
      <c r="K44">
        <v>2049</v>
      </c>
      <c r="L44" s="47">
        <f>L43</f>
        <v>2850992.9257291062</v>
      </c>
      <c r="M44" s="37">
        <f t="shared" si="7"/>
        <v>237582.74381075884</v>
      </c>
      <c r="N44" s="38">
        <f t="shared" si="6"/>
        <v>3088575.6695398651</v>
      </c>
      <c r="O44" s="22"/>
      <c r="P44" s="22"/>
      <c r="Q44" s="22"/>
      <c r="R44" s="22"/>
      <c r="S44" s="22"/>
    </row>
    <row r="45" spans="1:19">
      <c r="B45" s="1">
        <v>1</v>
      </c>
      <c r="C45" s="4" t="s">
        <v>4</v>
      </c>
      <c r="D45" s="1">
        <v>1</v>
      </c>
      <c r="E45" s="34">
        <v>248514.58832280003</v>
      </c>
      <c r="F45" s="52">
        <v>207875.02160000001</v>
      </c>
      <c r="G45" s="51">
        <v>35546.628693600003</v>
      </c>
      <c r="H45" s="51">
        <v>5092.9380292000005</v>
      </c>
      <c r="K45">
        <v>2050</v>
      </c>
      <c r="L45" s="47">
        <f>L44</f>
        <v>2850992.9257291062</v>
      </c>
      <c r="M45" s="37">
        <f t="shared" si="7"/>
        <v>237582.74381075884</v>
      </c>
      <c r="N45" s="38">
        <f t="shared" si="6"/>
        <v>3088575.6695398651</v>
      </c>
      <c r="O45" s="22"/>
      <c r="P45" s="22"/>
      <c r="Q45" s="22"/>
      <c r="R45" s="22"/>
      <c r="S45" s="22"/>
    </row>
    <row r="46" spans="1:19">
      <c r="B46" s="1">
        <v>2</v>
      </c>
      <c r="C46" s="86" t="s">
        <v>46</v>
      </c>
      <c r="D46" s="1">
        <v>1</v>
      </c>
      <c r="E46" s="34">
        <v>214991.51543880001</v>
      </c>
      <c r="F46" s="52">
        <v>179833.9736</v>
      </c>
      <c r="G46" s="51">
        <v>30751.609485600002</v>
      </c>
      <c r="H46" s="51">
        <v>4405.9323531999999</v>
      </c>
      <c r="K46">
        <v>2051</v>
      </c>
      <c r="L46" s="47">
        <f>L45*103%</f>
        <v>2936522.7135009794</v>
      </c>
      <c r="M46" s="37">
        <f t="shared" si="7"/>
        <v>237582.74381075884</v>
      </c>
      <c r="N46" s="38">
        <f t="shared" si="6"/>
        <v>3174105.4573117383</v>
      </c>
    </row>
    <row r="47" spans="1:19">
      <c r="B47" s="1">
        <v>3</v>
      </c>
      <c r="C47" s="4" t="s">
        <v>59</v>
      </c>
      <c r="D47" s="1">
        <v>4</v>
      </c>
      <c r="E47" s="34">
        <v>560279.16614400002</v>
      </c>
      <c r="F47" s="52">
        <v>468656.76799999998</v>
      </c>
      <c r="G47" s="51">
        <v>80140.30732800001</v>
      </c>
      <c r="H47" s="51">
        <v>11482.090816</v>
      </c>
      <c r="K47">
        <v>2052</v>
      </c>
      <c r="L47" s="47">
        <f>L46</f>
        <v>2936522.7135009794</v>
      </c>
      <c r="M47" s="37">
        <f t="shared" si="7"/>
        <v>244710.22612508162</v>
      </c>
      <c r="N47" s="38">
        <f t="shared" si="6"/>
        <v>3181232.9396260609</v>
      </c>
    </row>
    <row r="48" spans="1:19">
      <c r="B48" s="1">
        <v>4</v>
      </c>
      <c r="C48" s="4" t="s">
        <v>6</v>
      </c>
      <c r="D48" s="1">
        <v>3</v>
      </c>
      <c r="E48" s="34">
        <v>426186.87460800004</v>
      </c>
      <c r="F48" s="52">
        <v>356492.576</v>
      </c>
      <c r="G48" s="51">
        <v>60960.230496000004</v>
      </c>
      <c r="H48" s="51">
        <v>8734.0681120000008</v>
      </c>
      <c r="K48">
        <v>2053</v>
      </c>
      <c r="L48" s="47">
        <f>L47</f>
        <v>2936522.7135009794</v>
      </c>
      <c r="M48" s="37">
        <f t="shared" si="7"/>
        <v>244710.22612508162</v>
      </c>
      <c r="N48" s="38">
        <f t="shared" si="6"/>
        <v>3181232.9396260609</v>
      </c>
    </row>
    <row r="49" spans="1:14">
      <c r="B49" s="1">
        <v>5</v>
      </c>
      <c r="C49" s="4" t="s">
        <v>7</v>
      </c>
      <c r="D49" s="1">
        <v>1</v>
      </c>
      <c r="E49" s="34">
        <v>88096.760344800001</v>
      </c>
      <c r="F49" s="52">
        <v>73690.305600000007</v>
      </c>
      <c r="G49" s="51">
        <v>12601.042257600002</v>
      </c>
      <c r="H49" s="51">
        <v>1805.4124872000002</v>
      </c>
      <c r="K49">
        <v>2054</v>
      </c>
      <c r="L49" s="47">
        <f>L48*103%</f>
        <v>3024618.3949060086</v>
      </c>
      <c r="M49" s="37">
        <f t="shared" si="7"/>
        <v>244710.22612508162</v>
      </c>
      <c r="N49" s="38">
        <f t="shared" si="6"/>
        <v>3269328.6210310902</v>
      </c>
    </row>
    <row r="50" spans="1:14">
      <c r="B50" s="1">
        <v>6</v>
      </c>
      <c r="C50" s="4" t="s">
        <v>22</v>
      </c>
      <c r="D50" s="1">
        <v>3</v>
      </c>
      <c r="E50" s="34">
        <v>270551.04663</v>
      </c>
      <c r="F50" s="52">
        <v>226307.86</v>
      </c>
      <c r="G50" s="34">
        <v>38698.644059999999</v>
      </c>
      <c r="H50" s="34">
        <v>5544.5425699999996</v>
      </c>
      <c r="K50">
        <v>2055</v>
      </c>
      <c r="L50" s="47">
        <f>L49</f>
        <v>3024618.3949060086</v>
      </c>
      <c r="M50" s="37">
        <f t="shared" si="7"/>
        <v>252051.53290883405</v>
      </c>
      <c r="N50" s="38">
        <f t="shared" si="6"/>
        <v>3276669.9278148427</v>
      </c>
    </row>
    <row r="51" spans="1:14">
      <c r="B51" s="1">
        <v>7</v>
      </c>
      <c r="C51" s="4" t="s">
        <v>8</v>
      </c>
      <c r="D51" s="1">
        <v>1</v>
      </c>
      <c r="E51" s="34">
        <v>158002.29153599998</v>
      </c>
      <c r="F51" s="52">
        <v>132164.19199999998</v>
      </c>
      <c r="G51" s="51">
        <v>22600.076831999999</v>
      </c>
      <c r="H51" s="51">
        <v>3238.0227039999995</v>
      </c>
      <c r="K51">
        <v>2056</v>
      </c>
      <c r="L51" s="47">
        <f>L50</f>
        <v>3024618.3949060086</v>
      </c>
      <c r="M51" s="37">
        <f t="shared" si="7"/>
        <v>252051.53290883405</v>
      </c>
      <c r="N51" s="38">
        <f t="shared" si="6"/>
        <v>3276669.9278148427</v>
      </c>
    </row>
    <row r="52" spans="1:14">
      <c r="B52" s="1">
        <v>8</v>
      </c>
      <c r="C52" s="4" t="s">
        <v>9</v>
      </c>
      <c r="D52" s="1">
        <v>1</v>
      </c>
      <c r="E52" s="34">
        <v>158002.29153599998</v>
      </c>
      <c r="F52" s="52">
        <v>132164.19199999998</v>
      </c>
      <c r="G52" s="51">
        <v>22600.076831999999</v>
      </c>
      <c r="H52" s="51">
        <v>3238.0227039999995</v>
      </c>
      <c r="K52">
        <v>2057</v>
      </c>
      <c r="L52" s="47">
        <f>L51*103%</f>
        <v>3115356.946753189</v>
      </c>
      <c r="M52" s="37">
        <f t="shared" si="7"/>
        <v>252051.53290883405</v>
      </c>
      <c r="N52" s="38">
        <f t="shared" si="6"/>
        <v>3367408.479662023</v>
      </c>
    </row>
    <row r="53" spans="1:14">
      <c r="B53" s="1"/>
      <c r="C53" s="3" t="s">
        <v>3</v>
      </c>
      <c r="D53" s="3">
        <v>15</v>
      </c>
      <c r="E53" s="35">
        <v>2124624.5345604001</v>
      </c>
      <c r="F53" s="35">
        <v>1777184.8887999998</v>
      </c>
      <c r="G53" s="35">
        <v>303898.61598479998</v>
      </c>
      <c r="H53" s="35">
        <v>43541.029775600007</v>
      </c>
    </row>
    <row r="54" spans="1:14">
      <c r="D54" s="2" t="s">
        <v>20</v>
      </c>
      <c r="E54" s="14">
        <v>180593.085437634</v>
      </c>
    </row>
    <row r="55" spans="1:14">
      <c r="D55" t="s">
        <v>3</v>
      </c>
      <c r="E55" s="16">
        <v>2305217.6199980341</v>
      </c>
    </row>
    <row r="56" spans="1:14">
      <c r="E56" s="36"/>
      <c r="H56" s="41" t="s">
        <v>57</v>
      </c>
    </row>
    <row r="57" spans="1:14">
      <c r="A57" s="2" t="s">
        <v>51</v>
      </c>
    </row>
    <row r="58" spans="1:14" ht="45">
      <c r="B58" s="6" t="s">
        <v>1</v>
      </c>
      <c r="C58" s="6" t="s">
        <v>0</v>
      </c>
      <c r="D58" s="6" t="s">
        <v>2</v>
      </c>
      <c r="E58" s="7" t="s">
        <v>11</v>
      </c>
      <c r="F58" s="11" t="s">
        <v>16</v>
      </c>
      <c r="G58" s="11" t="s">
        <v>17</v>
      </c>
      <c r="H58" s="11" t="s">
        <v>18</v>
      </c>
    </row>
    <row r="59" spans="1:14">
      <c r="B59" s="1">
        <v>1</v>
      </c>
      <c r="C59" s="4" t="s">
        <v>4</v>
      </c>
      <c r="D59" s="1">
        <v>1</v>
      </c>
      <c r="E59" s="34">
        <v>251866.89561119999</v>
      </c>
      <c r="F59" s="52">
        <v>210679.12639999998</v>
      </c>
      <c r="G59" s="51">
        <v>36026.130614399997</v>
      </c>
      <c r="H59" s="51">
        <v>5161.6385967999995</v>
      </c>
    </row>
    <row r="60" spans="1:14">
      <c r="B60" s="1">
        <v>2</v>
      </c>
      <c r="C60" s="86" t="s">
        <v>46</v>
      </c>
      <c r="D60" s="1">
        <v>1</v>
      </c>
      <c r="E60" s="34">
        <v>218343.82272720002</v>
      </c>
      <c r="F60" s="52">
        <v>182638.0784</v>
      </c>
      <c r="G60" s="51">
        <v>31231.111406400003</v>
      </c>
      <c r="H60" s="51">
        <v>4474.6329207999997</v>
      </c>
    </row>
    <row r="61" spans="1:14">
      <c r="B61" s="1">
        <v>3</v>
      </c>
      <c r="C61" s="4" t="s">
        <v>59</v>
      </c>
      <c r="D61" s="1">
        <v>4</v>
      </c>
      <c r="E61" s="34">
        <v>573688.39529759996</v>
      </c>
      <c r="F61" s="52">
        <v>479873.18719999999</v>
      </c>
      <c r="G61" s="51">
        <v>82058.3150112</v>
      </c>
      <c r="H61" s="51">
        <v>11756.893086399999</v>
      </c>
    </row>
    <row r="62" spans="1:14">
      <c r="B62" s="1">
        <v>4</v>
      </c>
      <c r="C62" s="4" t="s">
        <v>6</v>
      </c>
      <c r="D62" s="1">
        <v>3</v>
      </c>
      <c r="E62" s="34">
        <v>436243.79647319997</v>
      </c>
      <c r="F62" s="52">
        <v>364904.89039999997</v>
      </c>
      <c r="G62" s="51">
        <v>62398.7362584</v>
      </c>
      <c r="H62" s="51">
        <v>8940.1698147999996</v>
      </c>
    </row>
    <row r="63" spans="1:14">
      <c r="B63" s="1">
        <v>5</v>
      </c>
      <c r="C63" s="4" t="s">
        <v>7</v>
      </c>
      <c r="D63" s="1">
        <v>1</v>
      </c>
      <c r="E63" s="34">
        <v>91449.067633199986</v>
      </c>
      <c r="F63" s="52">
        <v>76494.410399999993</v>
      </c>
      <c r="G63" s="51">
        <v>13080.5441784</v>
      </c>
      <c r="H63" s="51">
        <v>1874.1130547999999</v>
      </c>
    </row>
    <row r="64" spans="1:14">
      <c r="B64" s="1">
        <v>6</v>
      </c>
      <c r="C64" s="4" t="s">
        <v>22</v>
      </c>
      <c r="D64" s="1">
        <v>3</v>
      </c>
      <c r="E64" s="34">
        <v>280607.96849519998</v>
      </c>
      <c r="F64" s="52">
        <v>234720.17439999999</v>
      </c>
      <c r="G64" s="34">
        <v>40137.149822400002</v>
      </c>
      <c r="H64" s="34">
        <v>5750.6442728000002</v>
      </c>
    </row>
    <row r="65" spans="1:8">
      <c r="B65" s="1">
        <v>7</v>
      </c>
      <c r="C65" s="4" t="s">
        <v>8</v>
      </c>
      <c r="D65" s="1">
        <v>1</v>
      </c>
      <c r="E65" s="34">
        <v>161354.59882440002</v>
      </c>
      <c r="F65" s="52">
        <v>134968.29680000001</v>
      </c>
      <c r="G65" s="51">
        <v>23079.578752800004</v>
      </c>
      <c r="H65" s="51">
        <v>3306.7232716000003</v>
      </c>
    </row>
    <row r="66" spans="1:8">
      <c r="B66" s="1">
        <v>8</v>
      </c>
      <c r="C66" s="4" t="s">
        <v>9</v>
      </c>
      <c r="D66" s="1">
        <v>1</v>
      </c>
      <c r="E66" s="34">
        <v>161354.59882440002</v>
      </c>
      <c r="F66" s="52">
        <v>134968.29680000001</v>
      </c>
      <c r="G66" s="51">
        <v>23079.578752800004</v>
      </c>
      <c r="H66" s="51">
        <v>3306.7232716000003</v>
      </c>
    </row>
    <row r="67" spans="1:8">
      <c r="B67" s="1"/>
      <c r="C67" s="3" t="s">
        <v>3</v>
      </c>
      <c r="D67" s="3">
        <v>15</v>
      </c>
      <c r="E67" s="35">
        <v>2174909.1438863999</v>
      </c>
      <c r="F67" s="35">
        <v>1819246.4608</v>
      </c>
      <c r="G67" s="35">
        <v>311091.14479679998</v>
      </c>
      <c r="H67" s="35">
        <v>44571.538289599994</v>
      </c>
    </row>
    <row r="68" spans="1:8">
      <c r="D68" s="2" t="s">
        <v>20</v>
      </c>
      <c r="E68" s="14">
        <v>180593.085437634</v>
      </c>
    </row>
    <row r="69" spans="1:8">
      <c r="D69" t="s">
        <v>3</v>
      </c>
      <c r="E69" s="16">
        <v>2355502.2293240339</v>
      </c>
    </row>
    <row r="70" spans="1:8">
      <c r="E70" s="36"/>
    </row>
    <row r="71" spans="1:8">
      <c r="A71" s="2" t="s">
        <v>52</v>
      </c>
    </row>
    <row r="72" spans="1:8" ht="45">
      <c r="B72" s="6" t="s">
        <v>1</v>
      </c>
      <c r="C72" s="6" t="s">
        <v>0</v>
      </c>
      <c r="D72" s="6" t="s">
        <v>2</v>
      </c>
      <c r="E72" s="7" t="s">
        <v>11</v>
      </c>
      <c r="F72" s="11" t="s">
        <v>16</v>
      </c>
      <c r="G72" s="11" t="s">
        <v>17</v>
      </c>
      <c r="H72" s="11" t="s">
        <v>18</v>
      </c>
    </row>
    <row r="73" spans="1:8">
      <c r="B73" s="1">
        <v>1</v>
      </c>
      <c r="C73" s="4" t="s">
        <v>4</v>
      </c>
      <c r="D73" s="1">
        <v>1</v>
      </c>
      <c r="E73" s="34">
        <v>251866.89561119999</v>
      </c>
      <c r="F73" s="52">
        <v>210679.12639999998</v>
      </c>
      <c r="G73" s="51">
        <v>36026.130614399997</v>
      </c>
      <c r="H73" s="51">
        <v>5161.6385967999995</v>
      </c>
    </row>
    <row r="74" spans="1:8">
      <c r="B74" s="1">
        <v>2</v>
      </c>
      <c r="C74" s="86" t="s">
        <v>46</v>
      </c>
      <c r="D74" s="1">
        <v>1</v>
      </c>
      <c r="E74" s="34">
        <v>218343.82272720002</v>
      </c>
      <c r="F74" s="52">
        <v>182638.0784</v>
      </c>
      <c r="G74" s="51">
        <v>31231.111406400003</v>
      </c>
      <c r="H74" s="51">
        <v>4474.6329207999997</v>
      </c>
    </row>
    <row r="75" spans="1:8">
      <c r="B75" s="1">
        <v>3</v>
      </c>
      <c r="C75" s="4" t="s">
        <v>59</v>
      </c>
      <c r="D75" s="1">
        <v>4</v>
      </c>
      <c r="E75" s="34">
        <v>573688.39529759996</v>
      </c>
      <c r="F75" s="52">
        <v>479873.18719999999</v>
      </c>
      <c r="G75" s="51">
        <v>82058.3150112</v>
      </c>
      <c r="H75" s="51">
        <v>11756.893086399999</v>
      </c>
    </row>
    <row r="76" spans="1:8">
      <c r="B76" s="1">
        <v>4</v>
      </c>
      <c r="C76" s="4" t="s">
        <v>6</v>
      </c>
      <c r="D76" s="1">
        <v>3</v>
      </c>
      <c r="E76" s="34">
        <v>436243.79647319997</v>
      </c>
      <c r="F76" s="52">
        <v>364904.89039999997</v>
      </c>
      <c r="G76" s="51">
        <v>62398.7362584</v>
      </c>
      <c r="H76" s="51">
        <v>8940.1698147999996</v>
      </c>
    </row>
    <row r="77" spans="1:8">
      <c r="B77" s="1">
        <v>5</v>
      </c>
      <c r="C77" s="4" t="s">
        <v>7</v>
      </c>
      <c r="D77" s="1">
        <v>1</v>
      </c>
      <c r="E77" s="34">
        <v>91449.067633199986</v>
      </c>
      <c r="F77" s="52">
        <v>76494.410399999993</v>
      </c>
      <c r="G77" s="51">
        <v>13080.5441784</v>
      </c>
      <c r="H77" s="51">
        <v>1874.1130547999999</v>
      </c>
    </row>
    <row r="78" spans="1:8">
      <c r="B78" s="1">
        <v>6</v>
      </c>
      <c r="C78" s="4" t="s">
        <v>22</v>
      </c>
      <c r="D78" s="1">
        <v>3</v>
      </c>
      <c r="E78" s="34">
        <v>280607.96849519998</v>
      </c>
      <c r="F78" s="52">
        <v>234720.17439999999</v>
      </c>
      <c r="G78" s="34">
        <v>40137.149822400002</v>
      </c>
      <c r="H78" s="34">
        <v>5750.6442728000002</v>
      </c>
    </row>
    <row r="79" spans="1:8">
      <c r="B79" s="1">
        <v>7</v>
      </c>
      <c r="C79" s="4" t="s">
        <v>8</v>
      </c>
      <c r="D79" s="1">
        <v>1</v>
      </c>
      <c r="E79" s="34">
        <v>161354.59882440002</v>
      </c>
      <c r="F79" s="52">
        <v>134968.29680000001</v>
      </c>
      <c r="G79" s="51">
        <v>23079.578752800004</v>
      </c>
      <c r="H79" s="51">
        <v>3306.7232716000003</v>
      </c>
    </row>
    <row r="80" spans="1:8">
      <c r="B80" s="1">
        <v>8</v>
      </c>
      <c r="C80" s="4" t="s">
        <v>9</v>
      </c>
      <c r="D80" s="1">
        <v>1</v>
      </c>
      <c r="E80" s="34">
        <v>161354.59882440002</v>
      </c>
      <c r="F80" s="52">
        <v>134968.29680000001</v>
      </c>
      <c r="G80" s="51">
        <v>23079.578752800004</v>
      </c>
      <c r="H80" s="51">
        <v>3306.7232716000003</v>
      </c>
    </row>
    <row r="81" spans="1:8">
      <c r="B81" s="1"/>
      <c r="C81" s="3" t="s">
        <v>3</v>
      </c>
      <c r="D81" s="3">
        <v>15</v>
      </c>
      <c r="E81" s="35">
        <v>2174909.1438863999</v>
      </c>
      <c r="F81" s="35">
        <v>1819246.4608</v>
      </c>
      <c r="G81" s="35">
        <v>311091.14479679998</v>
      </c>
      <c r="H81" s="35">
        <v>44571.538289599994</v>
      </c>
    </row>
    <row r="82" spans="1:8">
      <c r="D82" s="2" t="s">
        <v>20</v>
      </c>
      <c r="E82" s="14">
        <v>184867.27723034401</v>
      </c>
    </row>
    <row r="83" spans="1:8">
      <c r="D83" t="s">
        <v>3</v>
      </c>
      <c r="E83" s="16">
        <v>2359776.4211167442</v>
      </c>
    </row>
    <row r="84" spans="1:8">
      <c r="E84" s="36"/>
    </row>
    <row r="85" spans="1:8">
      <c r="A85" s="2" t="s">
        <v>53</v>
      </c>
    </row>
    <row r="86" spans="1:8" ht="45">
      <c r="B86" s="6" t="s">
        <v>1</v>
      </c>
      <c r="C86" s="6" t="s">
        <v>0</v>
      </c>
      <c r="D86" s="6" t="s">
        <v>2</v>
      </c>
      <c r="E86" s="7" t="s">
        <v>11</v>
      </c>
      <c r="F86" s="11" t="s">
        <v>16</v>
      </c>
      <c r="G86" s="11" t="s">
        <v>17</v>
      </c>
      <c r="H86" s="11" t="s">
        <v>18</v>
      </c>
    </row>
    <row r="87" spans="1:8">
      <c r="B87" s="1">
        <v>1</v>
      </c>
      <c r="C87" s="4" t="s">
        <v>4</v>
      </c>
      <c r="D87" s="1">
        <v>1</v>
      </c>
      <c r="E87" s="34">
        <v>251866.89561119999</v>
      </c>
      <c r="F87" s="52">
        <v>210679.12639999998</v>
      </c>
      <c r="G87" s="51">
        <v>36026.130614399997</v>
      </c>
      <c r="H87" s="51">
        <v>5161.6385967999995</v>
      </c>
    </row>
    <row r="88" spans="1:8">
      <c r="B88" s="1">
        <v>2</v>
      </c>
      <c r="C88" s="86" t="s">
        <v>46</v>
      </c>
      <c r="D88" s="1">
        <v>1</v>
      </c>
      <c r="E88" s="34">
        <v>218343.82272720002</v>
      </c>
      <c r="F88" s="52">
        <v>182638.0784</v>
      </c>
      <c r="G88" s="51">
        <v>31231.111406400003</v>
      </c>
      <c r="H88" s="51">
        <v>4474.6329207999997</v>
      </c>
    </row>
    <row r="89" spans="1:8">
      <c r="B89" s="1">
        <v>3</v>
      </c>
      <c r="C89" s="4" t="s">
        <v>59</v>
      </c>
      <c r="D89" s="1">
        <v>4</v>
      </c>
      <c r="E89" s="34">
        <v>573688.39529759996</v>
      </c>
      <c r="F89" s="52">
        <v>479873.18719999999</v>
      </c>
      <c r="G89" s="51">
        <v>82058.3150112</v>
      </c>
      <c r="H89" s="51">
        <v>11756.893086399999</v>
      </c>
    </row>
    <row r="90" spans="1:8">
      <c r="B90" s="1">
        <v>4</v>
      </c>
      <c r="C90" s="4" t="s">
        <v>6</v>
      </c>
      <c r="D90" s="1">
        <v>3</v>
      </c>
      <c r="E90" s="34">
        <v>436243.79647319997</v>
      </c>
      <c r="F90" s="52">
        <v>364904.89039999997</v>
      </c>
      <c r="G90" s="51">
        <v>62398.7362584</v>
      </c>
      <c r="H90" s="51">
        <v>8940.1698147999996</v>
      </c>
    </row>
    <row r="91" spans="1:8">
      <c r="B91" s="1">
        <v>5</v>
      </c>
      <c r="C91" s="4" t="s">
        <v>7</v>
      </c>
      <c r="D91" s="1">
        <v>1</v>
      </c>
      <c r="E91" s="34">
        <v>91449.067633199986</v>
      </c>
      <c r="F91" s="52">
        <v>76494.410399999993</v>
      </c>
      <c r="G91" s="51">
        <v>13080.5441784</v>
      </c>
      <c r="H91" s="51">
        <v>1874.1130547999999</v>
      </c>
    </row>
    <row r="92" spans="1:8">
      <c r="B92" s="1">
        <v>6</v>
      </c>
      <c r="C92" s="4" t="s">
        <v>22</v>
      </c>
      <c r="D92" s="1">
        <v>3</v>
      </c>
      <c r="E92" s="34">
        <v>280607.96849519998</v>
      </c>
      <c r="F92" s="52">
        <v>234720.17439999999</v>
      </c>
      <c r="G92" s="34">
        <v>40137.149822400002</v>
      </c>
      <c r="H92" s="34">
        <v>5750.6442728000002</v>
      </c>
    </row>
    <row r="93" spans="1:8">
      <c r="B93" s="1">
        <v>7</v>
      </c>
      <c r="C93" s="4" t="s">
        <v>8</v>
      </c>
      <c r="D93" s="1">
        <v>1</v>
      </c>
      <c r="E93" s="34">
        <v>161354.59882440002</v>
      </c>
      <c r="F93" s="52">
        <v>134968.29680000001</v>
      </c>
      <c r="G93" s="51">
        <v>23079.578752800004</v>
      </c>
      <c r="H93" s="51">
        <v>3306.7232716000003</v>
      </c>
    </row>
    <row r="94" spans="1:8">
      <c r="B94" s="1">
        <v>8</v>
      </c>
      <c r="C94" s="4" t="s">
        <v>9</v>
      </c>
      <c r="D94" s="1">
        <v>1</v>
      </c>
      <c r="E94" s="34">
        <v>161354.59882440002</v>
      </c>
      <c r="F94" s="52">
        <v>134968.29680000001</v>
      </c>
      <c r="G94" s="51">
        <v>23079.578752800004</v>
      </c>
      <c r="H94" s="51">
        <v>3306.7232716000003</v>
      </c>
    </row>
    <row r="95" spans="1:8">
      <c r="B95" s="1"/>
      <c r="C95" s="3" t="s">
        <v>3</v>
      </c>
      <c r="D95" s="3">
        <v>15</v>
      </c>
      <c r="E95" s="35">
        <v>2174909.1438863999</v>
      </c>
      <c r="F95" s="35">
        <v>1819246.4608</v>
      </c>
      <c r="G95" s="35">
        <v>311091.14479679998</v>
      </c>
      <c r="H95" s="35">
        <v>44571.538289599994</v>
      </c>
    </row>
    <row r="96" spans="1:8">
      <c r="D96" s="2" t="s">
        <v>20</v>
      </c>
      <c r="E96" s="14">
        <v>184867.27723034401</v>
      </c>
    </row>
    <row r="97" spans="1:8">
      <c r="D97" t="s">
        <v>3</v>
      </c>
      <c r="E97" s="16">
        <v>2359776.4211167442</v>
      </c>
    </row>
    <row r="98" spans="1:8">
      <c r="E98" s="36"/>
    </row>
    <row r="99" spans="1:8">
      <c r="A99" s="2" t="s">
        <v>54</v>
      </c>
    </row>
    <row r="100" spans="1:8" ht="45">
      <c r="B100" s="6" t="s">
        <v>1</v>
      </c>
      <c r="C100" s="6" t="s">
        <v>0</v>
      </c>
      <c r="D100" s="6" t="s">
        <v>2</v>
      </c>
      <c r="E100" s="7" t="s">
        <v>11</v>
      </c>
      <c r="F100" s="11" t="s">
        <v>16</v>
      </c>
      <c r="G100" s="11" t="s">
        <v>17</v>
      </c>
      <c r="H100" s="11" t="s">
        <v>18</v>
      </c>
    </row>
    <row r="101" spans="1:8">
      <c r="B101" s="1">
        <v>1</v>
      </c>
      <c r="C101" s="4" t="s">
        <v>4</v>
      </c>
      <c r="D101" s="1">
        <v>1</v>
      </c>
      <c r="E101" s="34">
        <v>251866.89561119999</v>
      </c>
      <c r="F101" s="52">
        <v>210679.12639999998</v>
      </c>
      <c r="G101" s="51">
        <v>36026.130614399997</v>
      </c>
      <c r="H101" s="51">
        <v>5161.6385967999995</v>
      </c>
    </row>
    <row r="102" spans="1:8">
      <c r="B102" s="1">
        <v>2</v>
      </c>
      <c r="C102" s="86" t="s">
        <v>46</v>
      </c>
      <c r="D102" s="1">
        <v>1</v>
      </c>
      <c r="E102" s="34">
        <v>218343.82272720002</v>
      </c>
      <c r="F102" s="52">
        <v>182638.0784</v>
      </c>
      <c r="G102" s="51">
        <v>31231.111406400003</v>
      </c>
      <c r="H102" s="51">
        <v>4474.6329207999997</v>
      </c>
    </row>
    <row r="103" spans="1:8">
      <c r="B103" s="1">
        <v>3</v>
      </c>
      <c r="C103" s="4" t="s">
        <v>59</v>
      </c>
      <c r="D103" s="1">
        <v>4</v>
      </c>
      <c r="E103" s="34">
        <v>573688.39529759996</v>
      </c>
      <c r="F103" s="52">
        <v>479873.18719999999</v>
      </c>
      <c r="G103" s="51">
        <v>82058.3150112</v>
      </c>
      <c r="H103" s="51">
        <v>11756.893086399999</v>
      </c>
    </row>
    <row r="104" spans="1:8">
      <c r="B104" s="1">
        <v>4</v>
      </c>
      <c r="C104" s="4" t="s">
        <v>6</v>
      </c>
      <c r="D104" s="1">
        <v>3</v>
      </c>
      <c r="E104" s="34">
        <v>436243.79647319997</v>
      </c>
      <c r="F104" s="52">
        <v>364904.89039999997</v>
      </c>
      <c r="G104" s="51">
        <v>62398.7362584</v>
      </c>
      <c r="H104" s="51">
        <v>8940.1698147999996</v>
      </c>
    </row>
    <row r="105" spans="1:8">
      <c r="B105" s="1">
        <v>5</v>
      </c>
      <c r="C105" s="4" t="s">
        <v>7</v>
      </c>
      <c r="D105" s="1">
        <v>1</v>
      </c>
      <c r="E105" s="34">
        <v>91449.067633199986</v>
      </c>
      <c r="F105" s="52">
        <v>76494.410399999993</v>
      </c>
      <c r="G105" s="51">
        <v>13080.5441784</v>
      </c>
      <c r="H105" s="51">
        <v>1874.1130547999999</v>
      </c>
    </row>
    <row r="106" spans="1:8">
      <c r="B106" s="1">
        <v>6</v>
      </c>
      <c r="C106" s="4" t="s">
        <v>22</v>
      </c>
      <c r="D106" s="1">
        <v>3</v>
      </c>
      <c r="E106" s="34">
        <v>280607.96849519998</v>
      </c>
      <c r="F106" s="52">
        <v>234720.17439999999</v>
      </c>
      <c r="G106" s="34">
        <v>40137.149822400002</v>
      </c>
      <c r="H106" s="34">
        <v>5750.6442728000002</v>
      </c>
    </row>
    <row r="107" spans="1:8">
      <c r="B107" s="1">
        <v>7</v>
      </c>
      <c r="C107" s="4" t="s">
        <v>8</v>
      </c>
      <c r="D107" s="1">
        <v>1</v>
      </c>
      <c r="E107" s="34">
        <v>161354.59882440002</v>
      </c>
      <c r="F107" s="52">
        <v>134968.29680000001</v>
      </c>
      <c r="G107" s="51">
        <v>23079.578752800004</v>
      </c>
      <c r="H107" s="51">
        <v>3306.7232716000003</v>
      </c>
    </row>
    <row r="108" spans="1:8">
      <c r="B108" s="1">
        <v>8</v>
      </c>
      <c r="C108" s="4" t="s">
        <v>9</v>
      </c>
      <c r="D108" s="1">
        <v>1</v>
      </c>
      <c r="E108" s="34">
        <v>161354.59882440002</v>
      </c>
      <c r="F108" s="52">
        <v>134968.29680000001</v>
      </c>
      <c r="G108" s="51">
        <v>23079.578752800004</v>
      </c>
      <c r="H108" s="51">
        <v>3306.7232716000003</v>
      </c>
    </row>
    <row r="109" spans="1:8">
      <c r="B109" s="1"/>
      <c r="C109" s="3" t="s">
        <v>3</v>
      </c>
      <c r="D109" s="3">
        <v>15</v>
      </c>
      <c r="E109" s="35">
        <v>2174909.1438863999</v>
      </c>
      <c r="F109" s="35">
        <v>1819246.4608</v>
      </c>
      <c r="G109" s="35">
        <v>311091.14479679998</v>
      </c>
      <c r="H109" s="35">
        <v>44571.538289599994</v>
      </c>
    </row>
    <row r="110" spans="1:8">
      <c r="D110" s="2" t="s">
        <v>20</v>
      </c>
      <c r="E110" s="14">
        <v>184867.27723034401</v>
      </c>
    </row>
    <row r="111" spans="1:8">
      <c r="D111" t="s">
        <v>3</v>
      </c>
      <c r="E111" s="16">
        <v>2359776.4211167442</v>
      </c>
    </row>
    <row r="112" spans="1:8">
      <c r="D112" s="2"/>
      <c r="E112" s="14"/>
    </row>
    <row r="113" spans="1:16">
      <c r="E113" s="16"/>
    </row>
    <row r="114" spans="1:16">
      <c r="E114" s="36"/>
    </row>
    <row r="115" spans="1:16">
      <c r="E115" s="36"/>
    </row>
    <row r="116" spans="1:16">
      <c r="A116" s="2" t="s">
        <v>60</v>
      </c>
    </row>
    <row r="117" spans="1:16" ht="60">
      <c r="B117" s="6" t="s">
        <v>1</v>
      </c>
      <c r="C117" s="119" t="s">
        <v>61</v>
      </c>
      <c r="D117" s="120"/>
      <c r="E117" s="7" t="s">
        <v>62</v>
      </c>
      <c r="F117" s="7" t="s">
        <v>11</v>
      </c>
    </row>
    <row r="118" spans="1:16">
      <c r="B118" s="1">
        <v>1</v>
      </c>
      <c r="C118" s="53">
        <v>2023</v>
      </c>
      <c r="D118" s="10">
        <v>880</v>
      </c>
      <c r="E118" s="5">
        <v>330</v>
      </c>
      <c r="F118" s="54">
        <v>290400</v>
      </c>
      <c r="L118" s="2" t="s">
        <v>55</v>
      </c>
    </row>
    <row r="119" spans="1:16" ht="14.45" customHeight="1">
      <c r="B119" s="1">
        <v>2</v>
      </c>
      <c r="C119" s="53">
        <v>2024</v>
      </c>
      <c r="D119" s="10">
        <v>880</v>
      </c>
      <c r="E119" s="5">
        <v>330</v>
      </c>
      <c r="F119" s="54">
        <v>290400</v>
      </c>
      <c r="L119" s="6" t="s">
        <v>1</v>
      </c>
      <c r="M119" s="7" t="s">
        <v>10</v>
      </c>
      <c r="N119" s="7" t="s">
        <v>15</v>
      </c>
      <c r="O119" s="7" t="s">
        <v>11</v>
      </c>
    </row>
    <row r="120" spans="1:16">
      <c r="B120" s="1">
        <v>3</v>
      </c>
      <c r="C120" s="53">
        <v>2025</v>
      </c>
      <c r="D120" s="10">
        <v>880</v>
      </c>
      <c r="E120" s="5">
        <v>330</v>
      </c>
      <c r="F120" s="54">
        <v>290400</v>
      </c>
      <c r="L120" s="1">
        <v>1</v>
      </c>
      <c r="M120" s="40">
        <v>968</v>
      </c>
      <c r="N120" s="5">
        <v>300</v>
      </c>
      <c r="O120" s="8">
        <f>M120*N120</f>
        <v>290400</v>
      </c>
    </row>
    <row r="121" spans="1:16">
      <c r="B121" s="1">
        <v>4</v>
      </c>
      <c r="C121" s="53">
        <v>2026</v>
      </c>
      <c r="D121" s="10">
        <v>880</v>
      </c>
      <c r="E121" s="5">
        <v>330</v>
      </c>
      <c r="F121" s="54">
        <v>290400</v>
      </c>
    </row>
    <row r="122" spans="1:16">
      <c r="B122" s="1">
        <v>5</v>
      </c>
      <c r="C122" s="53">
        <v>2027</v>
      </c>
      <c r="D122" s="10">
        <v>880</v>
      </c>
      <c r="E122" s="5">
        <v>330</v>
      </c>
      <c r="F122" s="54">
        <v>290400</v>
      </c>
      <c r="N122" s="30">
        <v>2022</v>
      </c>
      <c r="O122" s="33">
        <v>300</v>
      </c>
      <c r="P122" s="31">
        <f>O122*$M$120</f>
        <v>290400</v>
      </c>
    </row>
    <row r="123" spans="1:16">
      <c r="B123" s="1">
        <v>6</v>
      </c>
      <c r="C123" s="53">
        <v>2028</v>
      </c>
      <c r="D123" s="10">
        <v>880</v>
      </c>
      <c r="E123" s="5">
        <v>330</v>
      </c>
      <c r="F123" s="54">
        <v>290400</v>
      </c>
      <c r="N123" s="30">
        <v>2023</v>
      </c>
      <c r="O123" s="33">
        <v>300</v>
      </c>
      <c r="P123" s="31">
        <f>O123*$M$120</f>
        <v>290400</v>
      </c>
    </row>
    <row r="124" spans="1:16">
      <c r="B124" s="1">
        <v>7</v>
      </c>
      <c r="C124" s="53">
        <v>2029</v>
      </c>
      <c r="D124" s="10">
        <v>880</v>
      </c>
      <c r="E124" s="5">
        <v>380</v>
      </c>
      <c r="F124" s="54">
        <v>334400</v>
      </c>
      <c r="N124" s="30">
        <v>2024</v>
      </c>
      <c r="O124" s="33">
        <v>300</v>
      </c>
      <c r="P124" s="31">
        <f>O124*$M$120</f>
        <v>290400</v>
      </c>
    </row>
    <row r="125" spans="1:16">
      <c r="B125" s="1">
        <v>8</v>
      </c>
      <c r="C125" s="53">
        <v>2030</v>
      </c>
      <c r="D125" s="10">
        <v>880</v>
      </c>
      <c r="E125" s="5">
        <v>380</v>
      </c>
      <c r="F125" s="54">
        <v>334400</v>
      </c>
      <c r="N125" s="30">
        <v>2025</v>
      </c>
      <c r="O125" s="33">
        <v>300</v>
      </c>
      <c r="P125" s="31">
        <f t="shared" ref="P125:P156" si="8">O125*$M$120</f>
        <v>290400</v>
      </c>
    </row>
    <row r="126" spans="1:16">
      <c r="B126" s="1">
        <v>9</v>
      </c>
      <c r="C126" s="53">
        <v>2031</v>
      </c>
      <c r="D126" s="10">
        <v>880</v>
      </c>
      <c r="E126" s="5">
        <v>380</v>
      </c>
      <c r="F126" s="54">
        <v>334400</v>
      </c>
      <c r="N126" s="30">
        <v>2026</v>
      </c>
      <c r="O126" s="33">
        <v>300</v>
      </c>
      <c r="P126" s="31">
        <f t="shared" si="8"/>
        <v>290400</v>
      </c>
    </row>
    <row r="127" spans="1:16">
      <c r="B127" s="1">
        <v>10</v>
      </c>
      <c r="C127" s="53">
        <v>2032</v>
      </c>
      <c r="D127" s="10">
        <v>880</v>
      </c>
      <c r="E127" s="5">
        <v>380</v>
      </c>
      <c r="F127" s="54">
        <v>334400</v>
      </c>
      <c r="N127" s="30">
        <v>2027</v>
      </c>
      <c r="O127" s="33">
        <v>300</v>
      </c>
      <c r="P127" s="31">
        <f t="shared" si="8"/>
        <v>290400</v>
      </c>
    </row>
    <row r="128" spans="1:16">
      <c r="N128">
        <v>2029</v>
      </c>
      <c r="O128" s="33">
        <v>350</v>
      </c>
      <c r="P128" s="31">
        <f t="shared" si="8"/>
        <v>338800</v>
      </c>
    </row>
    <row r="129" spans="14:16">
      <c r="N129">
        <v>2030</v>
      </c>
      <c r="O129" s="33">
        <v>350</v>
      </c>
      <c r="P129" s="31">
        <f t="shared" si="8"/>
        <v>338800</v>
      </c>
    </row>
    <row r="130" spans="14:16">
      <c r="N130">
        <v>2031</v>
      </c>
      <c r="O130" s="33">
        <v>350</v>
      </c>
      <c r="P130" s="31">
        <f t="shared" si="8"/>
        <v>338800</v>
      </c>
    </row>
    <row r="131" spans="14:16" ht="73.900000000000006" customHeight="1">
      <c r="N131">
        <v>2032</v>
      </c>
      <c r="O131" s="33">
        <v>350</v>
      </c>
      <c r="P131" s="31">
        <f t="shared" si="8"/>
        <v>338800</v>
      </c>
    </row>
    <row r="132" spans="14:16">
      <c r="N132">
        <v>2033</v>
      </c>
      <c r="O132" s="33">
        <v>350</v>
      </c>
      <c r="P132" s="31">
        <f t="shared" si="8"/>
        <v>338800</v>
      </c>
    </row>
    <row r="133" spans="14:16">
      <c r="N133">
        <v>2034</v>
      </c>
      <c r="O133" s="33">
        <v>350</v>
      </c>
      <c r="P133" s="31">
        <f t="shared" si="8"/>
        <v>338800</v>
      </c>
    </row>
    <row r="134" spans="14:16">
      <c r="N134">
        <v>2035</v>
      </c>
      <c r="O134" s="33">
        <v>350</v>
      </c>
      <c r="P134" s="31">
        <f t="shared" si="8"/>
        <v>338800</v>
      </c>
    </row>
    <row r="135" spans="14:16">
      <c r="N135" s="30">
        <v>2036</v>
      </c>
      <c r="O135" s="33">
        <v>400</v>
      </c>
      <c r="P135" s="31">
        <f t="shared" si="8"/>
        <v>387200</v>
      </c>
    </row>
    <row r="136" spans="14:16">
      <c r="N136" s="30">
        <v>2037</v>
      </c>
      <c r="O136" s="33">
        <v>400</v>
      </c>
      <c r="P136" s="31">
        <f t="shared" si="8"/>
        <v>387200</v>
      </c>
    </row>
    <row r="137" spans="14:16">
      <c r="N137" s="30">
        <v>2038</v>
      </c>
      <c r="O137" s="33">
        <v>400</v>
      </c>
      <c r="P137" s="31">
        <f t="shared" si="8"/>
        <v>387200</v>
      </c>
    </row>
    <row r="138" spans="14:16">
      <c r="N138" s="30">
        <v>2039</v>
      </c>
      <c r="O138" s="33">
        <v>400</v>
      </c>
      <c r="P138" s="31">
        <f t="shared" si="8"/>
        <v>387200</v>
      </c>
    </row>
    <row r="139" spans="14:16">
      <c r="N139" s="30">
        <v>2040</v>
      </c>
      <c r="O139" s="33">
        <v>400</v>
      </c>
      <c r="P139" s="31">
        <f t="shared" si="8"/>
        <v>387200</v>
      </c>
    </row>
    <row r="140" spans="14:16">
      <c r="N140" s="30">
        <v>2041</v>
      </c>
      <c r="O140" s="33">
        <v>400</v>
      </c>
      <c r="P140" s="31">
        <f t="shared" si="8"/>
        <v>387200</v>
      </c>
    </row>
    <row r="141" spans="14:16">
      <c r="N141" s="30">
        <v>2042</v>
      </c>
      <c r="O141" s="33">
        <v>400</v>
      </c>
      <c r="P141" s="31">
        <f t="shared" si="8"/>
        <v>387200</v>
      </c>
    </row>
    <row r="142" spans="14:16">
      <c r="N142">
        <v>2043</v>
      </c>
      <c r="O142" s="33">
        <v>450</v>
      </c>
      <c r="P142" s="31">
        <f t="shared" si="8"/>
        <v>435600</v>
      </c>
    </row>
    <row r="143" spans="14:16">
      <c r="N143">
        <v>2044</v>
      </c>
      <c r="O143" s="33">
        <v>450</v>
      </c>
      <c r="P143" s="31">
        <f t="shared" si="8"/>
        <v>435600</v>
      </c>
    </row>
    <row r="144" spans="14:16">
      <c r="N144">
        <v>2045</v>
      </c>
      <c r="O144" s="33">
        <v>450</v>
      </c>
      <c r="P144" s="31">
        <f t="shared" si="8"/>
        <v>435600</v>
      </c>
    </row>
    <row r="145" spans="14:16">
      <c r="N145">
        <v>2046</v>
      </c>
      <c r="O145" s="33">
        <v>450</v>
      </c>
      <c r="P145" s="31">
        <f t="shared" si="8"/>
        <v>435600</v>
      </c>
    </row>
    <row r="146" spans="14:16">
      <c r="N146">
        <v>2047</v>
      </c>
      <c r="O146" s="33">
        <v>450</v>
      </c>
      <c r="P146" s="31">
        <f t="shared" si="8"/>
        <v>435600</v>
      </c>
    </row>
    <row r="147" spans="14:16">
      <c r="N147">
        <v>2048</v>
      </c>
      <c r="O147" s="33">
        <v>450</v>
      </c>
      <c r="P147" s="31">
        <f t="shared" si="8"/>
        <v>435600</v>
      </c>
    </row>
    <row r="148" spans="14:16">
      <c r="N148">
        <v>2049</v>
      </c>
      <c r="O148" s="33">
        <v>450</v>
      </c>
      <c r="P148" s="31">
        <f t="shared" si="8"/>
        <v>435600</v>
      </c>
    </row>
    <row r="149" spans="14:16">
      <c r="N149" s="30">
        <v>2050</v>
      </c>
      <c r="O149" s="33">
        <v>500</v>
      </c>
      <c r="P149" s="31">
        <f t="shared" si="8"/>
        <v>484000</v>
      </c>
    </row>
    <row r="150" spans="14:16">
      <c r="N150" s="30">
        <v>2051</v>
      </c>
      <c r="O150" s="33">
        <v>500</v>
      </c>
      <c r="P150" s="31">
        <f t="shared" si="8"/>
        <v>484000</v>
      </c>
    </row>
    <row r="151" spans="14:16">
      <c r="N151" s="30">
        <v>2052</v>
      </c>
      <c r="O151" s="33">
        <v>500</v>
      </c>
      <c r="P151" s="31">
        <f t="shared" si="8"/>
        <v>484000</v>
      </c>
    </row>
    <row r="152" spans="14:16">
      <c r="N152" s="30">
        <v>2053</v>
      </c>
      <c r="O152" s="33">
        <v>500</v>
      </c>
      <c r="P152" s="31">
        <f t="shared" si="8"/>
        <v>484000</v>
      </c>
    </row>
    <row r="153" spans="14:16">
      <c r="N153" s="30">
        <v>2054</v>
      </c>
      <c r="O153" s="33">
        <v>500</v>
      </c>
      <c r="P153" s="31">
        <f t="shared" si="8"/>
        <v>484000</v>
      </c>
    </row>
    <row r="154" spans="14:16">
      <c r="N154" s="30">
        <v>2055</v>
      </c>
      <c r="O154" s="33">
        <v>500</v>
      </c>
      <c r="P154" s="31">
        <f t="shared" si="8"/>
        <v>484000</v>
      </c>
    </row>
    <row r="155" spans="14:16">
      <c r="N155" s="30">
        <v>2056</v>
      </c>
      <c r="O155" s="33">
        <v>500</v>
      </c>
      <c r="P155" s="31">
        <f t="shared" si="8"/>
        <v>484000</v>
      </c>
    </row>
    <row r="156" spans="14:16">
      <c r="N156">
        <v>2057</v>
      </c>
      <c r="O156" s="33">
        <v>550</v>
      </c>
      <c r="P156" s="31">
        <f t="shared" si="8"/>
        <v>532400</v>
      </c>
    </row>
  </sheetData>
  <mergeCells count="1">
    <mergeCell ref="C117:D1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Załącznik 1</vt:lpstr>
      <vt:lpstr>Załącznik nr 2</vt:lpstr>
      <vt:lpstr>Załącznik nr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2020-09-01T10:38:36Z</dcterms:modified>
</cp:coreProperties>
</file>