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/>
  <c r="A1" i="7" s="1"/>
  <c r="A82" i="7" l="1"/>
  <c r="A63" i="7"/>
  <c r="A27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<sst xmlns="http://schemas.openxmlformats.org/spreadsheetml/2006/main" count="97" uniqueCount="81">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</sst>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3"/>
  <sheetViews>
    <sheetView tabSelected="1" zoomScaleNormal="100" zoomScaleSheetLayoutView="75" workbookViewId="0">
      <selection activeCell="A6" sqref="A6:A10"/>
    </sheetView>
  </sheetViews>
  <sheetFormatPr defaultColWidth="9.1796875" defaultRowHeight="13.5" customHeight="1" x14ac:dyDescent="0.25"/>
  <cols>
    <col min="1" max="1" width="22.54296875" style="2" customWidth="1"/>
    <col min="2" max="3" width="13.7265625" style="2" customWidth="1"/>
    <col min="4" max="6" width="11.453125" style="2" customWidth="1"/>
    <col min="7" max="7" width="12.1796875" style="2" customWidth="1"/>
    <col min="8" max="8" width="12" style="2" customWidth="1"/>
    <col min="9" max="9" width="12.54296875" style="2" customWidth="1"/>
    <col min="10" max="10" width="12.81640625" style="2" customWidth="1"/>
    <col min="11" max="11" width="12.1796875" style="2" customWidth="1"/>
    <col min="12" max="12" width="11.453125" style="2" customWidth="1"/>
    <col min="13" max="13" width="10" style="2" customWidth="1"/>
    <col min="14" max="14" width="10.26953125" style="2" customWidth="1"/>
    <col min="15" max="15" width="9.1796875" style="2"/>
    <col min="16" max="16" width="10.26953125" style="2" customWidth="1"/>
    <col min="17" max="16384" width="9.1796875" style="2"/>
  </cols>
  <sheetData>
    <row r="1" spans="1:17" ht="39.75" customHeight="1" x14ac:dyDescent="0.25">
      <c r="A1" s="47" t="str">
        <f>CONCATENATE("Informacja z wykonania budżetów powiatów za   ",$C$90," ",$B$91," roku    ",$B$93,"")</f>
        <v xml:space="preserve">Informacja z wykonania budżetów powiatów za   III Kwartały 2022 roku    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5">
      <c r="A3" s="48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7" ht="13.5" customHeight="1" x14ac:dyDescent="0.25">
      <c r="B5" s="1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1"/>
      <c r="O5" s="11"/>
      <c r="P5" s="11"/>
      <c r="Q5" s="11"/>
    </row>
    <row r="6" spans="1:17" ht="13.5" customHeight="1" x14ac:dyDescent="0.25">
      <c r="A6" s="38" t="s">
        <v>0</v>
      </c>
      <c r="B6" s="43" t="s">
        <v>61</v>
      </c>
      <c r="C6" s="52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52" t="s">
        <v>64</v>
      </c>
      <c r="P6" s="30"/>
      <c r="Q6" s="31"/>
    </row>
    <row r="7" spans="1:17" ht="13.5" customHeight="1" x14ac:dyDescent="0.25">
      <c r="A7" s="39"/>
      <c r="B7" s="41"/>
      <c r="C7" s="42" t="s">
        <v>62</v>
      </c>
      <c r="D7" s="42" t="s">
        <v>73</v>
      </c>
      <c r="E7" s="42" t="s">
        <v>66</v>
      </c>
      <c r="F7" s="42" t="s">
        <v>67</v>
      </c>
      <c r="G7" s="42" t="s">
        <v>27</v>
      </c>
      <c r="H7" s="42" t="s">
        <v>28</v>
      </c>
      <c r="I7" s="49" t="s">
        <v>63</v>
      </c>
      <c r="J7" s="42" t="s">
        <v>16</v>
      </c>
      <c r="K7" s="42" t="s">
        <v>17</v>
      </c>
      <c r="L7" s="42" t="s">
        <v>18</v>
      </c>
      <c r="M7" s="42" t="s">
        <v>19</v>
      </c>
      <c r="N7" s="41" t="s">
        <v>20</v>
      </c>
      <c r="O7" s="37" t="s">
        <v>21</v>
      </c>
      <c r="P7" s="37" t="s">
        <v>22</v>
      </c>
      <c r="Q7" s="37" t="s">
        <v>23</v>
      </c>
    </row>
    <row r="8" spans="1:17" ht="13.5" customHeight="1" x14ac:dyDescent="0.25">
      <c r="A8" s="39"/>
      <c r="B8" s="41"/>
      <c r="C8" s="37"/>
      <c r="D8" s="37"/>
      <c r="E8" s="37"/>
      <c r="F8" s="37"/>
      <c r="G8" s="37"/>
      <c r="H8" s="37"/>
      <c r="I8" s="49"/>
      <c r="J8" s="37"/>
      <c r="K8" s="37"/>
      <c r="L8" s="37"/>
      <c r="M8" s="37"/>
      <c r="N8" s="41"/>
      <c r="O8" s="37"/>
      <c r="P8" s="37"/>
      <c r="Q8" s="37"/>
    </row>
    <row r="9" spans="1:17" ht="11.25" customHeight="1" x14ac:dyDescent="0.25">
      <c r="A9" s="39"/>
      <c r="B9" s="41"/>
      <c r="C9" s="37"/>
      <c r="D9" s="37"/>
      <c r="E9" s="37"/>
      <c r="F9" s="37"/>
      <c r="G9" s="37"/>
      <c r="H9" s="37"/>
      <c r="I9" s="49"/>
      <c r="J9" s="37"/>
      <c r="K9" s="37"/>
      <c r="L9" s="37"/>
      <c r="M9" s="37"/>
      <c r="N9" s="41"/>
      <c r="O9" s="37"/>
      <c r="P9" s="37"/>
      <c r="Q9" s="37"/>
    </row>
    <row r="10" spans="1:17" ht="33.75" customHeight="1" x14ac:dyDescent="0.25">
      <c r="A10" s="40"/>
      <c r="B10" s="42"/>
      <c r="C10" s="37"/>
      <c r="D10" s="37"/>
      <c r="E10" s="37"/>
      <c r="F10" s="37"/>
      <c r="G10" s="37"/>
      <c r="H10" s="37"/>
      <c r="I10" s="50"/>
      <c r="J10" s="37"/>
      <c r="K10" s="37"/>
      <c r="L10" s="37"/>
      <c r="M10" s="37"/>
      <c r="N10" s="42"/>
      <c r="O10" s="37"/>
      <c r="P10" s="37"/>
      <c r="Q10" s="37"/>
    </row>
    <row r="11" spans="1:17" ht="15.75" customHeigh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5">
      <c r="A12" s="13"/>
      <c r="B12" s="27" t="s">
        <v>76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39.75" customHeight="1" x14ac:dyDescent="0.25">
      <c r="A13" s="20" t="s">
        <v>45</v>
      </c>
      <c r="B13" s="21">
        <f>5801092399.4</f>
        <v>5801092399.3999996</v>
      </c>
      <c r="C13" s="21">
        <f>5801092399.4</f>
        <v>5801092399.3999996</v>
      </c>
      <c r="D13" s="21">
        <f>253186167.06</f>
        <v>253186167.06</v>
      </c>
      <c r="E13" s="21">
        <f>205347034.04</f>
        <v>205347034.03999999</v>
      </c>
      <c r="F13" s="21">
        <f>15278301.92</f>
        <v>15278301.92</v>
      </c>
      <c r="G13" s="21">
        <f>32557883.8</f>
        <v>32557883.800000001</v>
      </c>
      <c r="H13" s="21">
        <f>2947.3</f>
        <v>2947.3</v>
      </c>
      <c r="I13" s="21">
        <f>0</f>
        <v>0</v>
      </c>
      <c r="J13" s="21">
        <f>5250768267.41</f>
        <v>5250768267.4099998</v>
      </c>
      <c r="K13" s="21">
        <f>278080270.8</f>
        <v>278080270.80000001</v>
      </c>
      <c r="L13" s="21">
        <f>15874643.29</f>
        <v>15874643.289999999</v>
      </c>
      <c r="M13" s="21">
        <f>749148.76</f>
        <v>749148.76</v>
      </c>
      <c r="N13" s="21">
        <f>2433902.08</f>
        <v>2433902.08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5">
      <c r="A14" s="19" t="s">
        <v>77</v>
      </c>
      <c r="B14" s="21">
        <f>67623000</f>
        <v>67623000</v>
      </c>
      <c r="C14" s="21">
        <f>67623000</f>
        <v>67623000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67623000</f>
        <v>67623000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5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5">
      <c r="A16" s="17" t="s">
        <v>47</v>
      </c>
      <c r="B16" s="22">
        <f>67623000</f>
        <v>67623000</v>
      </c>
      <c r="C16" s="22">
        <f>67623000</f>
        <v>67623000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67623000</f>
        <v>67623000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5">
      <c r="A17" s="20" t="s">
        <v>78</v>
      </c>
      <c r="B17" s="21">
        <f>5727133600.5</f>
        <v>5727133600.5</v>
      </c>
      <c r="C17" s="21">
        <f>5727133600.5</f>
        <v>5727133600.5</v>
      </c>
      <c r="D17" s="21">
        <f>252320470.28</f>
        <v>252320470.28</v>
      </c>
      <c r="E17" s="21">
        <f>205254971.91</f>
        <v>205254971.91</v>
      </c>
      <c r="F17" s="21">
        <f>15168891.92</f>
        <v>15168891.92</v>
      </c>
      <c r="G17" s="21">
        <f>31896606.45</f>
        <v>31896606.449999999</v>
      </c>
      <c r="H17" s="21">
        <f>0</f>
        <v>0</v>
      </c>
      <c r="I17" s="21">
        <f>0</f>
        <v>0</v>
      </c>
      <c r="J17" s="21">
        <f>5183145267.41</f>
        <v>5183145267.4099998</v>
      </c>
      <c r="K17" s="21">
        <f>278080011.8</f>
        <v>278080011.80000001</v>
      </c>
      <c r="L17" s="21">
        <f>11323874.45</f>
        <v>11323874.449999999</v>
      </c>
      <c r="M17" s="21">
        <f>11298.56</f>
        <v>11298.56</v>
      </c>
      <c r="N17" s="21">
        <f>2252678</f>
        <v>2252678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5">
      <c r="A18" s="17" t="s">
        <v>48</v>
      </c>
      <c r="B18" s="22">
        <f>24152439.01</f>
        <v>24152439.010000002</v>
      </c>
      <c r="C18" s="22">
        <f>24152439.01</f>
        <v>24152439.010000002</v>
      </c>
      <c r="D18" s="22">
        <f>55296</f>
        <v>55296</v>
      </c>
      <c r="E18" s="22">
        <f>0</f>
        <v>0</v>
      </c>
      <c r="F18" s="22">
        <f>55296</f>
        <v>55296</v>
      </c>
      <c r="G18" s="22">
        <f>0</f>
        <v>0</v>
      </c>
      <c r="H18" s="22">
        <f>0</f>
        <v>0</v>
      </c>
      <c r="I18" s="22">
        <f>0</f>
        <v>0</v>
      </c>
      <c r="J18" s="22">
        <f>18023629.4</f>
        <v>18023629.399999999</v>
      </c>
      <c r="K18" s="22">
        <f>73513.61</f>
        <v>73513.61</v>
      </c>
      <c r="L18" s="22">
        <f>6000000</f>
        <v>6000000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5">
      <c r="A19" s="17" t="s">
        <v>49</v>
      </c>
      <c r="B19" s="22">
        <f>5702981161.49</f>
        <v>5702981161.4899998</v>
      </c>
      <c r="C19" s="22">
        <f>5702981161.49</f>
        <v>5702981161.4899998</v>
      </c>
      <c r="D19" s="22">
        <f>252265174.28</f>
        <v>252265174.28</v>
      </c>
      <c r="E19" s="22">
        <f>205254971.91</f>
        <v>205254971.91</v>
      </c>
      <c r="F19" s="22">
        <f>15113595.92</f>
        <v>15113595.92</v>
      </c>
      <c r="G19" s="22">
        <f>31896606.45</f>
        <v>31896606.449999999</v>
      </c>
      <c r="H19" s="22">
        <f>0</f>
        <v>0</v>
      </c>
      <c r="I19" s="22">
        <f>0</f>
        <v>0</v>
      </c>
      <c r="J19" s="22">
        <f>5165121638.01</f>
        <v>5165121638.0100002</v>
      </c>
      <c r="K19" s="22">
        <f>278006498.19</f>
        <v>278006498.19</v>
      </c>
      <c r="L19" s="22">
        <f>5323874.45</f>
        <v>5323874.45</v>
      </c>
      <c r="M19" s="22">
        <f>11298.56</f>
        <v>11298.56</v>
      </c>
      <c r="N19" s="22">
        <f>2252678</f>
        <v>2252678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5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5">
      <c r="A21" s="20" t="s">
        <v>79</v>
      </c>
      <c r="B21" s="21">
        <f>6335798.9</f>
        <v>6335798.9000000004</v>
      </c>
      <c r="C21" s="21">
        <f>6335798.9</f>
        <v>6335798.9000000004</v>
      </c>
      <c r="D21" s="21">
        <f>865696.78</f>
        <v>865696.78</v>
      </c>
      <c r="E21" s="21">
        <f>92062.13</f>
        <v>92062.13</v>
      </c>
      <c r="F21" s="21">
        <f>109410</f>
        <v>109410</v>
      </c>
      <c r="G21" s="21">
        <f>661277.35</f>
        <v>661277.35</v>
      </c>
      <c r="H21" s="21">
        <f>2947.3</f>
        <v>2947.3</v>
      </c>
      <c r="I21" s="21">
        <f>0</f>
        <v>0</v>
      </c>
      <c r="J21" s="21">
        <f>0</f>
        <v>0</v>
      </c>
      <c r="K21" s="21">
        <f>259</f>
        <v>259</v>
      </c>
      <c r="L21" s="21">
        <f>4550768.84</f>
        <v>4550768.84</v>
      </c>
      <c r="M21" s="21">
        <f>737850.2</f>
        <v>737850.2</v>
      </c>
      <c r="N21" s="21">
        <f>181224.08</f>
        <v>181224.08</v>
      </c>
      <c r="O21" s="21">
        <f>0</f>
        <v>0</v>
      </c>
      <c r="P21" s="21">
        <f>0</f>
        <v>0</v>
      </c>
      <c r="Q21" s="21">
        <f>0</f>
        <v>0</v>
      </c>
    </row>
    <row r="22" spans="1:17" ht="20" x14ac:dyDescent="0.25">
      <c r="A22" s="17" t="s">
        <v>51</v>
      </c>
      <c r="B22" s="22">
        <f>5282203.62</f>
        <v>5282203.62</v>
      </c>
      <c r="C22" s="22">
        <f>5282203.62</f>
        <v>5282203.62</v>
      </c>
      <c r="D22" s="22">
        <f>207854.6</f>
        <v>207854.6</v>
      </c>
      <c r="E22" s="22">
        <f>0</f>
        <v>0</v>
      </c>
      <c r="F22" s="22">
        <f>109410</f>
        <v>109410</v>
      </c>
      <c r="G22" s="22">
        <f>98444.6</f>
        <v>98444.6</v>
      </c>
      <c r="H22" s="22">
        <f>0</f>
        <v>0</v>
      </c>
      <c r="I22" s="22">
        <f>0</f>
        <v>0</v>
      </c>
      <c r="J22" s="22">
        <f>0</f>
        <v>0</v>
      </c>
      <c r="K22" s="22">
        <f>259</f>
        <v>259</v>
      </c>
      <c r="L22" s="22">
        <f>4403693.19</f>
        <v>4403693.1900000004</v>
      </c>
      <c r="M22" s="22">
        <f>489172.75</f>
        <v>489172.75</v>
      </c>
      <c r="N22" s="22">
        <f>181224.08</f>
        <v>181224.08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5">
      <c r="A23" s="17" t="s">
        <v>52</v>
      </c>
      <c r="B23" s="22">
        <f>1053595.28</f>
        <v>1053595.28</v>
      </c>
      <c r="C23" s="22">
        <f>1053595.28</f>
        <v>1053595.28</v>
      </c>
      <c r="D23" s="22">
        <f>657842.18</f>
        <v>657842.18000000005</v>
      </c>
      <c r="E23" s="22">
        <f>92062.13</f>
        <v>92062.13</v>
      </c>
      <c r="F23" s="22">
        <f>0</f>
        <v>0</v>
      </c>
      <c r="G23" s="22">
        <f>562832.75</f>
        <v>562832.75</v>
      </c>
      <c r="H23" s="22">
        <f>2947.3</f>
        <v>2947.3</v>
      </c>
      <c r="I23" s="22">
        <f>0</f>
        <v>0</v>
      </c>
      <c r="J23" s="22">
        <f>0</f>
        <v>0</v>
      </c>
      <c r="K23" s="22">
        <f>0</f>
        <v>0</v>
      </c>
      <c r="L23" s="22">
        <f>147075.65</f>
        <v>147075.65</v>
      </c>
      <c r="M23" s="22">
        <f>248677.45</f>
        <v>248677.45</v>
      </c>
      <c r="N23" s="22">
        <f>0</f>
        <v>0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5">
      <c r="A27" s="47" t="str">
        <f>CONCATENATE("Informacja z wykonania budżetów powiatów za   ",$C$90," ",$B$91," roku    ",$B$93,"")</f>
        <v xml:space="preserve">Informacja z wykonania budżetów powiatów za   III Kwartały 2022 roku    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9" spans="1:17" ht="13.5" customHeight="1" x14ac:dyDescent="0.25">
      <c r="A29" s="48" t="s">
        <v>11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1" spans="1:17" ht="13.5" customHeight="1" x14ac:dyDescent="0.25">
      <c r="A31" s="38" t="s">
        <v>0</v>
      </c>
      <c r="B31" s="43" t="s">
        <v>12</v>
      </c>
      <c r="C31" s="44" t="s">
        <v>14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44" t="s">
        <v>24</v>
      </c>
      <c r="P31" s="45"/>
      <c r="Q31" s="46"/>
    </row>
    <row r="32" spans="1:17" ht="13.5" customHeight="1" x14ac:dyDescent="0.25">
      <c r="A32" s="39"/>
      <c r="B32" s="41"/>
      <c r="C32" s="41" t="s">
        <v>13</v>
      </c>
      <c r="D32" s="37" t="s">
        <v>15</v>
      </c>
      <c r="E32" s="37" t="s">
        <v>25</v>
      </c>
      <c r="F32" s="37" t="s">
        <v>26</v>
      </c>
      <c r="G32" s="37" t="s">
        <v>70</v>
      </c>
      <c r="H32" s="37" t="s">
        <v>28</v>
      </c>
      <c r="I32" s="37" t="s">
        <v>1</v>
      </c>
      <c r="J32" s="37" t="s">
        <v>16</v>
      </c>
      <c r="K32" s="37" t="s">
        <v>17</v>
      </c>
      <c r="L32" s="37" t="s">
        <v>18</v>
      </c>
      <c r="M32" s="37" t="s">
        <v>19</v>
      </c>
      <c r="N32" s="85" t="s">
        <v>20</v>
      </c>
      <c r="O32" s="37" t="s">
        <v>21</v>
      </c>
      <c r="P32" s="37" t="s">
        <v>22</v>
      </c>
      <c r="Q32" s="43" t="s">
        <v>23</v>
      </c>
    </row>
    <row r="33" spans="1:17" ht="13.5" customHeight="1" x14ac:dyDescent="0.25">
      <c r="A33" s="39"/>
      <c r="B33" s="41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85"/>
      <c r="O33" s="37"/>
      <c r="P33" s="37"/>
      <c r="Q33" s="41"/>
    </row>
    <row r="34" spans="1:17" ht="11.25" customHeight="1" x14ac:dyDescent="0.25">
      <c r="A34" s="39"/>
      <c r="B34" s="41"/>
      <c r="C34" s="41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85"/>
      <c r="O34" s="37"/>
      <c r="P34" s="37"/>
      <c r="Q34" s="41"/>
    </row>
    <row r="35" spans="1:17" ht="41.25" customHeight="1" x14ac:dyDescent="0.25">
      <c r="A35" s="40"/>
      <c r="B35" s="42"/>
      <c r="C35" s="4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85"/>
      <c r="O35" s="37"/>
      <c r="P35" s="37"/>
      <c r="Q35" s="42"/>
    </row>
    <row r="36" spans="1:17" ht="15.75" customHeight="1" x14ac:dyDescent="0.25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5">
      <c r="A37" s="13"/>
      <c r="B37" s="27" t="s">
        <v>76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</row>
    <row r="38" spans="1:17" ht="30" customHeight="1" x14ac:dyDescent="0.25">
      <c r="A38" s="25" t="s">
        <v>40</v>
      </c>
      <c r="B38" s="23">
        <f>399615.44</f>
        <v>399615.44</v>
      </c>
      <c r="C38" s="23">
        <f>399615.44</f>
        <v>399615.44</v>
      </c>
      <c r="D38" s="23">
        <f>50000</f>
        <v>50000</v>
      </c>
      <c r="E38" s="23">
        <f>50000</f>
        <v>50000</v>
      </c>
      <c r="F38" s="23">
        <f>0</f>
        <v>0</v>
      </c>
      <c r="G38" s="23">
        <f>0</f>
        <v>0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148128.93</f>
        <v>148128.93</v>
      </c>
      <c r="M38" s="23">
        <f>201486.51</f>
        <v>201486.51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5">
      <c r="A39" s="18" t="s">
        <v>29</v>
      </c>
      <c r="B39" s="24">
        <f>19389</f>
        <v>19389</v>
      </c>
      <c r="C39" s="24">
        <f>19389</f>
        <v>19389</v>
      </c>
      <c r="D39" s="24">
        <f>0</f>
        <v>0</v>
      </c>
      <c r="E39" s="24">
        <f>0</f>
        <v>0</v>
      </c>
      <c r="F39" s="24">
        <f>0</f>
        <v>0</v>
      </c>
      <c r="G39" s="24">
        <f>0</f>
        <v>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8872.5</f>
        <v>8872.5</v>
      </c>
      <c r="M39" s="24">
        <f>10516.5</f>
        <v>10516.5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5">
      <c r="A40" s="18" t="s">
        <v>30</v>
      </c>
      <c r="B40" s="24">
        <f>380226.44</f>
        <v>380226.44</v>
      </c>
      <c r="C40" s="24">
        <f>380226.44</f>
        <v>380226.44</v>
      </c>
      <c r="D40" s="24">
        <f>50000</f>
        <v>50000</v>
      </c>
      <c r="E40" s="24">
        <f>50000</f>
        <v>50000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139256.43</f>
        <v>139256.43</v>
      </c>
      <c r="M40" s="24">
        <f>190970.01</f>
        <v>190970.01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5">
      <c r="A41" s="25" t="s">
        <v>41</v>
      </c>
      <c r="B41" s="23">
        <f>177702986.96</f>
        <v>177702986.96000001</v>
      </c>
      <c r="C41" s="23">
        <f>177440000.66</f>
        <v>177440000.66</v>
      </c>
      <c r="D41" s="23">
        <f>115664428.43</f>
        <v>115664428.43000001</v>
      </c>
      <c r="E41" s="23">
        <f>111095.45</f>
        <v>111095.45</v>
      </c>
      <c r="F41" s="23">
        <f>3003633.4</f>
        <v>3003633.4</v>
      </c>
      <c r="G41" s="23">
        <f>112549699.58</f>
        <v>112549699.58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44962288.32</f>
        <v>44962288.32</v>
      </c>
      <c r="M41" s="23">
        <f>15074867.15</f>
        <v>15074867.15</v>
      </c>
      <c r="N41" s="23">
        <f>1738416.76</f>
        <v>1738416.76</v>
      </c>
      <c r="O41" s="23">
        <f>262986.3</f>
        <v>262986.3</v>
      </c>
      <c r="P41" s="23">
        <f>0</f>
        <v>0</v>
      </c>
      <c r="Q41" s="23">
        <f>262986.3</f>
        <v>262986.3</v>
      </c>
    </row>
    <row r="42" spans="1:17" ht="25.5" customHeight="1" x14ac:dyDescent="0.25">
      <c r="A42" s="18" t="s">
        <v>31</v>
      </c>
      <c r="B42" s="24">
        <f>44440892.11</f>
        <v>44440892.109999999</v>
      </c>
      <c r="C42" s="24">
        <f>44440892.11</f>
        <v>44440892.109999999</v>
      </c>
      <c r="D42" s="24">
        <f>29997157.03</f>
        <v>29997157.030000001</v>
      </c>
      <c r="E42" s="24">
        <f>0</f>
        <v>0</v>
      </c>
      <c r="F42" s="24">
        <f>3000000</f>
        <v>3000000</v>
      </c>
      <c r="G42" s="24">
        <f>26997157.03</f>
        <v>26997157.030000001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11453504.31</f>
        <v>11453504.310000001</v>
      </c>
      <c r="M42" s="24">
        <f>2408046.17</f>
        <v>2408046.17</v>
      </c>
      <c r="N42" s="24">
        <f>582184.6</f>
        <v>582184.6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5">
      <c r="A43" s="18" t="s">
        <v>32</v>
      </c>
      <c r="B43" s="24">
        <f>133262094.85</f>
        <v>133262094.84999999</v>
      </c>
      <c r="C43" s="24">
        <f>132999108.55</f>
        <v>132999108.55</v>
      </c>
      <c r="D43" s="24">
        <f>85667271.4</f>
        <v>85667271.400000006</v>
      </c>
      <c r="E43" s="24">
        <f>111095.45</f>
        <v>111095.45</v>
      </c>
      <c r="F43" s="24">
        <f>3633.4</f>
        <v>3633.4</v>
      </c>
      <c r="G43" s="24">
        <f>85552542.55</f>
        <v>85552542.549999997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33508784.01</f>
        <v>33508784.010000002</v>
      </c>
      <c r="M43" s="24">
        <f>12666820.98</f>
        <v>12666820.98</v>
      </c>
      <c r="N43" s="24">
        <f>1156232.16</f>
        <v>1156232.1599999999</v>
      </c>
      <c r="O43" s="24">
        <f>262986.3</f>
        <v>262986.3</v>
      </c>
      <c r="P43" s="24">
        <f>0</f>
        <v>0</v>
      </c>
      <c r="Q43" s="24">
        <f>262986.3</f>
        <v>262986.3</v>
      </c>
    </row>
    <row r="44" spans="1:17" ht="30" customHeight="1" x14ac:dyDescent="0.25">
      <c r="A44" s="25" t="s">
        <v>42</v>
      </c>
      <c r="B44" s="23">
        <f>8470656206.16</f>
        <v>8470656206.1599998</v>
      </c>
      <c r="C44" s="23">
        <f>8470656206.16</f>
        <v>8470656206.1599998</v>
      </c>
      <c r="D44" s="23">
        <f>2560998.29</f>
        <v>2560998.29</v>
      </c>
      <c r="E44" s="23">
        <f>19950.76</f>
        <v>19950.759999999998</v>
      </c>
      <c r="F44" s="23">
        <f>263</f>
        <v>263</v>
      </c>
      <c r="G44" s="23">
        <f>2540784.53</f>
        <v>2540784.5299999998</v>
      </c>
      <c r="H44" s="23">
        <f>0</f>
        <v>0</v>
      </c>
      <c r="I44" s="23">
        <f>6343952.44</f>
        <v>6343952.4400000004</v>
      </c>
      <c r="J44" s="23">
        <f>8461504625.37</f>
        <v>8461504625.3699999</v>
      </c>
      <c r="K44" s="23">
        <f>93639.3</f>
        <v>93639.3</v>
      </c>
      <c r="L44" s="23">
        <f>54646.18</f>
        <v>54646.18</v>
      </c>
      <c r="M44" s="23">
        <f>4061.46</f>
        <v>4061.46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5">
      <c r="A45" s="18" t="s">
        <v>33</v>
      </c>
      <c r="B45" s="24">
        <f>2537977.14</f>
        <v>2537977.14</v>
      </c>
      <c r="C45" s="24">
        <f>2537977.14</f>
        <v>2537977.14</v>
      </c>
      <c r="D45" s="24">
        <f>2537977.14</f>
        <v>2537977.14</v>
      </c>
      <c r="E45" s="24">
        <f>0</f>
        <v>0</v>
      </c>
      <c r="F45" s="24">
        <f>0</f>
        <v>0</v>
      </c>
      <c r="G45" s="24">
        <f>2537977.14</f>
        <v>2537977.14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5">
      <c r="A46" s="18" t="s">
        <v>34</v>
      </c>
      <c r="B46" s="24">
        <f>7235289334.54</f>
        <v>7235289334.54</v>
      </c>
      <c r="C46" s="24">
        <f>7235289334.54</f>
        <v>7235289334.54</v>
      </c>
      <c r="D46" s="24">
        <f>1945.23</f>
        <v>1945.23</v>
      </c>
      <c r="E46" s="24">
        <f>612.23</f>
        <v>612.23</v>
      </c>
      <c r="F46" s="24">
        <f>263</f>
        <v>263</v>
      </c>
      <c r="G46" s="24">
        <f>1070</f>
        <v>1070</v>
      </c>
      <c r="H46" s="24">
        <f>0</f>
        <v>0</v>
      </c>
      <c r="I46" s="24">
        <f>6343952.44</f>
        <v>6343952.4400000004</v>
      </c>
      <c r="J46" s="24">
        <f>7228728051.8</f>
        <v>7228728051.8000002</v>
      </c>
      <c r="K46" s="24">
        <f>88731.7</f>
        <v>88731.7</v>
      </c>
      <c r="L46" s="24">
        <f>30308.79</f>
        <v>30308.79</v>
      </c>
      <c r="M46" s="24">
        <f>2061.46</f>
        <v>2061.46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5">
      <c r="A47" s="18" t="s">
        <v>35</v>
      </c>
      <c r="B47" s="24">
        <f>1232828894.48</f>
        <v>1232828894.48</v>
      </c>
      <c r="C47" s="24">
        <f>1232828894.48</f>
        <v>1232828894.48</v>
      </c>
      <c r="D47" s="24">
        <f>21075.92</f>
        <v>21075.919999999998</v>
      </c>
      <c r="E47" s="24">
        <f>19338.53</f>
        <v>19338.53</v>
      </c>
      <c r="F47" s="24">
        <f>0</f>
        <v>0</v>
      </c>
      <c r="G47" s="24">
        <f>1737.39</f>
        <v>1737.39</v>
      </c>
      <c r="H47" s="24">
        <f>0</f>
        <v>0</v>
      </c>
      <c r="I47" s="24">
        <f>0</f>
        <v>0</v>
      </c>
      <c r="J47" s="24">
        <f>1232776573.57</f>
        <v>1232776573.5699999</v>
      </c>
      <c r="K47" s="24">
        <f>4907.6</f>
        <v>4907.6000000000004</v>
      </c>
      <c r="L47" s="24">
        <f>24337.39</f>
        <v>24337.39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5">
      <c r="A48" s="25" t="s">
        <v>43</v>
      </c>
      <c r="B48" s="23">
        <f>741239676.92</f>
        <v>741239676.91999996</v>
      </c>
      <c r="C48" s="23">
        <f>740304459.67</f>
        <v>740304459.66999996</v>
      </c>
      <c r="D48" s="23">
        <f>31307993.54</f>
        <v>31307993.539999999</v>
      </c>
      <c r="E48" s="23">
        <f>5835690.4</f>
        <v>5835690.4000000004</v>
      </c>
      <c r="F48" s="23">
        <f>7654148.1</f>
        <v>7654148.0999999996</v>
      </c>
      <c r="G48" s="23">
        <f>17284506.05</f>
        <v>17284506.050000001</v>
      </c>
      <c r="H48" s="23">
        <f>533648.99</f>
        <v>533648.99</v>
      </c>
      <c r="I48" s="23">
        <f>0</f>
        <v>0</v>
      </c>
      <c r="J48" s="23">
        <f>3946544.78</f>
        <v>3946544.78</v>
      </c>
      <c r="K48" s="23">
        <f>2123515.33</f>
        <v>2123515.33</v>
      </c>
      <c r="L48" s="23">
        <f>209458815.13</f>
        <v>209458815.13</v>
      </c>
      <c r="M48" s="23">
        <f>489084794.15</f>
        <v>489084794.14999998</v>
      </c>
      <c r="N48" s="23">
        <f>4382796.74</f>
        <v>4382796.74</v>
      </c>
      <c r="O48" s="23">
        <f>935217.25</f>
        <v>935217.25</v>
      </c>
      <c r="P48" s="23">
        <f>224898.2</f>
        <v>224898.2</v>
      </c>
      <c r="Q48" s="23">
        <f>710319.05</f>
        <v>710319.05</v>
      </c>
    </row>
    <row r="49" spans="1:17" ht="25.5" customHeight="1" x14ac:dyDescent="0.25">
      <c r="A49" s="18" t="s">
        <v>36</v>
      </c>
      <c r="B49" s="24">
        <f>140404936.16</f>
        <v>140404936.16</v>
      </c>
      <c r="C49" s="24">
        <f>140391880.96</f>
        <v>140391880.96000001</v>
      </c>
      <c r="D49" s="24">
        <f>2777220.24</f>
        <v>2777220.24</v>
      </c>
      <c r="E49" s="24">
        <f>20320.82</f>
        <v>20320.82</v>
      </c>
      <c r="F49" s="24">
        <f>157870.87</f>
        <v>157870.87</v>
      </c>
      <c r="G49" s="24">
        <f>2086552.84</f>
        <v>2086552.84</v>
      </c>
      <c r="H49" s="24">
        <f>512475.71</f>
        <v>512475.71</v>
      </c>
      <c r="I49" s="24">
        <f>0</f>
        <v>0</v>
      </c>
      <c r="J49" s="24">
        <f>943910.63</f>
        <v>943910.63</v>
      </c>
      <c r="K49" s="24">
        <f>885629.75</f>
        <v>885629.75</v>
      </c>
      <c r="L49" s="24">
        <f>68705243.71</f>
        <v>68705243.709999993</v>
      </c>
      <c r="M49" s="24">
        <f>66234905.15</f>
        <v>66234905.149999999</v>
      </c>
      <c r="N49" s="24">
        <f>844971.48</f>
        <v>844971.48</v>
      </c>
      <c r="O49" s="24">
        <f>13055.2</f>
        <v>13055.2</v>
      </c>
      <c r="P49" s="24">
        <f>13055.2</f>
        <v>13055.2</v>
      </c>
      <c r="Q49" s="24">
        <f>0</f>
        <v>0</v>
      </c>
    </row>
    <row r="50" spans="1:17" ht="25.5" customHeight="1" x14ac:dyDescent="0.25">
      <c r="A50" s="18" t="s">
        <v>37</v>
      </c>
      <c r="B50" s="24">
        <f>600834740.76</f>
        <v>600834740.75999999</v>
      </c>
      <c r="C50" s="24">
        <f>599912578.71</f>
        <v>599912578.71000004</v>
      </c>
      <c r="D50" s="24">
        <f>28530773.3</f>
        <v>28530773.300000001</v>
      </c>
      <c r="E50" s="24">
        <f>5815369.58</f>
        <v>5815369.5800000001</v>
      </c>
      <c r="F50" s="24">
        <f>7496277.23</f>
        <v>7496277.2300000004</v>
      </c>
      <c r="G50" s="24">
        <f>15197953.21</f>
        <v>15197953.210000001</v>
      </c>
      <c r="H50" s="24">
        <f>21173.28</f>
        <v>21173.279999999999</v>
      </c>
      <c r="I50" s="24">
        <f>0</f>
        <v>0</v>
      </c>
      <c r="J50" s="24">
        <f>3002634.15</f>
        <v>3002634.15</v>
      </c>
      <c r="K50" s="24">
        <f>1237885.58</f>
        <v>1237885.58</v>
      </c>
      <c r="L50" s="24">
        <f>140753571.42</f>
        <v>140753571.41999999</v>
      </c>
      <c r="M50" s="24">
        <f>422849889</f>
        <v>422849889</v>
      </c>
      <c r="N50" s="24">
        <f>3537825.26</f>
        <v>3537825.26</v>
      </c>
      <c r="O50" s="24">
        <f>922162.05</f>
        <v>922162.05</v>
      </c>
      <c r="P50" s="24">
        <f>211843</f>
        <v>211843</v>
      </c>
      <c r="Q50" s="24">
        <f>710319.05</f>
        <v>710319.05</v>
      </c>
    </row>
    <row r="51" spans="1:17" ht="30" customHeight="1" x14ac:dyDescent="0.25">
      <c r="A51" s="25" t="s">
        <v>44</v>
      </c>
      <c r="B51" s="23">
        <f>635189506.88</f>
        <v>635189506.88</v>
      </c>
      <c r="C51" s="23">
        <f>634975664.13</f>
        <v>634975664.13</v>
      </c>
      <c r="D51" s="23">
        <f>198678002.11</f>
        <v>198678002.11000001</v>
      </c>
      <c r="E51" s="23">
        <f>27630353.89</f>
        <v>27630353.890000001</v>
      </c>
      <c r="F51" s="23">
        <f>2128142.01</f>
        <v>2128142.0099999998</v>
      </c>
      <c r="G51" s="23">
        <f>164477376.52</f>
        <v>164477376.52000001</v>
      </c>
      <c r="H51" s="23">
        <f>4442129.69</f>
        <v>4442129.6900000004</v>
      </c>
      <c r="I51" s="23">
        <f>0</f>
        <v>0</v>
      </c>
      <c r="J51" s="23">
        <f>312093.18</f>
        <v>312093.18</v>
      </c>
      <c r="K51" s="23">
        <f>7595052.6</f>
        <v>7595052.5999999996</v>
      </c>
      <c r="L51" s="23">
        <f>351203258.2</f>
        <v>351203258.19999999</v>
      </c>
      <c r="M51" s="23">
        <f>74370151.83</f>
        <v>74370151.829999998</v>
      </c>
      <c r="N51" s="23">
        <f>2817106.21</f>
        <v>2817106.21</v>
      </c>
      <c r="O51" s="23">
        <f>213842.75</f>
        <v>213842.75</v>
      </c>
      <c r="P51" s="23">
        <f>213198.72</f>
        <v>213198.72</v>
      </c>
      <c r="Q51" s="23">
        <f>644.03</f>
        <v>644.03</v>
      </c>
    </row>
    <row r="52" spans="1:17" ht="31.5" customHeight="1" x14ac:dyDescent="0.25">
      <c r="A52" s="18" t="s">
        <v>38</v>
      </c>
      <c r="B52" s="24">
        <f>72577737.47</f>
        <v>72577737.469999999</v>
      </c>
      <c r="C52" s="24">
        <f>72364994.72</f>
        <v>72364994.719999999</v>
      </c>
      <c r="D52" s="24">
        <f>30625885.56</f>
        <v>30625885.559999999</v>
      </c>
      <c r="E52" s="24">
        <f>1870720.33</f>
        <v>1870720.33</v>
      </c>
      <c r="F52" s="24">
        <f>107661.48</f>
        <v>107661.48</v>
      </c>
      <c r="G52" s="24">
        <f>27387785.32</f>
        <v>27387785.32</v>
      </c>
      <c r="H52" s="24">
        <f>1259718.43</f>
        <v>1259718.43</v>
      </c>
      <c r="I52" s="24">
        <f>0</f>
        <v>0</v>
      </c>
      <c r="J52" s="24">
        <f>109732.71</f>
        <v>109732.71</v>
      </c>
      <c r="K52" s="24">
        <f>172828.09</f>
        <v>172828.09</v>
      </c>
      <c r="L52" s="24">
        <f>23989405.65</f>
        <v>23989405.649999999</v>
      </c>
      <c r="M52" s="24">
        <f>16325852.19</f>
        <v>16325852.189999999</v>
      </c>
      <c r="N52" s="24">
        <f>1141290.52</f>
        <v>1141290.52</v>
      </c>
      <c r="O52" s="24">
        <f>212742.75</f>
        <v>212742.75</v>
      </c>
      <c r="P52" s="24">
        <f>212598.72</f>
        <v>212598.72</v>
      </c>
      <c r="Q52" s="24">
        <f>144.03</f>
        <v>144.03</v>
      </c>
    </row>
    <row r="53" spans="1:17" ht="35.25" customHeight="1" x14ac:dyDescent="0.25">
      <c r="A53" s="18" t="s">
        <v>80</v>
      </c>
      <c r="B53" s="24">
        <f>7732217.33</f>
        <v>7732217.3300000001</v>
      </c>
      <c r="C53" s="24">
        <f>7732217.33</f>
        <v>7732217.3300000001</v>
      </c>
      <c r="D53" s="24">
        <f>6746057.2</f>
        <v>6746057.2000000002</v>
      </c>
      <c r="E53" s="24">
        <f>6088172.51</f>
        <v>6088172.5099999998</v>
      </c>
      <c r="F53" s="24">
        <f>0</f>
        <v>0</v>
      </c>
      <c r="G53" s="24">
        <f>479151.17</f>
        <v>479151.17</v>
      </c>
      <c r="H53" s="24">
        <f>178733.52</f>
        <v>178733.52</v>
      </c>
      <c r="I53" s="24">
        <f>0</f>
        <v>0</v>
      </c>
      <c r="J53" s="24">
        <f>0</f>
        <v>0</v>
      </c>
      <c r="K53" s="24">
        <f>258.27</f>
        <v>258.27</v>
      </c>
      <c r="L53" s="24">
        <f>318284.7</f>
        <v>318284.7</v>
      </c>
      <c r="M53" s="24">
        <f>666608.65</f>
        <v>666608.65</v>
      </c>
      <c r="N53" s="24">
        <f>1008.51</f>
        <v>1008.51</v>
      </c>
      <c r="O53" s="24">
        <f>0</f>
        <v>0</v>
      </c>
      <c r="P53" s="24">
        <f>0</f>
        <v>0</v>
      </c>
      <c r="Q53" s="24">
        <f>0</f>
        <v>0</v>
      </c>
    </row>
    <row r="54" spans="1:17" ht="31.5" customHeight="1" x14ac:dyDescent="0.25">
      <c r="A54" s="18" t="s">
        <v>39</v>
      </c>
      <c r="B54" s="24">
        <f>554879552.08</f>
        <v>554879552.08000004</v>
      </c>
      <c r="C54" s="24">
        <f>554878452.08</f>
        <v>554878452.08000004</v>
      </c>
      <c r="D54" s="24">
        <f>161306059.35</f>
        <v>161306059.34999999</v>
      </c>
      <c r="E54" s="24">
        <f>19671461.05</f>
        <v>19671461.050000001</v>
      </c>
      <c r="F54" s="24">
        <f>2020480.53</f>
        <v>2020480.53</v>
      </c>
      <c r="G54" s="24">
        <f>136610440.03</f>
        <v>136610440.03</v>
      </c>
      <c r="H54" s="24">
        <f>3003677.74</f>
        <v>3003677.74</v>
      </c>
      <c r="I54" s="24">
        <f>0</f>
        <v>0</v>
      </c>
      <c r="J54" s="24">
        <f>202360.47</f>
        <v>202360.47</v>
      </c>
      <c r="K54" s="24">
        <f>7421966.24</f>
        <v>7421966.2400000002</v>
      </c>
      <c r="L54" s="24">
        <f>326895567.85</f>
        <v>326895567.85000002</v>
      </c>
      <c r="M54" s="24">
        <f>57377690.99</f>
        <v>57377690.990000002</v>
      </c>
      <c r="N54" s="24">
        <f>1674807.18</f>
        <v>1674807.18</v>
      </c>
      <c r="O54" s="24">
        <f>1100</f>
        <v>1100</v>
      </c>
      <c r="P54" s="24">
        <f>600</f>
        <v>600</v>
      </c>
      <c r="Q54" s="24">
        <f>500</f>
        <v>500</v>
      </c>
    </row>
    <row r="63" spans="1:17" ht="66" customHeight="1" x14ac:dyDescent="0.25">
      <c r="A63" s="47" t="str">
        <f>CONCATENATE("Informacja z wykonania budżetów powiatów za   ",$C$90," ",$B$91," roku    ",$B$93,"")</f>
        <v xml:space="preserve">Informacja z wykonania budżetów powiatów za   III Kwartały 2022 roku    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7" ht="13.5" customHeight="1" x14ac:dyDescent="0.25">
      <c r="B64" s="48" t="s">
        <v>2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6" spans="2:12" ht="13.5" customHeight="1" x14ac:dyDescent="0.25">
      <c r="B66" s="76" t="s">
        <v>0</v>
      </c>
      <c r="C66" s="77"/>
      <c r="D66" s="77"/>
      <c r="E66" s="78"/>
      <c r="F66" s="56" t="s">
        <v>68</v>
      </c>
      <c r="G66" s="33" t="s">
        <v>74</v>
      </c>
      <c r="H66" s="60"/>
      <c r="I66" s="60"/>
      <c r="J66" s="60"/>
      <c r="K66" s="60"/>
      <c r="L66" s="61"/>
    </row>
    <row r="67" spans="2:12" ht="13.5" customHeight="1" x14ac:dyDescent="0.25">
      <c r="B67" s="79"/>
      <c r="C67" s="80"/>
      <c r="D67" s="80"/>
      <c r="E67" s="81"/>
      <c r="F67" s="57"/>
      <c r="G67" s="59" t="s">
        <v>69</v>
      </c>
      <c r="H67" s="32" t="s">
        <v>66</v>
      </c>
      <c r="I67" s="32" t="s">
        <v>67</v>
      </c>
      <c r="J67" s="32" t="s">
        <v>70</v>
      </c>
      <c r="K67" s="32" t="s">
        <v>71</v>
      </c>
      <c r="L67" s="36" t="s">
        <v>72</v>
      </c>
    </row>
    <row r="68" spans="2:12" ht="13.5" customHeight="1" x14ac:dyDescent="0.25">
      <c r="B68" s="79"/>
      <c r="C68" s="80"/>
      <c r="D68" s="80"/>
      <c r="E68" s="81"/>
      <c r="F68" s="57"/>
      <c r="G68" s="59"/>
      <c r="H68" s="32"/>
      <c r="I68" s="32"/>
      <c r="J68" s="32"/>
      <c r="K68" s="32"/>
      <c r="L68" s="36"/>
    </row>
    <row r="69" spans="2:12" ht="11.25" customHeight="1" x14ac:dyDescent="0.25">
      <c r="B69" s="79"/>
      <c r="C69" s="80"/>
      <c r="D69" s="80"/>
      <c r="E69" s="81"/>
      <c r="F69" s="57"/>
      <c r="G69" s="59"/>
      <c r="H69" s="32"/>
      <c r="I69" s="32"/>
      <c r="J69" s="32"/>
      <c r="K69" s="32"/>
      <c r="L69" s="36"/>
    </row>
    <row r="70" spans="2:12" ht="11.25" customHeight="1" x14ac:dyDescent="0.25">
      <c r="B70" s="82"/>
      <c r="C70" s="83"/>
      <c r="D70" s="83"/>
      <c r="E70" s="84"/>
      <c r="F70" s="58"/>
      <c r="G70" s="59"/>
      <c r="H70" s="32"/>
      <c r="I70" s="32"/>
      <c r="J70" s="32"/>
      <c r="K70" s="32"/>
      <c r="L70" s="36"/>
    </row>
    <row r="71" spans="2:12" ht="11.25" customHeight="1" x14ac:dyDescent="0.25">
      <c r="B71" s="32">
        <v>1</v>
      </c>
      <c r="C71" s="32"/>
      <c r="D71" s="32"/>
      <c r="E71" s="32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5">
      <c r="B72" s="32"/>
      <c r="C72" s="32"/>
      <c r="D72" s="32"/>
      <c r="E72" s="32"/>
      <c r="F72" s="33" t="s">
        <v>76</v>
      </c>
      <c r="G72" s="34"/>
      <c r="H72" s="34"/>
      <c r="I72" s="34"/>
      <c r="J72" s="34"/>
      <c r="K72" s="34"/>
      <c r="L72" s="35"/>
    </row>
    <row r="73" spans="2:12" ht="33.75" customHeight="1" x14ac:dyDescent="0.25">
      <c r="B73" s="53" t="s">
        <v>53</v>
      </c>
      <c r="C73" s="54"/>
      <c r="D73" s="54"/>
      <c r="E73" s="55"/>
      <c r="F73" s="26">
        <f>545880029.47</f>
        <v>545880029.47000003</v>
      </c>
      <c r="G73" s="26">
        <f>300122429.22</f>
        <v>300122429.22000003</v>
      </c>
      <c r="H73" s="26">
        <f>13603155.14</f>
        <v>13603155.140000001</v>
      </c>
      <c r="I73" s="26">
        <f>33649932.5</f>
        <v>33649932.5</v>
      </c>
      <c r="J73" s="26">
        <f>247453848.2</f>
        <v>247453848.19999999</v>
      </c>
      <c r="K73" s="26">
        <f>5415493.38</f>
        <v>5415493.3799999999</v>
      </c>
      <c r="L73" s="26">
        <f>245757600.25</f>
        <v>245757600.25</v>
      </c>
    </row>
    <row r="74" spans="2:12" ht="33.75" customHeight="1" x14ac:dyDescent="0.25">
      <c r="B74" s="53" t="s">
        <v>54</v>
      </c>
      <c r="C74" s="54"/>
      <c r="D74" s="54"/>
      <c r="E74" s="55"/>
      <c r="F74" s="26">
        <f>0</f>
        <v>0</v>
      </c>
      <c r="G74" s="26">
        <f>0</f>
        <v>0</v>
      </c>
      <c r="H74" s="26">
        <f>0</f>
        <v>0</v>
      </c>
      <c r="I74" s="26">
        <f>0</f>
        <v>0</v>
      </c>
      <c r="J74" s="26">
        <f>0</f>
        <v>0</v>
      </c>
      <c r="K74" s="26">
        <f>0</f>
        <v>0</v>
      </c>
      <c r="L74" s="26">
        <f>0</f>
        <v>0</v>
      </c>
    </row>
    <row r="75" spans="2:12" ht="33.75" customHeight="1" x14ac:dyDescent="0.25">
      <c r="B75" s="53" t="s">
        <v>55</v>
      </c>
      <c r="C75" s="54"/>
      <c r="D75" s="54"/>
      <c r="E75" s="55"/>
      <c r="F75" s="26">
        <f>12582144.95</f>
        <v>12582144.949999999</v>
      </c>
      <c r="G75" s="26">
        <f>7106672</f>
        <v>7106672</v>
      </c>
      <c r="H75" s="26">
        <f>0</f>
        <v>0</v>
      </c>
      <c r="I75" s="26">
        <f>0</f>
        <v>0</v>
      </c>
      <c r="J75" s="26">
        <f>7106672</f>
        <v>7106672</v>
      </c>
      <c r="K75" s="26">
        <f>0</f>
        <v>0</v>
      </c>
      <c r="L75" s="26">
        <f>5475472.95</f>
        <v>5475472.9500000002</v>
      </c>
    </row>
    <row r="76" spans="2:12" ht="22.5" customHeight="1" x14ac:dyDescent="0.25">
      <c r="B76" s="53" t="s">
        <v>56</v>
      </c>
      <c r="C76" s="54"/>
      <c r="D76" s="54"/>
      <c r="E76" s="55"/>
      <c r="F76" s="26">
        <f>44977728.79</f>
        <v>44977728.789999999</v>
      </c>
      <c r="G76" s="26">
        <f>18195762.94</f>
        <v>18195762.940000001</v>
      </c>
      <c r="H76" s="26">
        <f>0</f>
        <v>0</v>
      </c>
      <c r="I76" s="26">
        <f>0</f>
        <v>0</v>
      </c>
      <c r="J76" s="26">
        <f>18195762.94</f>
        <v>18195762.940000001</v>
      </c>
      <c r="K76" s="26">
        <f>0</f>
        <v>0</v>
      </c>
      <c r="L76" s="26">
        <f>26781965.85</f>
        <v>26781965.850000001</v>
      </c>
    </row>
    <row r="77" spans="2:12" ht="33.75" customHeight="1" x14ac:dyDescent="0.25">
      <c r="B77" s="53" t="s">
        <v>57</v>
      </c>
      <c r="C77" s="54"/>
      <c r="D77" s="54"/>
      <c r="E77" s="55"/>
      <c r="F77" s="26">
        <f>12585858.34</f>
        <v>12585858.34</v>
      </c>
      <c r="G77" s="26">
        <f>12041792.31</f>
        <v>12041792.310000001</v>
      </c>
      <c r="H77" s="26">
        <f>0</f>
        <v>0</v>
      </c>
      <c r="I77" s="26">
        <f>0</f>
        <v>0</v>
      </c>
      <c r="J77" s="26">
        <f>12041792.31</f>
        <v>12041792.310000001</v>
      </c>
      <c r="K77" s="26">
        <f>0</f>
        <v>0</v>
      </c>
      <c r="L77" s="26">
        <f>544066.03</f>
        <v>544066.03</v>
      </c>
    </row>
    <row r="78" spans="2:12" ht="33.75" customHeight="1" x14ac:dyDescent="0.25">
      <c r="B78" s="53" t="s">
        <v>58</v>
      </c>
      <c r="C78" s="54"/>
      <c r="D78" s="54"/>
      <c r="E78" s="55"/>
      <c r="F78" s="26">
        <f>1943570.93</f>
        <v>1943570.93</v>
      </c>
      <c r="G78" s="26">
        <f>1480416.51</f>
        <v>1480416.51</v>
      </c>
      <c r="H78" s="26">
        <f>0</f>
        <v>0</v>
      </c>
      <c r="I78" s="26">
        <f>0</f>
        <v>0</v>
      </c>
      <c r="J78" s="26">
        <f>1480416.51</f>
        <v>1480416.51</v>
      </c>
      <c r="K78" s="26">
        <f>0</f>
        <v>0</v>
      </c>
      <c r="L78" s="26">
        <f>463154.42</f>
        <v>463154.42</v>
      </c>
    </row>
    <row r="79" spans="2:12" ht="22.5" customHeight="1" x14ac:dyDescent="0.25">
      <c r="B79" s="53" t="s">
        <v>59</v>
      </c>
      <c r="C79" s="54"/>
      <c r="D79" s="54"/>
      <c r="E79" s="55"/>
      <c r="F79" s="26">
        <f>139380</f>
        <v>139380</v>
      </c>
      <c r="G79" s="26">
        <f>139380</f>
        <v>139380</v>
      </c>
      <c r="H79" s="26">
        <f>0</f>
        <v>0</v>
      </c>
      <c r="I79" s="26">
        <f>0</f>
        <v>0</v>
      </c>
      <c r="J79" s="26">
        <f>139380</f>
        <v>139380</v>
      </c>
      <c r="K79" s="26">
        <f>0</f>
        <v>0</v>
      </c>
      <c r="L79" s="26">
        <f>0</f>
        <v>0</v>
      </c>
    </row>
    <row r="82" spans="1:13" ht="75" customHeight="1" x14ac:dyDescent="0.25">
      <c r="A82" s="47" t="str">
        <f>CONCATENATE("Informacja z wykonania budżetów powiatów za   ",$C$90," ",$B$91," roku    ",$B$93,"")</f>
        <v xml:space="preserve">Informacja z wykonania budżetów powiatów za   III Kwartały 2022 roku    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3.5" customHeight="1" x14ac:dyDescent="0.25">
      <c r="B83" s="4"/>
    </row>
    <row r="84" spans="1:13" ht="13.5" customHeight="1" x14ac:dyDescent="0.25">
      <c r="B84" s="5"/>
      <c r="C84" s="33"/>
      <c r="D84" s="60"/>
      <c r="E84" s="60"/>
      <c r="F84" s="61"/>
      <c r="G84" s="33" t="s">
        <v>3</v>
      </c>
      <c r="H84" s="61"/>
      <c r="I84" s="33" t="s">
        <v>4</v>
      </c>
      <c r="J84" s="61"/>
      <c r="K84" s="5"/>
    </row>
    <row r="85" spans="1:13" ht="13.5" customHeight="1" x14ac:dyDescent="0.25">
      <c r="B85" s="6"/>
      <c r="C85" s="66" t="s">
        <v>5</v>
      </c>
      <c r="D85" s="67"/>
      <c r="E85" s="67"/>
      <c r="F85" s="68"/>
      <c r="G85" s="62">
        <f>219</f>
        <v>219</v>
      </c>
      <c r="H85" s="63"/>
      <c r="I85" s="64">
        <f>1562298993.9</f>
        <v>1562298993.9000001</v>
      </c>
      <c r="J85" s="65"/>
      <c r="K85" s="7"/>
    </row>
    <row r="86" spans="1:13" ht="13.5" customHeight="1" x14ac:dyDescent="0.25">
      <c r="B86" s="6"/>
      <c r="C86" s="69" t="s">
        <v>6</v>
      </c>
      <c r="D86" s="70"/>
      <c r="E86" s="70"/>
      <c r="F86" s="71"/>
      <c r="G86" s="72">
        <f>95</f>
        <v>95</v>
      </c>
      <c r="H86" s="73"/>
      <c r="I86" s="74">
        <f>-334654734.52</f>
        <v>-334654734.51999998</v>
      </c>
      <c r="J86" s="75"/>
      <c r="K86" s="7"/>
    </row>
    <row r="87" spans="1:13" ht="13.5" customHeight="1" x14ac:dyDescent="0.25">
      <c r="B87" s="6"/>
      <c r="C87" s="66" t="s">
        <v>7</v>
      </c>
      <c r="D87" s="67"/>
      <c r="E87" s="67"/>
      <c r="F87" s="68"/>
      <c r="G87" s="62">
        <f>0</f>
        <v>0</v>
      </c>
      <c r="H87" s="63"/>
      <c r="I87" s="64">
        <f>0</f>
        <v>0</v>
      </c>
      <c r="J87" s="65"/>
      <c r="K87" s="7"/>
    </row>
    <row r="90" spans="1:13" ht="13.5" customHeight="1" x14ac:dyDescent="0.25">
      <c r="A90" s="8" t="s">
        <v>8</v>
      </c>
      <c r="B90" s="8">
        <f>3</f>
        <v>3</v>
      </c>
      <c r="C90" s="8" t="str">
        <f>IF(B90=1,"I Kwartał",IF(B90=2,"II Kwartały",IF(B90=3,"III Kwartały",IF(B90=4,"IV Kwartały","-"))))</f>
        <v>III Kwartały</v>
      </c>
    </row>
    <row r="91" spans="1:13" ht="13.5" customHeight="1" x14ac:dyDescent="0.25">
      <c r="A91" s="8" t="s">
        <v>9</v>
      </c>
      <c r="B91" s="8">
        <f>2022</f>
        <v>2022</v>
      </c>
      <c r="C91" s="9"/>
    </row>
    <row r="92" spans="1:13" ht="13.5" customHeight="1" x14ac:dyDescent="0.25">
      <c r="A92" s="8" t="s">
        <v>10</v>
      </c>
      <c r="B92" s="10" t="str">
        <f>"Nov 18 2022 12:00AM"</f>
        <v>Nov 18 2022 12:00AM</v>
      </c>
      <c r="C92" s="9"/>
    </row>
    <row r="93" spans="1:13" ht="13.5" customHeight="1" x14ac:dyDescent="0.25">
      <c r="A93" s="14" t="s">
        <v>75</v>
      </c>
      <c r="B93" s="10" t="str">
        <f>""</f>
        <v/>
      </c>
    </row>
  </sheetData>
  <mergeCells count="79"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7:E77"/>
    <mergeCell ref="B74:E74"/>
    <mergeCell ref="M32:M35"/>
    <mergeCell ref="B73:E73"/>
    <mergeCell ref="F66:F70"/>
    <mergeCell ref="G67:G70"/>
    <mergeCell ref="G66:L66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Q7:Q10"/>
    <mergeCell ref="C31:N31"/>
    <mergeCell ref="L7:L10"/>
    <mergeCell ref="M7:M10"/>
    <mergeCell ref="N7:N10"/>
    <mergeCell ref="P7:P10"/>
    <mergeCell ref="A27:M27"/>
    <mergeCell ref="O31:Q31"/>
    <mergeCell ref="A29:M29"/>
    <mergeCell ref="G7:G10"/>
    <mergeCell ref="F7:F10"/>
    <mergeCell ref="I7:I10"/>
    <mergeCell ref="J7:J10"/>
    <mergeCell ref="A31:A35"/>
    <mergeCell ref="C32:C35"/>
    <mergeCell ref="E32:E35"/>
    <mergeCell ref="B31:B35"/>
    <mergeCell ref="K67:K70"/>
    <mergeCell ref="H67:H70"/>
    <mergeCell ref="I67:I70"/>
    <mergeCell ref="J67:J70"/>
    <mergeCell ref="B12:Q12"/>
    <mergeCell ref="B37:Q37"/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2022-11-29T15:17:40Z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2022-11-29T16:17:36.1296193+01:00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GRN-e6428df3-4ec3-466c-9427-bee5ea23cb17</vt:lpwstr>
  </property>
  <property fmtid="{D5CDD505-2E9C-101B-9397-08002B2CF9AE}" pid="7" name="MFHash">
    <vt:lpwstr>KmzQzVVKO+uPYMLKvxP6PCDxUiboBUhBwJh96G93a2Q=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