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.czerkawska\Desktop\RFRD 2024 A\Listy\zmiana nr 7\"/>
    </mc:Choice>
  </mc:AlternateContent>
  <xr:revisionPtr revIDLastSave="0" documentId="13_ncr:1_{6E96AE8B-66A0-4DF7-8E73-0A44E7887351}" xr6:coauthVersionLast="47" xr6:coauthVersionMax="47" xr10:uidLastSave="{00000000-0000-0000-0000-000000000000}"/>
  <bookViews>
    <workbookView xWindow="720" yWindow="1500" windowWidth="16350" windowHeight="13245" activeTab="2" xr2:uid="{00000000-000D-0000-FFFF-FFFF00000000}"/>
  </bookViews>
  <sheets>
    <sheet name="TERC - &quot;nazwa woj&quot;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podst'!$A$2:$AD$141</definedName>
    <definedName name="_xlnm._FilterDatabase" localSheetId="1" hidden="1">'pow podst'!$A$2:$AC$49</definedName>
    <definedName name="_xlnm.Print_Area" localSheetId="2">'gm podst'!$A$1:$Z$141</definedName>
    <definedName name="_xlnm.Print_Area" localSheetId="4">'gm rez'!$A$1:$Z$49</definedName>
    <definedName name="_xlnm.Print_Area" localSheetId="1">'pow podst'!$A$1:$Y$54</definedName>
    <definedName name="_xlnm.Print_Area" localSheetId="3">'pow rez'!$A$1:$Y$13</definedName>
    <definedName name="_xlnm.Print_Area" localSheetId="0">'TERC - "nazwa woj"'!$A$1:$Q$36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4" i="5" l="1"/>
  <c r="L104" i="5"/>
  <c r="L100" i="5"/>
  <c r="L101" i="5"/>
  <c r="L96" i="5"/>
  <c r="L87" i="5"/>
  <c r="L80" i="5"/>
  <c r="M61" i="5"/>
  <c r="L52" i="5"/>
  <c r="M33" i="5" l="1"/>
  <c r="L33" i="5"/>
  <c r="L24" i="5"/>
  <c r="K10" i="3" l="1"/>
  <c r="M132" i="5"/>
  <c r="AC42" i="3"/>
  <c r="AC43" i="3"/>
  <c r="AC44" i="3"/>
  <c r="AC45" i="3"/>
  <c r="AB42" i="3"/>
  <c r="AB43" i="3"/>
  <c r="AB44" i="3"/>
  <c r="AB45" i="3"/>
  <c r="AA42" i="3"/>
  <c r="AA43" i="3"/>
  <c r="AA44" i="3"/>
  <c r="AA45" i="3"/>
  <c r="Z42" i="3"/>
  <c r="Z43" i="3"/>
  <c r="Z44" i="3"/>
  <c r="Z45" i="3"/>
  <c r="L57" i="5" l="1"/>
  <c r="L58" i="5"/>
  <c r="L55" i="5"/>
  <c r="L56" i="5"/>
  <c r="M35" i="5"/>
  <c r="AC40" i="3" l="1"/>
  <c r="AA40" i="3"/>
  <c r="AB40" i="3" s="1"/>
  <c r="K41" i="3"/>
  <c r="S41" i="3" s="1"/>
  <c r="K31" i="3"/>
  <c r="K32" i="3"/>
  <c r="K28" i="3"/>
  <c r="K29" i="3"/>
  <c r="K25" i="3"/>
  <c r="K21" i="3"/>
  <c r="L21" i="3" s="1"/>
  <c r="AD128" i="5"/>
  <c r="AD130" i="5"/>
  <c r="AD131" i="5"/>
  <c r="AD132" i="5"/>
  <c r="AC131" i="5"/>
  <c r="AB128" i="5"/>
  <c r="AC128" i="5" s="1"/>
  <c r="AB130" i="5"/>
  <c r="AC130" i="5" s="1"/>
  <c r="AB131" i="5"/>
  <c r="AB132" i="5"/>
  <c r="AC132" i="5" s="1"/>
  <c r="AA130" i="5"/>
  <c r="AA131" i="5"/>
  <c r="AA132" i="5"/>
  <c r="L62" i="5"/>
  <c r="L61" i="5"/>
  <c r="L60" i="5"/>
  <c r="L59" i="5"/>
  <c r="T68" i="5"/>
  <c r="M68" i="5"/>
  <c r="L68" i="5"/>
  <c r="L120" i="5"/>
  <c r="Z41" i="3" l="1"/>
  <c r="AA41" i="3"/>
  <c r="AB41" i="3" s="1"/>
  <c r="L41" i="3"/>
  <c r="AC41" i="3" s="1"/>
  <c r="M24" i="5"/>
  <c r="M42" i="5"/>
  <c r="T56" i="5"/>
  <c r="M101" i="5"/>
  <c r="L26" i="3"/>
  <c r="M56" i="5" l="1"/>
  <c r="M8" i="5" l="1"/>
  <c r="M29" i="5" l="1"/>
  <c r="M23" i="5"/>
  <c r="M74" i="5"/>
  <c r="M87" i="5"/>
  <c r="M48" i="5"/>
  <c r="L25" i="3"/>
  <c r="M80" i="5"/>
  <c r="T10" i="3" l="1"/>
  <c r="L10" i="3"/>
  <c r="T27" i="3"/>
  <c r="L27" i="3"/>
  <c r="U96" i="5"/>
  <c r="M96" i="5"/>
  <c r="M95" i="5"/>
  <c r="AD125" i="5" l="1"/>
  <c r="AB125" i="5"/>
  <c r="AC125" i="5" s="1"/>
  <c r="AA125" i="5"/>
  <c r="AA128" i="5"/>
  <c r="L22" i="5" l="1"/>
  <c r="T22" i="5" s="1"/>
  <c r="L25" i="5"/>
  <c r="T25" i="5" s="1"/>
  <c r="L84" i="5"/>
  <c r="T84" i="5" s="1"/>
  <c r="M34" i="5"/>
  <c r="M32" i="5"/>
  <c r="L54" i="5"/>
  <c r="T54" i="5" s="1"/>
  <c r="L66" i="5"/>
  <c r="T66" i="5" s="1"/>
  <c r="L129" i="5"/>
  <c r="L126" i="5"/>
  <c r="L127" i="5"/>
  <c r="L124" i="5"/>
  <c r="L122" i="5"/>
  <c r="AD129" i="5" l="1"/>
  <c r="AA129" i="5"/>
  <c r="AB129" i="5"/>
  <c r="AC129" i="5" s="1"/>
  <c r="AA127" i="5"/>
  <c r="AD127" i="5"/>
  <c r="AB127" i="5"/>
  <c r="AC127" i="5" s="1"/>
  <c r="AA126" i="5"/>
  <c r="AD126" i="5"/>
  <c r="AB126" i="5"/>
  <c r="AC126" i="5" s="1"/>
  <c r="M84" i="5"/>
  <c r="M25" i="5"/>
  <c r="M66" i="5"/>
  <c r="M54" i="5"/>
  <c r="M22" i="5"/>
  <c r="L53" i="5"/>
  <c r="T53" i="5" s="1"/>
  <c r="M53" i="5" l="1"/>
  <c r="K18" i="3"/>
  <c r="S18" i="3" s="1"/>
  <c r="L18" i="3" l="1"/>
  <c r="M97" i="5"/>
  <c r="L47" i="5"/>
  <c r="M47" i="5" s="1"/>
  <c r="L70" i="5"/>
  <c r="T70" i="5" s="1"/>
  <c r="L67" i="5"/>
  <c r="M67" i="5" s="1"/>
  <c r="M81" i="5"/>
  <c r="L76" i="5"/>
  <c r="T76" i="5" s="1"/>
  <c r="L63" i="5"/>
  <c r="M63" i="5" s="1"/>
  <c r="L41" i="5"/>
  <c r="T41" i="5" s="1"/>
  <c r="M76" i="5" l="1"/>
  <c r="T47" i="5"/>
  <c r="T67" i="5"/>
  <c r="T63" i="5"/>
  <c r="M41" i="5"/>
  <c r="M70" i="5"/>
  <c r="K34" i="3" l="1"/>
  <c r="S34" i="3" s="1"/>
  <c r="L119" i="5"/>
  <c r="L34" i="3" l="1"/>
  <c r="Z40" i="3"/>
  <c r="K39" i="3"/>
  <c r="S39" i="3" s="1"/>
  <c r="AD122" i="5"/>
  <c r="AD124" i="5"/>
  <c r="AB122" i="5"/>
  <c r="AC122" i="5" s="1"/>
  <c r="AB123" i="5"/>
  <c r="AC123" i="5" s="1"/>
  <c r="AB124" i="5"/>
  <c r="AC124" i="5" s="1"/>
  <c r="AA123" i="5"/>
  <c r="AA124" i="5"/>
  <c r="L28" i="5"/>
  <c r="T28" i="5" s="1"/>
  <c r="L39" i="5"/>
  <c r="M39" i="5" s="1"/>
  <c r="AA39" i="3" l="1"/>
  <c r="AB39" i="3" s="1"/>
  <c r="Z39" i="3"/>
  <c r="T39" i="5"/>
  <c r="M28" i="5"/>
  <c r="L39" i="3"/>
  <c r="AC39" i="3" s="1"/>
  <c r="L50" i="5"/>
  <c r="T50" i="5" s="1"/>
  <c r="T57" i="5"/>
  <c r="L65" i="5"/>
  <c r="M65" i="5" s="1"/>
  <c r="T58" i="5"/>
  <c r="K20" i="3"/>
  <c r="L20" i="3" s="1"/>
  <c r="M94" i="5"/>
  <c r="M58" i="5" l="1"/>
  <c r="T65" i="5"/>
  <c r="M50" i="5"/>
  <c r="M57" i="5"/>
  <c r="S20" i="3"/>
  <c r="M71" i="5"/>
  <c r="L17" i="3"/>
  <c r="K35" i="3"/>
  <c r="L35" i="3" s="1"/>
  <c r="K22" i="3"/>
  <c r="L22" i="3" s="1"/>
  <c r="K9" i="3"/>
  <c r="S9" i="3" s="1"/>
  <c r="L78" i="5"/>
  <c r="T78" i="5" s="1"/>
  <c r="L9" i="3" l="1"/>
  <c r="S22" i="3"/>
  <c r="S35" i="3"/>
  <c r="M78" i="5"/>
  <c r="M49" i="5"/>
  <c r="L109" i="5"/>
  <c r="M109" i="5" s="1"/>
  <c r="T109" i="5" l="1"/>
  <c r="L40" i="5"/>
  <c r="T40" i="5" s="1"/>
  <c r="M45" i="5"/>
  <c r="L69" i="5"/>
  <c r="T69" i="5" s="1"/>
  <c r="M69" i="5" l="1"/>
  <c r="M40" i="5"/>
  <c r="L79" i="5"/>
  <c r="M79" i="5" s="1"/>
  <c r="L38" i="5"/>
  <c r="M38" i="5" s="1"/>
  <c r="L88" i="5"/>
  <c r="M88" i="5" s="1"/>
  <c r="L83" i="5"/>
  <c r="T83" i="5" s="1"/>
  <c r="AA122" i="5"/>
  <c r="M123" i="5"/>
  <c r="AD123" i="5" s="1"/>
  <c r="L121" i="5"/>
  <c r="L14" i="3"/>
  <c r="L86" i="5"/>
  <c r="T86" i="5" s="1"/>
  <c r="M13" i="5"/>
  <c r="K30" i="3"/>
  <c r="L30" i="3" s="1"/>
  <c r="T31" i="5"/>
  <c r="K11" i="3"/>
  <c r="L11" i="3" s="1"/>
  <c r="L51" i="5"/>
  <c r="K38" i="3"/>
  <c r="M51" i="5" l="1"/>
  <c r="T51" i="5"/>
  <c r="T38" i="5"/>
  <c r="T88" i="5"/>
  <c r="M121" i="5"/>
  <c r="AD121" i="5" s="1"/>
  <c r="AB121" i="5"/>
  <c r="AC121" i="5" s="1"/>
  <c r="T121" i="5"/>
  <c r="AA121" i="5" s="1"/>
  <c r="S11" i="3"/>
  <c r="S30" i="3"/>
  <c r="M83" i="5"/>
  <c r="M86" i="5"/>
  <c r="M31" i="5"/>
  <c r="L26" i="5"/>
  <c r="T26" i="5" s="1"/>
  <c r="L43" i="5"/>
  <c r="M43" i="5" s="1"/>
  <c r="M100" i="5"/>
  <c r="M26" i="5" l="1"/>
  <c r="T100" i="5"/>
  <c r="S38" i="3"/>
  <c r="L38" i="3"/>
  <c r="AC38" i="3" s="1"/>
  <c r="M120" i="5"/>
  <c r="AD120" i="5" s="1"/>
  <c r="K12" i="3"/>
  <c r="S12" i="3" s="1"/>
  <c r="AB120" i="5"/>
  <c r="AC120" i="5" s="1"/>
  <c r="AA120" i="5"/>
  <c r="L89" i="5"/>
  <c r="M89" i="5" s="1"/>
  <c r="K24" i="3"/>
  <c r="L24" i="3" s="1"/>
  <c r="L30" i="5"/>
  <c r="M30" i="5" s="1"/>
  <c r="L36" i="5"/>
  <c r="T36" i="5" s="1"/>
  <c r="L37" i="5"/>
  <c r="T37" i="5" s="1"/>
  <c r="S24" i="3" l="1"/>
  <c r="L12" i="3"/>
  <c r="T30" i="5"/>
  <c r="M37" i="5"/>
  <c r="M36" i="5"/>
  <c r="AB119" i="5"/>
  <c r="AC119" i="5" s="1"/>
  <c r="AA119" i="5"/>
  <c r="M119" i="5"/>
  <c r="AD119" i="5" s="1"/>
  <c r="AA38" i="3"/>
  <c r="AB38" i="3" s="1"/>
  <c r="Z38" i="3"/>
  <c r="AC37" i="3" l="1"/>
  <c r="AA37" i="3"/>
  <c r="AB37" i="3" s="1"/>
  <c r="Z37" i="3"/>
  <c r="AD117" i="5"/>
  <c r="AD118" i="5"/>
  <c r="AB117" i="5"/>
  <c r="AC117" i="5" s="1"/>
  <c r="AB118" i="5"/>
  <c r="AC118" i="5" s="1"/>
  <c r="AA117" i="5"/>
  <c r="AA118" i="5"/>
  <c r="L44" i="5" l="1"/>
  <c r="T44" i="5" s="1"/>
  <c r="K36" i="3"/>
  <c r="S36" i="3" s="1"/>
  <c r="L36" i="3" l="1"/>
  <c r="AC36" i="3" s="1"/>
  <c r="AA36" i="3"/>
  <c r="AB36" i="3" s="1"/>
  <c r="Z36" i="3"/>
  <c r="M44" i="5"/>
  <c r="L116" i="5"/>
  <c r="L115" i="5"/>
  <c r="L114" i="5"/>
  <c r="L113" i="5"/>
  <c r="AA113" i="5" s="1"/>
  <c r="M112" i="5"/>
  <c r="AB111" i="5"/>
  <c r="AC111" i="5" s="1"/>
  <c r="L110" i="5"/>
  <c r="AB109" i="5"/>
  <c r="AC109" i="5" s="1"/>
  <c r="L108" i="5"/>
  <c r="M108" i="5" s="1"/>
  <c r="L107" i="5"/>
  <c r="M106" i="5"/>
  <c r="L103" i="5"/>
  <c r="L102" i="5"/>
  <c r="AB102" i="5" s="1"/>
  <c r="AC102" i="5" s="1"/>
  <c r="L99" i="5"/>
  <c r="L85" i="5"/>
  <c r="M85" i="5" s="1"/>
  <c r="L73" i="5"/>
  <c r="M73" i="5" s="1"/>
  <c r="L64" i="5"/>
  <c r="M64" i="5" s="1"/>
  <c r="L29" i="3"/>
  <c r="K19" i="3"/>
  <c r="K15" i="3"/>
  <c r="M99" i="5" l="1"/>
  <c r="T99" i="5"/>
  <c r="T115" i="5"/>
  <c r="AA115" i="5" s="1"/>
  <c r="L19" i="3"/>
  <c r="S19" i="3"/>
  <c r="L15" i="3"/>
  <c r="S15" i="3"/>
  <c r="T110" i="5"/>
  <c r="AA110" i="5" s="1"/>
  <c r="M116" i="5"/>
  <c r="AD116" i="5" s="1"/>
  <c r="T116" i="5"/>
  <c r="AA116" i="5" s="1"/>
  <c r="AB103" i="5"/>
  <c r="AC103" i="5" s="1"/>
  <c r="T103" i="5"/>
  <c r="AA103" i="5" s="1"/>
  <c r="M107" i="5"/>
  <c r="AD107" i="5" s="1"/>
  <c r="T107" i="5"/>
  <c r="AA107" i="5" s="1"/>
  <c r="T114" i="5"/>
  <c r="AA114" i="5" s="1"/>
  <c r="M113" i="5"/>
  <c r="AD113" i="5" s="1"/>
  <c r="AB113" i="5"/>
  <c r="AC113" i="5" s="1"/>
  <c r="M111" i="5"/>
  <c r="AD111" i="5" s="1"/>
  <c r="AB116" i="5"/>
  <c r="AC116" i="5" s="1"/>
  <c r="M115" i="5"/>
  <c r="AD115" i="5" s="1"/>
  <c r="AB115" i="5"/>
  <c r="AC115" i="5" s="1"/>
  <c r="M114" i="5"/>
  <c r="AD114" i="5" s="1"/>
  <c r="AB114" i="5"/>
  <c r="AC114" i="5" s="1"/>
  <c r="AB112" i="5"/>
  <c r="AC112" i="5" s="1"/>
  <c r="AD112" i="5"/>
  <c r="AA112" i="5"/>
  <c r="AA111" i="5"/>
  <c r="M110" i="5"/>
  <c r="AD110" i="5" s="1"/>
  <c r="AB110" i="5"/>
  <c r="AC110" i="5" s="1"/>
  <c r="AA109" i="5"/>
  <c r="AD109" i="5"/>
  <c r="AD108" i="5"/>
  <c r="AB108" i="5"/>
  <c r="AC108" i="5" s="1"/>
  <c r="AA108" i="5"/>
  <c r="AB107" i="5"/>
  <c r="AC107" i="5" s="1"/>
  <c r="AA106" i="5"/>
  <c r="AB106" i="5"/>
  <c r="AC106" i="5" s="1"/>
  <c r="AD106" i="5"/>
  <c r="AB105" i="5"/>
  <c r="AC105" i="5" s="1"/>
  <c r="AA105" i="5"/>
  <c r="AD105" i="5"/>
  <c r="M104" i="5"/>
  <c r="AD104" i="5" s="1"/>
  <c r="AA104" i="5"/>
  <c r="AB104" i="5"/>
  <c r="AC104" i="5" s="1"/>
  <c r="M103" i="5"/>
  <c r="AD103" i="5" s="1"/>
  <c r="M102" i="5"/>
  <c r="AD102" i="5" s="1"/>
  <c r="AA102" i="5"/>
  <c r="P15" i="7" l="1"/>
  <c r="L28" i="3" l="1"/>
  <c r="AC28" i="3" s="1"/>
  <c r="AC29" i="3"/>
  <c r="L32" i="3"/>
  <c r="AC32" i="3" s="1"/>
  <c r="AD4" i="5"/>
  <c r="AD5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87" i="5"/>
  <c r="AD88" i="5"/>
  <c r="AD89" i="5"/>
  <c r="AD90" i="5"/>
  <c r="AD91" i="5"/>
  <c r="AD92" i="5"/>
  <c r="AD93" i="5"/>
  <c r="AD94" i="5"/>
  <c r="AD95" i="5"/>
  <c r="AD96" i="5"/>
  <c r="AD97" i="5"/>
  <c r="AD98" i="5"/>
  <c r="AD99" i="5"/>
  <c r="AD100" i="5"/>
  <c r="AD101" i="5"/>
  <c r="AB4" i="5"/>
  <c r="AC4" i="5" s="1"/>
  <c r="AB5" i="5"/>
  <c r="AC5" i="5" s="1"/>
  <c r="AB6" i="5"/>
  <c r="AC6" i="5" s="1"/>
  <c r="AB7" i="5"/>
  <c r="AC7" i="5" s="1"/>
  <c r="AB8" i="5"/>
  <c r="AC8" i="5" s="1"/>
  <c r="AB9" i="5"/>
  <c r="AC9" i="5" s="1"/>
  <c r="AB10" i="5"/>
  <c r="AC10" i="5" s="1"/>
  <c r="AB11" i="5"/>
  <c r="AC11" i="5" s="1"/>
  <c r="AB12" i="5"/>
  <c r="AC12" i="5" s="1"/>
  <c r="AB13" i="5"/>
  <c r="AC13" i="5" s="1"/>
  <c r="AB14" i="5"/>
  <c r="AC14" i="5" s="1"/>
  <c r="AB15" i="5"/>
  <c r="AC15" i="5" s="1"/>
  <c r="AB16" i="5"/>
  <c r="AC16" i="5" s="1"/>
  <c r="AB17" i="5"/>
  <c r="AC17" i="5" s="1"/>
  <c r="AB18" i="5"/>
  <c r="AC18" i="5" s="1"/>
  <c r="AB19" i="5"/>
  <c r="AC19" i="5" s="1"/>
  <c r="AB20" i="5"/>
  <c r="AC20" i="5" s="1"/>
  <c r="AB21" i="5"/>
  <c r="AC21" i="5" s="1"/>
  <c r="AB22" i="5"/>
  <c r="AC22" i="5" s="1"/>
  <c r="AB23" i="5"/>
  <c r="AC23" i="5" s="1"/>
  <c r="AB24" i="5"/>
  <c r="AC24" i="5" s="1"/>
  <c r="AB25" i="5"/>
  <c r="AC25" i="5" s="1"/>
  <c r="AB26" i="5"/>
  <c r="AC26" i="5" s="1"/>
  <c r="AB27" i="5"/>
  <c r="AC27" i="5" s="1"/>
  <c r="AB28" i="5"/>
  <c r="AC28" i="5" s="1"/>
  <c r="AB29" i="5"/>
  <c r="AC29" i="5" s="1"/>
  <c r="AB30" i="5"/>
  <c r="AC30" i="5" s="1"/>
  <c r="AB31" i="5"/>
  <c r="AC31" i="5" s="1"/>
  <c r="AB32" i="5"/>
  <c r="AC32" i="5" s="1"/>
  <c r="AB33" i="5"/>
  <c r="AC33" i="5" s="1"/>
  <c r="AB34" i="5"/>
  <c r="AC34" i="5" s="1"/>
  <c r="AB35" i="5"/>
  <c r="AC35" i="5" s="1"/>
  <c r="AB36" i="5"/>
  <c r="AC36" i="5" s="1"/>
  <c r="AB37" i="5"/>
  <c r="AC37" i="5" s="1"/>
  <c r="AB38" i="5"/>
  <c r="AC38" i="5" s="1"/>
  <c r="AB39" i="5"/>
  <c r="AC39" i="5" s="1"/>
  <c r="AB40" i="5"/>
  <c r="AC40" i="5" s="1"/>
  <c r="AB41" i="5"/>
  <c r="AC41" i="5" s="1"/>
  <c r="AB42" i="5"/>
  <c r="AC42" i="5" s="1"/>
  <c r="AB43" i="5"/>
  <c r="AC43" i="5" s="1"/>
  <c r="AB44" i="5"/>
  <c r="AC44" i="5" s="1"/>
  <c r="AB45" i="5"/>
  <c r="AC45" i="5" s="1"/>
  <c r="AB46" i="5"/>
  <c r="AC46" i="5" s="1"/>
  <c r="AB47" i="5"/>
  <c r="AC47" i="5" s="1"/>
  <c r="AB48" i="5"/>
  <c r="AC48" i="5" s="1"/>
  <c r="AB49" i="5"/>
  <c r="AC49" i="5" s="1"/>
  <c r="AB50" i="5"/>
  <c r="AC50" i="5" s="1"/>
  <c r="AB51" i="5"/>
  <c r="AC51" i="5" s="1"/>
  <c r="AB52" i="5"/>
  <c r="AC52" i="5" s="1"/>
  <c r="AB53" i="5"/>
  <c r="AC53" i="5" s="1"/>
  <c r="AB54" i="5"/>
  <c r="AC54" i="5" s="1"/>
  <c r="AB55" i="5"/>
  <c r="AC55" i="5" s="1"/>
  <c r="AB56" i="5"/>
  <c r="AC56" i="5" s="1"/>
  <c r="AB57" i="5"/>
  <c r="AC57" i="5" s="1"/>
  <c r="AB58" i="5"/>
  <c r="AC58" i="5" s="1"/>
  <c r="AB59" i="5"/>
  <c r="AC59" i="5" s="1"/>
  <c r="AB60" i="5"/>
  <c r="AC60" i="5" s="1"/>
  <c r="AB61" i="5"/>
  <c r="AC61" i="5" s="1"/>
  <c r="AB62" i="5"/>
  <c r="AC62" i="5" s="1"/>
  <c r="AB63" i="5"/>
  <c r="AC63" i="5" s="1"/>
  <c r="AB64" i="5"/>
  <c r="AC64" i="5" s="1"/>
  <c r="AB65" i="5"/>
  <c r="AC65" i="5" s="1"/>
  <c r="AB66" i="5"/>
  <c r="AC66" i="5" s="1"/>
  <c r="AB67" i="5"/>
  <c r="AC67" i="5" s="1"/>
  <c r="AB68" i="5"/>
  <c r="AC68" i="5" s="1"/>
  <c r="AB69" i="5"/>
  <c r="AC69" i="5" s="1"/>
  <c r="AB70" i="5"/>
  <c r="AC70" i="5" s="1"/>
  <c r="AB71" i="5"/>
  <c r="AC71" i="5" s="1"/>
  <c r="AB72" i="5"/>
  <c r="AC72" i="5" s="1"/>
  <c r="AB73" i="5"/>
  <c r="AC73" i="5" s="1"/>
  <c r="AB74" i="5"/>
  <c r="AC74" i="5" s="1"/>
  <c r="AB75" i="5"/>
  <c r="AC75" i="5" s="1"/>
  <c r="AB76" i="5"/>
  <c r="AC76" i="5" s="1"/>
  <c r="AB77" i="5"/>
  <c r="AC77" i="5" s="1"/>
  <c r="AB78" i="5"/>
  <c r="AC78" i="5" s="1"/>
  <c r="AB79" i="5"/>
  <c r="AC79" i="5" s="1"/>
  <c r="AB80" i="5"/>
  <c r="AC80" i="5" s="1"/>
  <c r="AB81" i="5"/>
  <c r="AC81" i="5" s="1"/>
  <c r="AB82" i="5"/>
  <c r="AC82" i="5" s="1"/>
  <c r="AB83" i="5"/>
  <c r="AC83" i="5" s="1"/>
  <c r="AB84" i="5"/>
  <c r="AC84" i="5" s="1"/>
  <c r="AB85" i="5"/>
  <c r="AC85" i="5" s="1"/>
  <c r="AB86" i="5"/>
  <c r="AC86" i="5" s="1"/>
  <c r="AB87" i="5"/>
  <c r="AC87" i="5" s="1"/>
  <c r="AB88" i="5"/>
  <c r="AC88" i="5" s="1"/>
  <c r="AB89" i="5"/>
  <c r="AC89" i="5" s="1"/>
  <c r="AB90" i="5"/>
  <c r="AC90" i="5" s="1"/>
  <c r="AB91" i="5"/>
  <c r="AC91" i="5" s="1"/>
  <c r="AB92" i="5"/>
  <c r="AC92" i="5" s="1"/>
  <c r="AB93" i="5"/>
  <c r="AC93" i="5" s="1"/>
  <c r="AB94" i="5"/>
  <c r="AC94" i="5" s="1"/>
  <c r="AB95" i="5"/>
  <c r="AC95" i="5" s="1"/>
  <c r="AB96" i="5"/>
  <c r="AC96" i="5" s="1"/>
  <c r="AB97" i="5"/>
  <c r="AC97" i="5" s="1"/>
  <c r="AB98" i="5"/>
  <c r="AC98" i="5" s="1"/>
  <c r="AB99" i="5"/>
  <c r="AC99" i="5" s="1"/>
  <c r="AB100" i="5"/>
  <c r="AC100" i="5" s="1"/>
  <c r="AB101" i="5"/>
  <c r="AC101" i="5" s="1"/>
  <c r="AA4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29" i="6"/>
  <c r="AD3" i="6"/>
  <c r="AD4" i="6"/>
  <c r="AD5" i="6"/>
  <c r="AD6" i="6"/>
  <c r="AD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D28" i="6"/>
  <c r="AD29" i="6"/>
  <c r="AD30" i="6"/>
  <c r="AD31" i="6"/>
  <c r="AD32" i="6"/>
  <c r="AD33" i="6"/>
  <c r="AD34" i="6"/>
  <c r="AD35" i="6"/>
  <c r="AD36" i="6"/>
  <c r="AD37" i="6"/>
  <c r="AD38" i="6"/>
  <c r="AD39" i="6"/>
  <c r="AD40" i="6"/>
  <c r="AD41" i="6"/>
  <c r="AD42" i="6"/>
  <c r="AB3" i="6"/>
  <c r="AC3" i="6" s="1"/>
  <c r="AB4" i="6"/>
  <c r="AC4" i="6" s="1"/>
  <c r="AB5" i="6"/>
  <c r="AC5" i="6" s="1"/>
  <c r="AB6" i="6"/>
  <c r="AC6" i="6" s="1"/>
  <c r="AB7" i="6"/>
  <c r="AC7" i="6" s="1"/>
  <c r="AB8" i="6"/>
  <c r="AC8" i="6" s="1"/>
  <c r="AB9" i="6"/>
  <c r="AC9" i="6" s="1"/>
  <c r="AB10" i="6"/>
  <c r="AC10" i="6" s="1"/>
  <c r="AB11" i="6"/>
  <c r="AC11" i="6" s="1"/>
  <c r="AB12" i="6"/>
  <c r="AC12" i="6" s="1"/>
  <c r="AB13" i="6"/>
  <c r="AC13" i="6" s="1"/>
  <c r="AB14" i="6"/>
  <c r="AC14" i="6" s="1"/>
  <c r="AB15" i="6"/>
  <c r="AC15" i="6" s="1"/>
  <c r="AB16" i="6"/>
  <c r="AC16" i="6" s="1"/>
  <c r="AB17" i="6"/>
  <c r="AC17" i="6" s="1"/>
  <c r="AB18" i="6"/>
  <c r="AC18" i="6" s="1"/>
  <c r="AB19" i="6"/>
  <c r="AC19" i="6" s="1"/>
  <c r="AB20" i="6"/>
  <c r="AC20" i="6" s="1"/>
  <c r="AB21" i="6"/>
  <c r="AC21" i="6" s="1"/>
  <c r="AB22" i="6"/>
  <c r="AC22" i="6" s="1"/>
  <c r="AB23" i="6"/>
  <c r="AC23" i="6" s="1"/>
  <c r="AB24" i="6"/>
  <c r="AC24" i="6" s="1"/>
  <c r="AB25" i="6"/>
  <c r="AC25" i="6" s="1"/>
  <c r="AB26" i="6"/>
  <c r="AC26" i="6" s="1"/>
  <c r="AB27" i="6"/>
  <c r="AC27" i="6" s="1"/>
  <c r="AB28" i="6"/>
  <c r="AC28" i="6" s="1"/>
  <c r="AB29" i="6"/>
  <c r="AC29" i="6" s="1"/>
  <c r="AB30" i="6"/>
  <c r="AC30" i="6" s="1"/>
  <c r="AB31" i="6"/>
  <c r="AC31" i="6" s="1"/>
  <c r="AB32" i="6"/>
  <c r="AC32" i="6" s="1"/>
  <c r="AB33" i="6"/>
  <c r="AC33" i="6" s="1"/>
  <c r="AB34" i="6"/>
  <c r="AC34" i="6" s="1"/>
  <c r="AB35" i="6"/>
  <c r="AC35" i="6" s="1"/>
  <c r="AB36" i="6"/>
  <c r="AC36" i="6" s="1"/>
  <c r="AB37" i="6"/>
  <c r="AC37" i="6" s="1"/>
  <c r="AB38" i="6"/>
  <c r="AC38" i="6" s="1"/>
  <c r="AB39" i="6"/>
  <c r="AC39" i="6" s="1"/>
  <c r="AB40" i="6"/>
  <c r="AC40" i="6" s="1"/>
  <c r="AB41" i="6"/>
  <c r="AC41" i="6" s="1"/>
  <c r="AB42" i="6"/>
  <c r="AC42" i="6" s="1"/>
  <c r="AA3" i="6"/>
  <c r="AA4" i="6"/>
  <c r="AA5" i="6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30" i="3"/>
  <c r="AC31" i="3"/>
  <c r="AC33" i="3"/>
  <c r="AC34" i="3"/>
  <c r="AC35" i="3"/>
  <c r="AA5" i="3"/>
  <c r="AB5" i="3" s="1"/>
  <c r="AA6" i="3"/>
  <c r="AB6" i="3" s="1"/>
  <c r="AA7" i="3"/>
  <c r="AB7" i="3" s="1"/>
  <c r="AA8" i="3"/>
  <c r="AB8" i="3" s="1"/>
  <c r="AA9" i="3"/>
  <c r="AB9" i="3" s="1"/>
  <c r="AA10" i="3"/>
  <c r="AB10" i="3" s="1"/>
  <c r="AA11" i="3"/>
  <c r="AB11" i="3" s="1"/>
  <c r="AA12" i="3"/>
  <c r="AB12" i="3" s="1"/>
  <c r="AA13" i="3"/>
  <c r="AB13" i="3" s="1"/>
  <c r="AA14" i="3"/>
  <c r="AB14" i="3" s="1"/>
  <c r="AA15" i="3"/>
  <c r="AB15" i="3" s="1"/>
  <c r="AA16" i="3"/>
  <c r="AB16" i="3" s="1"/>
  <c r="AA17" i="3"/>
  <c r="AB17" i="3" s="1"/>
  <c r="AA18" i="3"/>
  <c r="AB18" i="3" s="1"/>
  <c r="AA19" i="3"/>
  <c r="AB19" i="3" s="1"/>
  <c r="AA20" i="3"/>
  <c r="AB20" i="3" s="1"/>
  <c r="AA21" i="3"/>
  <c r="AB21" i="3" s="1"/>
  <c r="AA22" i="3"/>
  <c r="AB22" i="3" s="1"/>
  <c r="AA23" i="3"/>
  <c r="AB23" i="3" s="1"/>
  <c r="AA24" i="3"/>
  <c r="AB24" i="3" s="1"/>
  <c r="AA25" i="3"/>
  <c r="AB25" i="3" s="1"/>
  <c r="AA26" i="3"/>
  <c r="AB26" i="3" s="1"/>
  <c r="AA27" i="3"/>
  <c r="AB27" i="3" s="1"/>
  <c r="AA28" i="3"/>
  <c r="AB28" i="3" s="1"/>
  <c r="AA29" i="3"/>
  <c r="AB29" i="3" s="1"/>
  <c r="AA30" i="3"/>
  <c r="AB30" i="3" s="1"/>
  <c r="AA31" i="3"/>
  <c r="AB31" i="3" s="1"/>
  <c r="AA32" i="3"/>
  <c r="AB32" i="3" s="1"/>
  <c r="AA33" i="3"/>
  <c r="AB33" i="3" s="1"/>
  <c r="AA34" i="3"/>
  <c r="AB34" i="3" s="1"/>
  <c r="AA35" i="3"/>
  <c r="AB35" i="3" s="1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B19" i="7"/>
  <c r="B18" i="7"/>
  <c r="B15" i="7"/>
  <c r="B13" i="7"/>
  <c r="B17" i="7"/>
  <c r="B14" i="7"/>
  <c r="B27" i="7" l="1"/>
  <c r="P12" i="7"/>
  <c r="Q12" i="7"/>
  <c r="P13" i="7"/>
  <c r="Q13" i="7"/>
  <c r="P14" i="7"/>
  <c r="Q14" i="7"/>
  <c r="Q15" i="7"/>
  <c r="P16" i="7"/>
  <c r="Q16" i="7"/>
  <c r="P17" i="7"/>
  <c r="Q17" i="7"/>
  <c r="P18" i="7"/>
  <c r="Q18" i="7"/>
  <c r="P19" i="7"/>
  <c r="Q19" i="7"/>
  <c r="P24" i="7"/>
  <c r="Q24" i="7"/>
  <c r="P25" i="7"/>
  <c r="Q25" i="7"/>
  <c r="P26" i="7"/>
  <c r="Q26" i="7"/>
  <c r="P27" i="7"/>
  <c r="Q27" i="7"/>
  <c r="P28" i="7"/>
  <c r="Q28" i="7"/>
  <c r="P29" i="7"/>
  <c r="Q29" i="7"/>
  <c r="Z45" i="6"/>
  <c r="Y45" i="6"/>
  <c r="Z44" i="6"/>
  <c r="Y44" i="6"/>
  <c r="Z43" i="6"/>
  <c r="Y43" i="6"/>
  <c r="Y9" i="4"/>
  <c r="X9" i="4"/>
  <c r="Y8" i="4"/>
  <c r="X8" i="4"/>
  <c r="Y7" i="4"/>
  <c r="X7" i="4"/>
  <c r="AB3" i="5"/>
  <c r="AA3" i="5"/>
  <c r="Z136" i="5"/>
  <c r="Y136" i="5"/>
  <c r="Z135" i="5"/>
  <c r="Y135" i="5"/>
  <c r="Z134" i="5"/>
  <c r="Y134" i="5"/>
  <c r="Z133" i="5"/>
  <c r="Y133" i="5"/>
  <c r="Z4" i="3"/>
  <c r="Z3" i="3"/>
  <c r="Y46" i="3"/>
  <c r="Y49" i="3"/>
  <c r="Y48" i="3"/>
  <c r="Y47" i="3"/>
  <c r="X49" i="3"/>
  <c r="X48" i="3"/>
  <c r="X47" i="3"/>
  <c r="X46" i="3"/>
  <c r="Q30" i="7" l="1"/>
  <c r="Q41" i="7" s="1"/>
  <c r="P22" i="7"/>
  <c r="P39" i="7" s="1"/>
  <c r="Q21" i="7"/>
  <c r="Q34" i="7" s="1"/>
  <c r="P20" i="7"/>
  <c r="P37" i="7" s="1"/>
  <c r="Q22" i="7"/>
  <c r="Q39" i="7" s="1"/>
  <c r="Q20" i="7"/>
  <c r="P21" i="7"/>
  <c r="P34" i="7" s="1"/>
  <c r="Q31" i="7"/>
  <c r="Q42" i="7" s="1"/>
  <c r="Q23" i="7"/>
  <c r="Q40" i="7" s="1"/>
  <c r="P31" i="7"/>
  <c r="P42" i="7" s="1"/>
  <c r="P30" i="7"/>
  <c r="Q32" i="7"/>
  <c r="Q43" i="7" s="1"/>
  <c r="P32" i="7"/>
  <c r="P43" i="7" s="1"/>
  <c r="P23" i="7"/>
  <c r="J9" i="4"/>
  <c r="P33" i="7" l="1"/>
  <c r="P44" i="7" s="1"/>
  <c r="Q38" i="7"/>
  <c r="P36" i="7"/>
  <c r="Q33" i="7"/>
  <c r="Q44" i="7" s="1"/>
  <c r="Q35" i="7"/>
  <c r="P35" i="7"/>
  <c r="Q36" i="7"/>
  <c r="Q37" i="7"/>
  <c r="P38" i="7"/>
  <c r="P40" i="7"/>
  <c r="P41" i="7"/>
  <c r="B29" i="7"/>
  <c r="B28" i="7"/>
  <c r="B26" i="7"/>
  <c r="B25" i="7"/>
  <c r="O29" i="7"/>
  <c r="N29" i="7"/>
  <c r="M29" i="7"/>
  <c r="L29" i="7"/>
  <c r="K29" i="7"/>
  <c r="J29" i="7"/>
  <c r="I29" i="7"/>
  <c r="H29" i="7"/>
  <c r="G29" i="7"/>
  <c r="F29" i="7"/>
  <c r="E29" i="7"/>
  <c r="D29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O26" i="7"/>
  <c r="N26" i="7"/>
  <c r="M26" i="7"/>
  <c r="L26" i="7"/>
  <c r="K26" i="7"/>
  <c r="J26" i="7"/>
  <c r="I26" i="7"/>
  <c r="H26" i="7"/>
  <c r="G26" i="7"/>
  <c r="F26" i="7"/>
  <c r="E26" i="7"/>
  <c r="D26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O19" i="7"/>
  <c r="N19" i="7"/>
  <c r="M19" i="7"/>
  <c r="L19" i="7"/>
  <c r="K19" i="7"/>
  <c r="J19" i="7"/>
  <c r="I19" i="7"/>
  <c r="H19" i="7"/>
  <c r="G19" i="7"/>
  <c r="F19" i="7"/>
  <c r="E19" i="7"/>
  <c r="D19" i="7"/>
  <c r="O18" i="7"/>
  <c r="N18" i="7"/>
  <c r="M18" i="7"/>
  <c r="L18" i="7"/>
  <c r="K18" i="7"/>
  <c r="J18" i="7"/>
  <c r="I18" i="7"/>
  <c r="H18" i="7"/>
  <c r="G18" i="7"/>
  <c r="F18" i="7"/>
  <c r="E18" i="7"/>
  <c r="D18" i="7"/>
  <c r="O17" i="7"/>
  <c r="N17" i="7"/>
  <c r="M17" i="7"/>
  <c r="L17" i="7"/>
  <c r="K17" i="7"/>
  <c r="J17" i="7"/>
  <c r="I17" i="7"/>
  <c r="H17" i="7"/>
  <c r="G17" i="7"/>
  <c r="F17" i="7"/>
  <c r="E17" i="7"/>
  <c r="D17" i="7"/>
  <c r="O15" i="7"/>
  <c r="O14" i="7"/>
  <c r="N15" i="7"/>
  <c r="N14" i="7"/>
  <c r="M15" i="7"/>
  <c r="M14" i="7"/>
  <c r="L15" i="7"/>
  <c r="L14" i="7"/>
  <c r="K15" i="7"/>
  <c r="K14" i="7"/>
  <c r="J15" i="7"/>
  <c r="J14" i="7"/>
  <c r="I15" i="7"/>
  <c r="I14" i="7"/>
  <c r="H15" i="7"/>
  <c r="H14" i="7"/>
  <c r="G15" i="7"/>
  <c r="G14" i="7"/>
  <c r="F15" i="7"/>
  <c r="F14" i="7"/>
  <c r="E15" i="7"/>
  <c r="E14" i="7"/>
  <c r="D15" i="7"/>
  <c r="D14" i="7"/>
  <c r="O13" i="7"/>
  <c r="N13" i="7"/>
  <c r="M13" i="7"/>
  <c r="L13" i="7"/>
  <c r="K13" i="7"/>
  <c r="J13" i="7"/>
  <c r="I13" i="7"/>
  <c r="H13" i="7"/>
  <c r="G13" i="7"/>
  <c r="F13" i="7"/>
  <c r="E13" i="7"/>
  <c r="D13" i="7"/>
  <c r="C29" i="7"/>
  <c r="C26" i="7"/>
  <c r="C19" i="7"/>
  <c r="C18" i="7"/>
  <c r="C17" i="7"/>
  <c r="S14" i="7" l="1"/>
  <c r="S13" i="7"/>
  <c r="S15" i="7"/>
  <c r="R29" i="7"/>
  <c r="R25" i="7"/>
  <c r="R18" i="7"/>
  <c r="R28" i="7"/>
  <c r="S29" i="7"/>
  <c r="S28" i="7"/>
  <c r="R26" i="7"/>
  <c r="S26" i="7"/>
  <c r="S25" i="7"/>
  <c r="R19" i="7"/>
  <c r="R17" i="7"/>
  <c r="S18" i="7"/>
  <c r="S17" i="7"/>
  <c r="S19" i="7"/>
  <c r="C15" i="7"/>
  <c r="C14" i="7"/>
  <c r="C13" i="7"/>
  <c r="R13" i="7" s="1"/>
  <c r="R15" i="7" l="1"/>
  <c r="R14" i="7"/>
  <c r="O32" i="7"/>
  <c r="O43" i="7" s="1"/>
  <c r="N32" i="7"/>
  <c r="N43" i="7" s="1"/>
  <c r="M32" i="7"/>
  <c r="M43" i="7" s="1"/>
  <c r="L32" i="7"/>
  <c r="L43" i="7" s="1"/>
  <c r="K32" i="7"/>
  <c r="K43" i="7" s="1"/>
  <c r="J32" i="7"/>
  <c r="J43" i="7" s="1"/>
  <c r="I32" i="7"/>
  <c r="I43" i="7" s="1"/>
  <c r="H32" i="7"/>
  <c r="H43" i="7" s="1"/>
  <c r="G32" i="7"/>
  <c r="G43" i="7" s="1"/>
  <c r="F32" i="7"/>
  <c r="F43" i="7" s="1"/>
  <c r="E32" i="7"/>
  <c r="E43" i="7" s="1"/>
  <c r="D32" i="7"/>
  <c r="D43" i="7" s="1"/>
  <c r="C32" i="7"/>
  <c r="C43" i="7" s="1"/>
  <c r="B32" i="7"/>
  <c r="B43" i="7" s="1"/>
  <c r="O31" i="7"/>
  <c r="O42" i="7" s="1"/>
  <c r="N31" i="7"/>
  <c r="N42" i="7" s="1"/>
  <c r="M31" i="7"/>
  <c r="M42" i="7" s="1"/>
  <c r="L31" i="7"/>
  <c r="L42" i="7" s="1"/>
  <c r="K31" i="7"/>
  <c r="K42" i="7" s="1"/>
  <c r="J31" i="7"/>
  <c r="J42" i="7" s="1"/>
  <c r="I31" i="7"/>
  <c r="I42" i="7" s="1"/>
  <c r="H31" i="7"/>
  <c r="H42" i="7" s="1"/>
  <c r="G31" i="7"/>
  <c r="G42" i="7" s="1"/>
  <c r="F31" i="7"/>
  <c r="F42" i="7" s="1"/>
  <c r="E31" i="7"/>
  <c r="E42" i="7" s="1"/>
  <c r="D31" i="7"/>
  <c r="D42" i="7" s="1"/>
  <c r="C31" i="7"/>
  <c r="C42" i="7" s="1"/>
  <c r="B31" i="7"/>
  <c r="B42" i="7" s="1"/>
  <c r="O22" i="7"/>
  <c r="O39" i="7" s="1"/>
  <c r="N22" i="7"/>
  <c r="N39" i="7" s="1"/>
  <c r="M22" i="7"/>
  <c r="M39" i="7" s="1"/>
  <c r="L22" i="7"/>
  <c r="L39" i="7" s="1"/>
  <c r="K22" i="7"/>
  <c r="K39" i="7" s="1"/>
  <c r="J22" i="7"/>
  <c r="J39" i="7" s="1"/>
  <c r="I22" i="7"/>
  <c r="I39" i="7" s="1"/>
  <c r="H22" i="7"/>
  <c r="H39" i="7" s="1"/>
  <c r="G22" i="7"/>
  <c r="G39" i="7" s="1"/>
  <c r="F22" i="7"/>
  <c r="F39" i="7" s="1"/>
  <c r="E22" i="7"/>
  <c r="E39" i="7" s="1"/>
  <c r="D22" i="7"/>
  <c r="D39" i="7" s="1"/>
  <c r="C22" i="7"/>
  <c r="C39" i="7" s="1"/>
  <c r="B22" i="7"/>
  <c r="B39" i="7" s="1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C38" i="7" s="1"/>
  <c r="B21" i="7"/>
  <c r="W49" i="3"/>
  <c r="V49" i="3"/>
  <c r="U49" i="3"/>
  <c r="T49" i="3"/>
  <c r="S49" i="3"/>
  <c r="R49" i="3"/>
  <c r="Q49" i="3"/>
  <c r="P49" i="3"/>
  <c r="O49" i="3"/>
  <c r="N49" i="3"/>
  <c r="W48" i="3"/>
  <c r="V48" i="3"/>
  <c r="U48" i="3"/>
  <c r="T48" i="3"/>
  <c r="S48" i="3"/>
  <c r="R48" i="3"/>
  <c r="Q48" i="3"/>
  <c r="P48" i="3"/>
  <c r="O48" i="3"/>
  <c r="N48" i="3"/>
  <c r="W47" i="3"/>
  <c r="V47" i="3"/>
  <c r="U47" i="3"/>
  <c r="T47" i="3"/>
  <c r="S47" i="3"/>
  <c r="R47" i="3"/>
  <c r="Q47" i="3"/>
  <c r="P47" i="3"/>
  <c r="O47" i="3"/>
  <c r="N47" i="3"/>
  <c r="L49" i="3"/>
  <c r="K49" i="3"/>
  <c r="J49" i="3"/>
  <c r="L48" i="3"/>
  <c r="K48" i="3"/>
  <c r="J48" i="3"/>
  <c r="J47" i="3"/>
  <c r="H48" i="3"/>
  <c r="H47" i="3"/>
  <c r="X136" i="5"/>
  <c r="W136" i="5"/>
  <c r="V136" i="5"/>
  <c r="U136" i="5"/>
  <c r="T136" i="5"/>
  <c r="S136" i="5"/>
  <c r="R136" i="5"/>
  <c r="Q136" i="5"/>
  <c r="P136" i="5"/>
  <c r="O136" i="5"/>
  <c r="X135" i="5"/>
  <c r="W135" i="5"/>
  <c r="V135" i="5"/>
  <c r="U135" i="5"/>
  <c r="T135" i="5"/>
  <c r="S135" i="5"/>
  <c r="R135" i="5"/>
  <c r="Q135" i="5"/>
  <c r="P135" i="5"/>
  <c r="O135" i="5"/>
  <c r="X134" i="5"/>
  <c r="W134" i="5"/>
  <c r="V134" i="5"/>
  <c r="U134" i="5"/>
  <c r="T134" i="5"/>
  <c r="S134" i="5"/>
  <c r="R134" i="5"/>
  <c r="Q134" i="5"/>
  <c r="P134" i="5"/>
  <c r="O134" i="5"/>
  <c r="M136" i="5"/>
  <c r="L136" i="5"/>
  <c r="K136" i="5"/>
  <c r="M135" i="5"/>
  <c r="L135" i="5"/>
  <c r="K135" i="5"/>
  <c r="M134" i="5"/>
  <c r="L134" i="5"/>
  <c r="K134" i="5"/>
  <c r="I135" i="5"/>
  <c r="I134" i="5"/>
  <c r="W8" i="4"/>
  <c r="V8" i="4"/>
  <c r="U8" i="4"/>
  <c r="T8" i="4"/>
  <c r="S8" i="4"/>
  <c r="R8" i="4"/>
  <c r="Q8" i="4"/>
  <c r="P8" i="4"/>
  <c r="O8" i="4"/>
  <c r="N8" i="4"/>
  <c r="L8" i="4"/>
  <c r="K8" i="4"/>
  <c r="J8" i="4"/>
  <c r="H8" i="4"/>
  <c r="X44" i="6"/>
  <c r="W44" i="6"/>
  <c r="V44" i="6"/>
  <c r="U44" i="6"/>
  <c r="T44" i="6"/>
  <c r="S44" i="6"/>
  <c r="R44" i="6"/>
  <c r="Q44" i="6"/>
  <c r="P44" i="6"/>
  <c r="O44" i="6"/>
  <c r="M44" i="6"/>
  <c r="L44" i="6"/>
  <c r="K44" i="6"/>
  <c r="I44" i="6"/>
  <c r="AA136" i="5" l="1"/>
  <c r="Z47" i="3"/>
  <c r="Z48" i="3"/>
  <c r="F34" i="7"/>
  <c r="F38" i="7"/>
  <c r="G34" i="7"/>
  <c r="G38" i="7"/>
  <c r="AA44" i="6"/>
  <c r="H34" i="7"/>
  <c r="H38" i="7"/>
  <c r="AA134" i="5"/>
  <c r="I34" i="7"/>
  <c r="I38" i="7"/>
  <c r="O34" i="7"/>
  <c r="O38" i="7"/>
  <c r="J34" i="7"/>
  <c r="J38" i="7"/>
  <c r="K34" i="7"/>
  <c r="K38" i="7"/>
  <c r="Z8" i="4"/>
  <c r="AA135" i="5"/>
  <c r="L34" i="7"/>
  <c r="L38" i="7"/>
  <c r="D34" i="7"/>
  <c r="D38" i="7"/>
  <c r="S21" i="7"/>
  <c r="E38" i="7"/>
  <c r="M34" i="7"/>
  <c r="M38" i="7"/>
  <c r="B34" i="7"/>
  <c r="B38" i="7"/>
  <c r="N34" i="7"/>
  <c r="N38" i="7"/>
  <c r="AD44" i="6"/>
  <c r="R32" i="7"/>
  <c r="R31" i="7"/>
  <c r="AA8" i="4"/>
  <c r="S32" i="7"/>
  <c r="S31" i="7"/>
  <c r="C34" i="7"/>
  <c r="R21" i="7"/>
  <c r="E34" i="7"/>
  <c r="S22" i="7"/>
  <c r="R22" i="7"/>
  <c r="E35" i="7"/>
  <c r="M35" i="7"/>
  <c r="H35" i="7"/>
  <c r="AB134" i="5"/>
  <c r="D35" i="7"/>
  <c r="L35" i="7"/>
  <c r="I35" i="7"/>
  <c r="C35" i="7"/>
  <c r="G35" i="7"/>
  <c r="K35" i="7"/>
  <c r="O35" i="7"/>
  <c r="B35" i="7"/>
  <c r="F35" i="7"/>
  <c r="J35" i="7"/>
  <c r="N35" i="7"/>
  <c r="AB44" i="6"/>
  <c r="AC8" i="4"/>
  <c r="AD134" i="5"/>
  <c r="AD3" i="5"/>
  <c r="K47" i="3"/>
  <c r="Z46" i="3" s="1"/>
  <c r="S34" i="7" l="1"/>
  <c r="D27" i="7"/>
  <c r="R35" i="7"/>
  <c r="S35" i="7"/>
  <c r="R34" i="7"/>
  <c r="D24" i="7"/>
  <c r="B24" i="7"/>
  <c r="AA46" i="3"/>
  <c r="O23" i="7"/>
  <c r="N23" i="7"/>
  <c r="M23" i="7"/>
  <c r="L23" i="7"/>
  <c r="K23" i="7"/>
  <c r="J23" i="7"/>
  <c r="I23" i="7"/>
  <c r="H23" i="7"/>
  <c r="G23" i="7"/>
  <c r="F23" i="7"/>
  <c r="E23" i="7"/>
  <c r="E40" i="7" s="1"/>
  <c r="D23" i="7"/>
  <c r="C23" i="7"/>
  <c r="C40" i="7" s="1"/>
  <c r="B23" i="7"/>
  <c r="O27" i="7"/>
  <c r="N27" i="7"/>
  <c r="M27" i="7"/>
  <c r="L27" i="7"/>
  <c r="K27" i="7"/>
  <c r="J27" i="7"/>
  <c r="I27" i="7"/>
  <c r="H27" i="7"/>
  <c r="G27" i="7"/>
  <c r="F27" i="7"/>
  <c r="E27" i="7"/>
  <c r="C27" i="7"/>
  <c r="O24" i="7"/>
  <c r="N24" i="7"/>
  <c r="M24" i="7"/>
  <c r="L24" i="7"/>
  <c r="K24" i="7"/>
  <c r="J24" i="7"/>
  <c r="I24" i="7"/>
  <c r="H24" i="7"/>
  <c r="G24" i="7"/>
  <c r="F24" i="7"/>
  <c r="E24" i="7"/>
  <c r="C24" i="7"/>
  <c r="X45" i="6"/>
  <c r="W45" i="6"/>
  <c r="V45" i="6"/>
  <c r="U45" i="6"/>
  <c r="T45" i="6"/>
  <c r="S45" i="6"/>
  <c r="R45" i="6"/>
  <c r="Q45" i="6"/>
  <c r="P45" i="6"/>
  <c r="O45" i="6"/>
  <c r="M45" i="6"/>
  <c r="L45" i="6"/>
  <c r="K45" i="6"/>
  <c r="I45" i="6"/>
  <c r="X43" i="6"/>
  <c r="W43" i="6"/>
  <c r="V43" i="6"/>
  <c r="U43" i="6"/>
  <c r="T43" i="6"/>
  <c r="S43" i="6"/>
  <c r="R43" i="6"/>
  <c r="Q43" i="6"/>
  <c r="P43" i="6"/>
  <c r="O43" i="6"/>
  <c r="L43" i="6"/>
  <c r="K43" i="6"/>
  <c r="I43" i="6"/>
  <c r="W9" i="4"/>
  <c r="V9" i="4"/>
  <c r="U9" i="4"/>
  <c r="T9" i="4"/>
  <c r="S9" i="4"/>
  <c r="R9" i="4"/>
  <c r="Q9" i="4"/>
  <c r="P9" i="4"/>
  <c r="O9" i="4"/>
  <c r="N9" i="4"/>
  <c r="L9" i="4"/>
  <c r="K9" i="4"/>
  <c r="H9" i="4"/>
  <c r="I136" i="5"/>
  <c r="H49" i="3"/>
  <c r="M43" i="6" l="1"/>
  <c r="AD43" i="6" s="1"/>
  <c r="M36" i="7"/>
  <c r="M40" i="7"/>
  <c r="B36" i="7"/>
  <c r="B40" i="7"/>
  <c r="N36" i="7"/>
  <c r="N40" i="7"/>
  <c r="O36" i="7"/>
  <c r="O40" i="7"/>
  <c r="D36" i="7"/>
  <c r="D40" i="7"/>
  <c r="F36" i="7"/>
  <c r="F40" i="7"/>
  <c r="H36" i="7"/>
  <c r="H40" i="7"/>
  <c r="G36" i="7"/>
  <c r="G40" i="7"/>
  <c r="I36" i="7"/>
  <c r="I40" i="7"/>
  <c r="Z9" i="4"/>
  <c r="J36" i="7"/>
  <c r="J40" i="7"/>
  <c r="L36" i="7"/>
  <c r="L40" i="7"/>
  <c r="K36" i="7"/>
  <c r="K40" i="7"/>
  <c r="AA45" i="6"/>
  <c r="AA43" i="6"/>
  <c r="L47" i="3"/>
  <c r="AC46" i="3" s="1"/>
  <c r="AC3" i="3"/>
  <c r="R27" i="7"/>
  <c r="R24" i="7"/>
  <c r="S24" i="7"/>
  <c r="C36" i="7"/>
  <c r="R23" i="7"/>
  <c r="E36" i="7"/>
  <c r="S23" i="7"/>
  <c r="L30" i="7"/>
  <c r="L41" i="7" s="1"/>
  <c r="H30" i="7"/>
  <c r="H41" i="7" s="1"/>
  <c r="G30" i="7"/>
  <c r="G41" i="7" s="1"/>
  <c r="K30" i="7"/>
  <c r="K41" i="7" s="1"/>
  <c r="O30" i="7"/>
  <c r="O41" i="7" s="1"/>
  <c r="J30" i="7"/>
  <c r="J41" i="7" s="1"/>
  <c r="E30" i="7"/>
  <c r="E41" i="7" s="1"/>
  <c r="I30" i="7"/>
  <c r="I41" i="7" s="1"/>
  <c r="M30" i="7"/>
  <c r="M41" i="7" s="1"/>
  <c r="F30" i="7"/>
  <c r="F41" i="7" s="1"/>
  <c r="N30" i="7"/>
  <c r="N41" i="7" s="1"/>
  <c r="C30" i="7"/>
  <c r="C41" i="7" s="1"/>
  <c r="D30" i="7"/>
  <c r="D41" i="7" s="1"/>
  <c r="B30" i="7"/>
  <c r="B41" i="7" s="1"/>
  <c r="H7" i="4"/>
  <c r="L7" i="4"/>
  <c r="K7" i="4"/>
  <c r="J7" i="4"/>
  <c r="W7" i="4"/>
  <c r="V7" i="4"/>
  <c r="U7" i="4"/>
  <c r="T7" i="4"/>
  <c r="S7" i="4"/>
  <c r="R7" i="4"/>
  <c r="Q7" i="4"/>
  <c r="P7" i="4"/>
  <c r="O7" i="4"/>
  <c r="N7" i="4"/>
  <c r="AB45" i="6"/>
  <c r="AD45" i="6"/>
  <c r="AB135" i="5"/>
  <c r="AD135" i="5"/>
  <c r="AB136" i="5"/>
  <c r="AD136" i="5"/>
  <c r="AA47" i="3"/>
  <c r="AC47" i="3"/>
  <c r="AA48" i="3"/>
  <c r="AC48" i="3"/>
  <c r="B16" i="7"/>
  <c r="B12" i="7"/>
  <c r="O16" i="7"/>
  <c r="N16" i="7"/>
  <c r="M16" i="7"/>
  <c r="L16" i="7"/>
  <c r="K16" i="7"/>
  <c r="J16" i="7"/>
  <c r="I16" i="7"/>
  <c r="H16" i="7"/>
  <c r="O12" i="7"/>
  <c r="N12" i="7"/>
  <c r="M12" i="7"/>
  <c r="L12" i="7"/>
  <c r="K12" i="7"/>
  <c r="J12" i="7"/>
  <c r="I12" i="7"/>
  <c r="H12" i="7"/>
  <c r="AB43" i="6"/>
  <c r="S36" i="7" l="1"/>
  <c r="H20" i="7"/>
  <c r="H37" i="7" s="1"/>
  <c r="J20" i="7"/>
  <c r="J33" i="7" s="1"/>
  <c r="K20" i="7"/>
  <c r="K37" i="7" s="1"/>
  <c r="Z7" i="4"/>
  <c r="N20" i="7"/>
  <c r="N33" i="7" s="1"/>
  <c r="O20" i="7"/>
  <c r="O33" i="7" s="1"/>
  <c r="AA7" i="4"/>
  <c r="S30" i="7"/>
  <c r="R30" i="7"/>
  <c r="AC3" i="5"/>
  <c r="M20" i="7"/>
  <c r="M37" i="7" s="1"/>
  <c r="I20" i="7"/>
  <c r="I33" i="7" s="1"/>
  <c r="R36" i="7"/>
  <c r="B20" i="7"/>
  <c r="B37" i="7" s="1"/>
  <c r="L20" i="7"/>
  <c r="L37" i="7" s="1"/>
  <c r="AC7" i="4"/>
  <c r="O46" i="3"/>
  <c r="AA4" i="3"/>
  <c r="AB4" i="3" s="1"/>
  <c r="K33" i="7" l="1"/>
  <c r="K44" i="7" s="1"/>
  <c r="O37" i="7"/>
  <c r="J37" i="7"/>
  <c r="I44" i="7"/>
  <c r="M33" i="7"/>
  <c r="M44" i="7" s="1"/>
  <c r="H33" i="7"/>
  <c r="H44" i="7" s="1"/>
  <c r="J44" i="7"/>
  <c r="I37" i="7"/>
  <c r="N44" i="7"/>
  <c r="O44" i="7"/>
  <c r="L33" i="7"/>
  <c r="L44" i="7" s="1"/>
  <c r="N37" i="7"/>
  <c r="S27" i="7"/>
  <c r="AA3" i="3" l="1"/>
  <c r="E16" i="7" l="1"/>
  <c r="E12" i="7"/>
  <c r="E20" i="7" l="1"/>
  <c r="E37" i="7" s="1"/>
  <c r="G12" i="7"/>
  <c r="G16" i="7"/>
  <c r="F16" i="7"/>
  <c r="F12" i="7"/>
  <c r="C16" i="7"/>
  <c r="C12" i="7"/>
  <c r="B33" i="7"/>
  <c r="B44" i="7" s="1"/>
  <c r="X133" i="5"/>
  <c r="W133" i="5"/>
  <c r="V133" i="5"/>
  <c r="U133" i="5"/>
  <c r="T133" i="5"/>
  <c r="S133" i="5"/>
  <c r="R133" i="5"/>
  <c r="Q133" i="5"/>
  <c r="P133" i="5"/>
  <c r="O133" i="5"/>
  <c r="L133" i="5"/>
  <c r="K133" i="5"/>
  <c r="I133" i="5"/>
  <c r="W46" i="3"/>
  <c r="V46" i="3"/>
  <c r="U46" i="3"/>
  <c r="T46" i="3"/>
  <c r="S46" i="3"/>
  <c r="R46" i="3"/>
  <c r="Q46" i="3"/>
  <c r="P46" i="3"/>
  <c r="N46" i="3"/>
  <c r="K46" i="3"/>
  <c r="J46" i="3"/>
  <c r="H46" i="3"/>
  <c r="AC4" i="3"/>
  <c r="AA133" i="5" l="1"/>
  <c r="S16" i="7"/>
  <c r="E33" i="7"/>
  <c r="E44" i="7" s="1"/>
  <c r="S12" i="7"/>
  <c r="C20" i="7"/>
  <c r="C37" i="7" s="1"/>
  <c r="F20" i="7"/>
  <c r="G20" i="7"/>
  <c r="AB133" i="5"/>
  <c r="AA9" i="4"/>
  <c r="AB3" i="3"/>
  <c r="D16" i="7"/>
  <c r="R16" i="7" s="1"/>
  <c r="L46" i="3"/>
  <c r="M133" i="5"/>
  <c r="AD133" i="5" s="1"/>
  <c r="D12" i="7"/>
  <c r="AC9" i="4"/>
  <c r="C33" i="7" l="1"/>
  <c r="C44" i="7" s="1"/>
  <c r="G33" i="7"/>
  <c r="G44" i="7" s="1"/>
  <c r="R12" i="7"/>
  <c r="G37" i="7"/>
  <c r="F37" i="7"/>
  <c r="S20" i="7"/>
  <c r="D20" i="7"/>
  <c r="D37" i="7" s="1"/>
  <c r="F33" i="7"/>
  <c r="S33" i="7" l="1"/>
  <c r="R20" i="7"/>
  <c r="F44" i="7"/>
  <c r="D33" i="7"/>
  <c r="R33" i="7" s="1"/>
  <c r="D44" i="7" l="1"/>
</calcChain>
</file>

<file path=xl/sharedStrings.xml><?xml version="1.0" encoding="utf-8"?>
<sst xmlns="http://schemas.openxmlformats.org/spreadsheetml/2006/main" count="1835" uniqueCount="920">
  <si>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</si>
  <si>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</si>
  <si>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</si>
  <si>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</si>
  <si>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</si>
  <si>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</si>
  <si>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</si>
  <si>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</si>
  <si>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</si>
  <si>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</si>
  <si>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</si>
  <si>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</si>
  <si>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</si>
  <si>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</si>
  <si>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</si>
  <si>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</si>
  <si>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</si>
  <si>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</si>
  <si>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</si>
  <si>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</si>
  <si>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</si>
  <si>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</si>
  <si>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</si>
  <si>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</si>
  <si>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</si>
  <si>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</si>
  <si>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</si>
  <si>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</si>
  <si>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</si>
  <si>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</si>
  <si>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</si>
  <si>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</si>
  <si>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</si>
  <si>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</si>
  <si>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</si>
  <si>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</si>
  <si>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</si>
  <si>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</si>
  <si>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</si>
  <si>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</si>
  <si>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</si>
  <si>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</si>
  <si>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</si>
  <si>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</si>
  <si>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</si>
  <si>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</si>
  <si>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</si>
  <si>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</si>
  <si>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2024</t>
    </r>
  </si>
  <si>
    <t>Województwo: dolnośląskie</t>
  </si>
  <si>
    <t>A/2023/P-25</t>
  </si>
  <si>
    <t>K</t>
  </si>
  <si>
    <t>Powiat Świdnicki</t>
  </si>
  <si>
    <t>0219</t>
  </si>
  <si>
    <t>Przebudowa drogi powiatowej nr 2887D Strzegom - Graniczna - Goczałków - Rogoźnica etap I</t>
  </si>
  <si>
    <t>P</t>
  </si>
  <si>
    <t>05/2023-08/2024</t>
  </si>
  <si>
    <t>A/2023/P-15</t>
  </si>
  <si>
    <t>Powiat Lubiński</t>
  </si>
  <si>
    <t>0211</t>
  </si>
  <si>
    <t xml:space="preserve">Remont drogi powiatowej nr 1208D na odcinku Toszowice - Tymowa </t>
  </si>
  <si>
    <t>R</t>
  </si>
  <si>
    <t>04/2023-06/2024</t>
  </si>
  <si>
    <t>A/2023/P-35</t>
  </si>
  <si>
    <t xml:space="preserve">Powiat Trzebnicki </t>
  </si>
  <si>
    <t>0220</t>
  </si>
  <si>
    <t>Przebudowa drogi powiatowej nr 1365D na odcinku Piotrowiczki do wiaduktu drogi ekspresowej S5</t>
  </si>
  <si>
    <t>06/2023-11/2024</t>
  </si>
  <si>
    <t>A/2023/P-21</t>
  </si>
  <si>
    <t>Powiat Wrocławski</t>
  </si>
  <si>
    <t>0223</t>
  </si>
  <si>
    <t>Rozbudowa drogi powiatowej nr 2000D w Mietkowie - zadanie 2</t>
  </si>
  <si>
    <t>07/2023-12/2024</t>
  </si>
  <si>
    <t>A/2023/P-36</t>
  </si>
  <si>
    <t>Powiat Karkonoski</t>
  </si>
  <si>
    <t>0206</t>
  </si>
  <si>
    <t>Przebudowa drogi powiatowej nr 2720D Podgórzyn - Borowice - Sosnówka w km 0+000 do 5+002</t>
  </si>
  <si>
    <t>07/2023-09/2025</t>
  </si>
  <si>
    <t>A/2023/P-39</t>
  </si>
  <si>
    <t>Powiat Polkowicki</t>
  </si>
  <si>
    <t>0216</t>
  </si>
  <si>
    <t>Przebudowa wraz z rozbudową drogi powiatowej nr 1016 w m. Jakubów</t>
  </si>
  <si>
    <t>B</t>
  </si>
  <si>
    <t>05/2023-11/2024</t>
  </si>
  <si>
    <t>A/2024/P-35</t>
  </si>
  <si>
    <t>N</t>
  </si>
  <si>
    <t>Powiat Ząbkowicki</t>
  </si>
  <si>
    <t>0224</t>
  </si>
  <si>
    <t>Przebudowa drogi powiatowej nr 3177D w miejscowości Stolec, etap II, km 4+215-5+000</t>
  </si>
  <si>
    <t>03.2024-11.2024</t>
  </si>
  <si>
    <t>A/2024/P-8</t>
  </si>
  <si>
    <t>W</t>
  </si>
  <si>
    <t>Powiat Dzierżoniowski</t>
  </si>
  <si>
    <t>0202</t>
  </si>
  <si>
    <t>05.2024-05.2026</t>
  </si>
  <si>
    <t>A/2024/P-38</t>
  </si>
  <si>
    <t xml:space="preserve">Powiat Bolesławiecki </t>
  </si>
  <si>
    <t>0201</t>
  </si>
  <si>
    <t>Przebudowa drogi powiatowej nr 2272D w m. Wierzbowa</t>
  </si>
  <si>
    <t>06.2024-10.2024</t>
  </si>
  <si>
    <t>A/2024/P-7</t>
  </si>
  <si>
    <t>Powiat Zgorzelecki</t>
  </si>
  <si>
    <t>0225</t>
  </si>
  <si>
    <t>Przebudowa drogi powiatowej nr 2363D w miejscowości Porajów od km 1+ 613 do km 2+566 - ETAP 1 od km 1+613 do km 2+341</t>
  </si>
  <si>
    <t>07.2024-11.2024</t>
  </si>
  <si>
    <t>A/2024/P-37</t>
  </si>
  <si>
    <t>Powiat Trzebnicki</t>
  </si>
  <si>
    <t>Przebudowa drogi powiatowej nr 1353D Strupina - Górowo</t>
  </si>
  <si>
    <t>04.2024-11.2024</t>
  </si>
  <si>
    <t>A/2024/P-12</t>
  </si>
  <si>
    <t>Powiat Kłodzki</t>
  </si>
  <si>
    <t>0208</t>
  </si>
  <si>
    <t>Przebudowa odcinka drogi powiatowej nr 3291D ul. Pułaskiego w Polanicy-Zdroju</t>
  </si>
  <si>
    <t>04.2024-10.2024</t>
  </si>
  <si>
    <t>A/2024/P-5</t>
  </si>
  <si>
    <t xml:space="preserve">Powiat Lubiński </t>
  </si>
  <si>
    <t>A/2024/P-15</t>
  </si>
  <si>
    <t>Przebudowa drogi powiatowej nr 2913D w miejscowości Witków</t>
  </si>
  <si>
    <t>03.2024-08.2025</t>
  </si>
  <si>
    <t>A/2024/P-22</t>
  </si>
  <si>
    <t>Przebudowa drogi powiatowej nr 3158D od miejscowości  Braszowice do ronda w Brzeźnicy, etap II, km 10+443-11+207</t>
  </si>
  <si>
    <t>A/2024/P-36</t>
  </si>
  <si>
    <t>Powiat Głogowski</t>
  </si>
  <si>
    <t>0203</t>
  </si>
  <si>
    <t>05.2024-12.2024</t>
  </si>
  <si>
    <t>A/2024/P-6</t>
  </si>
  <si>
    <t>06.2024-11.2024</t>
  </si>
  <si>
    <t>A/2024/P-2</t>
  </si>
  <si>
    <t>Powiat Górowski</t>
  </si>
  <si>
    <t>0204</t>
  </si>
  <si>
    <t>Remont drogi powiatowej nr 1083D</t>
  </si>
  <si>
    <t>A/2024/P-23</t>
  </si>
  <si>
    <t>Gmina Wałbrzych</t>
  </si>
  <si>
    <t>0221091</t>
  </si>
  <si>
    <t>Przebudowa ul. Moniuszki (droga powiatowa nr 3361D) na odcinku od wiaduktu kolejowego do skrzyżowania z ul. Sikorskiego (droga krajowa nr 35) wraz z jego przebudową</t>
  </si>
  <si>
    <t>06.2024-12.2025</t>
  </si>
  <si>
    <t>A/2024/P-27</t>
  </si>
  <si>
    <t>Powiat Lubański</t>
  </si>
  <si>
    <t>0210</t>
  </si>
  <si>
    <t>Przebudowa drogi powiatowej nr 2462D ul. Legnicka w km 0+800 - 2+692 w miejscowości Olszyna</t>
  </si>
  <si>
    <t>03.2024-10.2024</t>
  </si>
  <si>
    <t>A/2024/P-24</t>
  </si>
  <si>
    <t>Powiat Milicki</t>
  </si>
  <si>
    <t>0213</t>
  </si>
  <si>
    <t xml:space="preserve">Przebudowa drogi powiatowej nr 1430D na odcinku od skrzyżowania z drogą powiatową nr 1432D (Młodzianów) do skrzyżowania z drogą powiatową nr 1436 D (Henrykowice) </t>
  </si>
  <si>
    <t>12.2024-11.2025</t>
  </si>
  <si>
    <t>A/2024/P-13</t>
  </si>
  <si>
    <t>Powiat Kamiennogórski</t>
  </si>
  <si>
    <t>0207</t>
  </si>
  <si>
    <t>A/2024/P-26</t>
  </si>
  <si>
    <t>Gmina Legnica</t>
  </si>
  <si>
    <t>0262011</t>
  </si>
  <si>
    <t>Przebudowa al. Rzeczypospolitej od ul. Kaczawskiej do ul. Legionów w Legnicy</t>
  </si>
  <si>
    <t>A/2024/P-31</t>
  </si>
  <si>
    <t xml:space="preserve">Rozbudowa drogi powiatowej nr 1341D z budową chodnika na odcinku od skrzyżowania z ul. Zakrzowską w miejscowości Szczodre do skrzyżowania z ulicą Wrocławską w miejscowości Długołęka , gm. Długołęka </t>
  </si>
  <si>
    <t>04.2024-11.2025</t>
  </si>
  <si>
    <t>A/2024/P-1</t>
  </si>
  <si>
    <t>Powiat Jaworski</t>
  </si>
  <si>
    <t>0205</t>
  </si>
  <si>
    <t>Przebudowa drogi powiatowej nr 2176D relacji Jawor-Godziszowa o dł. ok. 1,3 km</t>
  </si>
  <si>
    <t>12.2024-07.2025</t>
  </si>
  <si>
    <t>A/2024/P-16</t>
  </si>
  <si>
    <t xml:space="preserve">Przebudowa drogi powiatowej nr 2887D Strzegom - Graniczna - Goczałków - Rogoźnica - etap II </t>
  </si>
  <si>
    <t>03.2024-05.2025</t>
  </si>
  <si>
    <t>A/2024/P-17</t>
  </si>
  <si>
    <t>Przebudowa drogi powiatowej nr 1001D na odcinku pomiędzy miejscowościami Retków i Stara Rzeka</t>
  </si>
  <si>
    <t>05.2024-10.2025</t>
  </si>
  <si>
    <t>A/2024/P-20</t>
  </si>
  <si>
    <t>Powiat Legnicki</t>
  </si>
  <si>
    <t>0209</t>
  </si>
  <si>
    <t>Remont drogi powiatowej nr 2203D w miejscowości Dunino, długości 1 800 m</t>
  </si>
  <si>
    <t>03.2024-12.2024</t>
  </si>
  <si>
    <t>A/2024/P-25</t>
  </si>
  <si>
    <t>Przebudowa drogi powiatowej nr 1440D na odcinku od skrzyżowania z drogą powiatową nr  1441D do miejscowości Wierzchowice</t>
  </si>
  <si>
    <t>A/2024/P-29</t>
  </si>
  <si>
    <t>Powiat Lwówecki</t>
  </si>
  <si>
    <t>0212</t>
  </si>
  <si>
    <t>Remont drogi powiatowej nr 2525D Lubomierz-Ubocze w km 0+303-6+280 o dł. 5,977 km</t>
  </si>
  <si>
    <t>04.2024-10.2025</t>
  </si>
  <si>
    <t>A/2024/P-34</t>
  </si>
  <si>
    <t>Przebudowa drogi powiatowej nr 1111D Laskowa - Korzeńsko - etap II</t>
  </si>
  <si>
    <t>01.2024-11.2024</t>
  </si>
  <si>
    <t>A/2024/P-19</t>
  </si>
  <si>
    <t>Powiat Wałbrzyski</t>
  </si>
  <si>
    <t>0221</t>
  </si>
  <si>
    <t>Przebudowa drogi powiatowej nr 3397D ul. Żeromskiego w Boguszowie-Gorcach</t>
  </si>
  <si>
    <t>05.2024-10.2024</t>
  </si>
  <si>
    <t>A/2024/P-28</t>
  </si>
  <si>
    <t>Przebudowa drogi powiatowej nr 2486D w km 0+000-2+159 w miejscowości Platerówka</t>
  </si>
  <si>
    <t>A/2024/P-33</t>
  </si>
  <si>
    <t>Remont drogi powiatowej (dawniej droga wojewódzka 366) w km 0+000 - km 3+974 oraz km 7+505 - km 24+176 o łącznej długości 19 505 (z wyłączeniem odcinka km 13+500- km 14+640)</t>
  </si>
  <si>
    <t>04.2024-12.2029</t>
  </si>
  <si>
    <t>RFRD/2022/A/G-31</t>
  </si>
  <si>
    <t>Gmina Świebodzice</t>
  </si>
  <si>
    <t>0219021</t>
  </si>
  <si>
    <t>świdnicki</t>
  </si>
  <si>
    <t>Budowa małej obwodnicy wraz z niezbędną infrastrukturą w rejonie Osiedla Piastowskiego w Świebodzicach</t>
  </si>
  <si>
    <t>IX.2022-VIII.2024</t>
  </si>
  <si>
    <t>A/2023/G-42</t>
  </si>
  <si>
    <t>Gmina Miejska Kłodzko</t>
  </si>
  <si>
    <t>0208021</t>
  </si>
  <si>
    <t>kłodzki</t>
  </si>
  <si>
    <t xml:space="preserve">Odbudowa ulic Hołdu Pruskiego i Wolności w Kłodzku </t>
  </si>
  <si>
    <t>A/2023/G-109</t>
  </si>
  <si>
    <t>Gmina Miasto Boguszów-Gorce</t>
  </si>
  <si>
    <t>0221011</t>
  </si>
  <si>
    <t>wałbrzyski</t>
  </si>
  <si>
    <t>Przebudowa dróg gminnych ul. Jana Kochanowskiego oraz fragmentu ul. Władysława Broniewskiego w Boguszowie-Gorcach wraz z niezbędną infrastrukturą techniczną</t>
  </si>
  <si>
    <t>05/2023-12/2024</t>
  </si>
  <si>
    <t>A/2023/G-58</t>
  </si>
  <si>
    <t>Gmina Bielawa</t>
  </si>
  <si>
    <t>0202011</t>
  </si>
  <si>
    <t>dzierżoniowski</t>
  </si>
  <si>
    <t>Rozbudowa drogi gminnej nr 117931 D (ul. Wysoka) łączącej Camping "Sudety" w Bielawie z drogą wojewódzką nr 384 - etap I</t>
  </si>
  <si>
    <t>06/2023 - 07/2024</t>
  </si>
  <si>
    <t>Gmina Lądek-Zdrój</t>
  </si>
  <si>
    <t>0208083</t>
  </si>
  <si>
    <t>Przebudowa drogi gminnej nr 119797D - ul. Fabrycznej w Lądku - Zdroju</t>
  </si>
  <si>
    <t>08/2023-11/2025</t>
  </si>
  <si>
    <t>A/2023/G-81</t>
  </si>
  <si>
    <t>Gmina Jedlina Zdrój</t>
  </si>
  <si>
    <t>0221021</t>
  </si>
  <si>
    <t>Przebudowa drogi gminnej  - dz. nr 133, 135, 136/2 (obręb Glinica) w Jedlinie-Zdroju</t>
  </si>
  <si>
    <t>06/2023-07/2024</t>
  </si>
  <si>
    <t>A/2023/G-2</t>
  </si>
  <si>
    <t>Gmina Pieszyce</t>
  </si>
  <si>
    <t>0202033</t>
  </si>
  <si>
    <t>Przebudowa drogi publicznej nr 117655D w miejscowości Piskorzów etap 1</t>
  </si>
  <si>
    <t>05/2023 - 09/2024</t>
  </si>
  <si>
    <t>A/2023/G-149</t>
  </si>
  <si>
    <t>Gmina Strzegom</t>
  </si>
  <si>
    <t>0219063</t>
  </si>
  <si>
    <t>Przebudowa ul. gen. Władysława Andersa oraz ul. Brzozowej (etap I) w Strzegomiu</t>
  </si>
  <si>
    <t>08/2023-09/2024</t>
  </si>
  <si>
    <t>A/2023/G-59</t>
  </si>
  <si>
    <t>Przebudowa drogi gminnej nr 117957 D (ul. Stefana Żeromskiego - etap II) oraz drogi gminnej nr 117896 (ul. Bankowa ) i drogi gminnej nr 117902 D (ul. Sienkiewicza) w Bielawie</t>
  </si>
  <si>
    <t>A/2023/G-91</t>
  </si>
  <si>
    <t>Gmina Jawor</t>
  </si>
  <si>
    <t>0205011</t>
  </si>
  <si>
    <t>jaworski</t>
  </si>
  <si>
    <t>Przebudowa ul. Wrocławskiej na odcinku od przejazdu kolejowego do (z) skrzyżowania z ul. Armii Krajowej w Jaworze</t>
  </si>
  <si>
    <t>03/2023-10/2024</t>
  </si>
  <si>
    <t>A/2023/G-150</t>
  </si>
  <si>
    <t>Przebudowa drogi gminnej nr 110810D ul. Al. Wojska Polskiego w Strzegomiu - etap II</t>
  </si>
  <si>
    <t>A/2023/G-20</t>
  </si>
  <si>
    <t>Gmina Miasto Świdnica</t>
  </si>
  <si>
    <t>0219011</t>
  </si>
  <si>
    <t>Rozbudowa wraz z przebudową ul. Kraszowickiej w Świdnicy - Etap IV</t>
  </si>
  <si>
    <t>A/2023/G-142</t>
  </si>
  <si>
    <t>Gmina Dzierżoniów</t>
  </si>
  <si>
    <t>0202052</t>
  </si>
  <si>
    <t>Przebudowa ul. Wrocławskiej w Uciechowie wraz z budową chodnika</t>
  </si>
  <si>
    <t>04/2023-12/2024</t>
  </si>
  <si>
    <t>A/2023/G-72</t>
  </si>
  <si>
    <t>Gmina Lubin</t>
  </si>
  <si>
    <t>0211022</t>
  </si>
  <si>
    <t>lubiński</t>
  </si>
  <si>
    <t>Rozbudowa drogi gminnej nr 103053D w miejscowości Księginice</t>
  </si>
  <si>
    <t>05/2023-06/2024</t>
  </si>
  <si>
    <t>Gmina Ścinawa</t>
  </si>
  <si>
    <t>0211043</t>
  </si>
  <si>
    <t>Przebudowa ul. Salezjańskiej i Dominikańskiej w Ścinawie</t>
  </si>
  <si>
    <t>A/2023/G-156</t>
  </si>
  <si>
    <t>Budowa z przebudową ulicy Inżynierskiej w Świdnicy</t>
  </si>
  <si>
    <t>06/2023-09/2024</t>
  </si>
  <si>
    <t>A/2023/G-75</t>
  </si>
  <si>
    <t>Gmina Trzebnica</t>
  </si>
  <si>
    <t>0220033</t>
  </si>
  <si>
    <t>trzebnicki</t>
  </si>
  <si>
    <t>Przebudowa ulic Malinowej, Poziomkowej, Jagodowej i Borówkowej w Trzebnicy wraz z budową i przebudową infrastruktury towarzyszącej</t>
  </si>
  <si>
    <t>09/2023-03/2025</t>
  </si>
  <si>
    <t>A/2023/G-40</t>
  </si>
  <si>
    <t>Gmina Prochowice</t>
  </si>
  <si>
    <t>0209073</t>
  </si>
  <si>
    <t>legnicki</t>
  </si>
  <si>
    <t>Przebudowa drogi gminnej (ul. Rogowska) wraz z przebudową skrzyżowania z ul. Wojska Polskiego w Prochowicach</t>
  </si>
  <si>
    <t>03/2023-06/2024</t>
  </si>
  <si>
    <t>A/2023/G-101</t>
  </si>
  <si>
    <t>Gmina Domaniów</t>
  </si>
  <si>
    <t>0215022</t>
  </si>
  <si>
    <t>oławski</t>
  </si>
  <si>
    <t>Przebudowa drogi gminnej w miejscowości Wierzbno w gminie Domaniów</t>
  </si>
  <si>
    <t>04/2023-10/2024</t>
  </si>
  <si>
    <t>A/2024/P-10</t>
  </si>
  <si>
    <t>Powiat Oławski</t>
  </si>
  <si>
    <t>0215</t>
  </si>
  <si>
    <t xml:space="preserve">Remont drogi powiatowej nr 1539D Miłoszyce - Dziuplina - Jelcz-Laskowice, km 1+040-1+770, 2+410-3+730 </t>
  </si>
  <si>
    <t>A/2024/P-3</t>
  </si>
  <si>
    <t>Powiat Oleśnicki</t>
  </si>
  <si>
    <t>0214</t>
  </si>
  <si>
    <t xml:space="preserve">Przebudowa drogi powiatowej nr 1510D w ul. Rzemieślniczej </t>
  </si>
  <si>
    <t>Przebudowa drogi powiatowej nr 1930D w miejscowości Chrząstawa Mała, gm. Czernica</t>
  </si>
  <si>
    <t>03.2024-10.2025</t>
  </si>
  <si>
    <t>A/2024/P-4</t>
  </si>
  <si>
    <t>Przebudowa drogi powiatowej nr  2491D Nielestno - granica powiatu, etap I w km 10+690-13+050 o dł. 2,36 km</t>
  </si>
  <si>
    <t>Przebudowa odcinka drogi powiatowej nr 3256D Stara Morawa - Kletno</t>
  </si>
  <si>
    <t>Przebudowa drogi Powiatowej nr 1574D, ulica Oławska w miejscowości Jaczkowice km 0+000-0+8745</t>
  </si>
  <si>
    <t>05.2024--10.2024</t>
  </si>
  <si>
    <t>Powiat Złotoryjski</t>
  </si>
  <si>
    <t>0226</t>
  </si>
  <si>
    <t>Przebudowa drogi powiatowej 2609D Pielgrzymka - Nowy Kościół etap I</t>
  </si>
  <si>
    <t>10.2024-08.2025</t>
  </si>
  <si>
    <t>A/2024/P-21</t>
  </si>
  <si>
    <t>04.2024-12.2024</t>
  </si>
  <si>
    <t>A/2024/G-71</t>
  </si>
  <si>
    <t>Gmina Kudowa-Zdrój</t>
  </si>
  <si>
    <t>0208031</t>
  </si>
  <si>
    <t>Przebudowa ulicy Słonecznej nr 119245D w Kudowie-Zdroju- etap I</t>
  </si>
  <si>
    <t>02.2024-11.2024</t>
  </si>
  <si>
    <t>A/2024/G-140</t>
  </si>
  <si>
    <t>Przebudowa drogi gminnej nr 117957D - ul. Stefana Żeromskiego w Bielawie - etap III</t>
  </si>
  <si>
    <t>05.2024-04.2025</t>
  </si>
  <si>
    <t>A/2024/G-103</t>
  </si>
  <si>
    <t>Gmina Marcinowice</t>
  </si>
  <si>
    <t>0219052</t>
  </si>
  <si>
    <t>Przebudowa drogi gminnej na działce 542, 543 w miejscowości Wirki wraz z odbudową mostu</t>
  </si>
  <si>
    <t>01.2024-03.2025</t>
  </si>
  <si>
    <t>A/2024/G-76</t>
  </si>
  <si>
    <t>Gmina Lewin Kłodzki</t>
  </si>
  <si>
    <t>0208092</t>
  </si>
  <si>
    <t>Przebudowa drogi gminnej nr 119298D w miejscowości Lewin Kłodzki</t>
  </si>
  <si>
    <t>A/2024/G-6</t>
  </si>
  <si>
    <t>Gmina Góra</t>
  </si>
  <si>
    <t>0204013</t>
  </si>
  <si>
    <t>górowski</t>
  </si>
  <si>
    <t>Przebudowa drogi gminnej w zakresie wymiany nawierzchni chodników przy ul.Kościuszki w m. Góra - etap II</t>
  </si>
  <si>
    <t>05.2024 - 11.2024</t>
  </si>
  <si>
    <t>Odbudowa ulicy Partyzantów w Kłodzku, droga gminna nr 119052D</t>
  </si>
  <si>
    <t>A/2024/G-27</t>
  </si>
  <si>
    <t>0202031</t>
  </si>
  <si>
    <t>Przebudowa drogi wraz z budową kanalizacji deszczowej, przebudową sieci energetycznej oraz przebudową sieci teletechnicznej  ul. Świdnickiej w Pieszycach</t>
  </si>
  <si>
    <t>10.2024-05.2024</t>
  </si>
  <si>
    <t>A/2024/G-81</t>
  </si>
  <si>
    <t>Gmina Nowa Ruda</t>
  </si>
  <si>
    <t>0208112</t>
  </si>
  <si>
    <t>Przebudowa drogi gminnej nr 120374D w miejscowości Wolibórz</t>
  </si>
  <si>
    <t>A/2024/G-105</t>
  </si>
  <si>
    <t>Gmina Niemcza</t>
  </si>
  <si>
    <t xml:space="preserve">Przebudowa drogi gminnej nr 117501D z Kietlina do Wilkowa Wielkiego </t>
  </si>
  <si>
    <t>A/2024/G-121</t>
  </si>
  <si>
    <t>Gmina Osiecznica</t>
  </si>
  <si>
    <t>bolesławiecki</t>
  </si>
  <si>
    <t>Remont ciągu dróg gminnych numer 103594D (ul. Klonowa) i 103596D (Husarska) w miejscowości Świętoszów</t>
  </si>
  <si>
    <t>03.2024-09.2024</t>
  </si>
  <si>
    <t>A/2024/G-89</t>
  </si>
  <si>
    <t xml:space="preserve">Gmina Miejska Złotoryja </t>
  </si>
  <si>
    <t>0226021</t>
  </si>
  <si>
    <t>złotoryjski</t>
  </si>
  <si>
    <t>04.2024-09.2024</t>
  </si>
  <si>
    <t>A/2024/G-119</t>
  </si>
  <si>
    <t>Gmina Łagiewniki</t>
  </si>
  <si>
    <t>0202062</t>
  </si>
  <si>
    <t>Przebudowa drogi gminnej nr 117225D ul. Cukrowniczej i ul. Zboińskiej w m. Łagiewniki</t>
  </si>
  <si>
    <t>A/2024/G-13</t>
  </si>
  <si>
    <t>Gmina Stronie Śląskie</t>
  </si>
  <si>
    <t>0208133</t>
  </si>
  <si>
    <t>06.2024-09.2024</t>
  </si>
  <si>
    <t>A/2024/G-120</t>
  </si>
  <si>
    <t>Gmina Jedlina-Zdrój</t>
  </si>
  <si>
    <t>A/2024/G-93</t>
  </si>
  <si>
    <t>Gmina Siekierczyn</t>
  </si>
  <si>
    <t>0210072</t>
  </si>
  <si>
    <t>lubański</t>
  </si>
  <si>
    <t>Remont drogi gminnej publicznej nr 109662D w Siekierczynie</t>
  </si>
  <si>
    <t>A/2024/G-96</t>
  </si>
  <si>
    <t>Gmina Kłodzko</t>
  </si>
  <si>
    <t>0208072</t>
  </si>
  <si>
    <t>Przebudowa drogi dz. Nr 225/15, 203/2, 203/3 i 1466/28 we wsi Stary Wielisław</t>
  </si>
  <si>
    <t>06.2024-05.2025</t>
  </si>
  <si>
    <t>A/2024/G-44</t>
  </si>
  <si>
    <t>Gmina Stoszowice</t>
  </si>
  <si>
    <t>ząbkowicki</t>
  </si>
  <si>
    <t xml:space="preserve">Przebudowa drogi gminnej w m. Lutomierz dz. Nr 421 </t>
  </si>
  <si>
    <t>06.2024-12.2024</t>
  </si>
  <si>
    <t>A/2024/G-23</t>
  </si>
  <si>
    <t>Gmina Malczyce</t>
  </si>
  <si>
    <t>0218022</t>
  </si>
  <si>
    <t>średzki</t>
  </si>
  <si>
    <t>03.2024-02.2025</t>
  </si>
  <si>
    <t>A/2024/G-90</t>
  </si>
  <si>
    <t>Gmina Miejska Nowa Ruda</t>
  </si>
  <si>
    <t>0208041</t>
  </si>
  <si>
    <t xml:space="preserve">Przebudowa ciągu dróg gminnych ul. Tadeusza Kościuszki - 018544D, Os. Piastowskie - 018659D, ul. Sportowa - 018581D w Nowej Rudzie - Etap I </t>
  </si>
  <si>
    <t>A/2024/G-7</t>
  </si>
  <si>
    <t>Gmina Oborniki Śląskie</t>
  </si>
  <si>
    <t>0220013</t>
  </si>
  <si>
    <t>Przebudowa drogi gminnej ul. Stanisława Moniuszki w miejscowości Golędzinów Gmina Oborniki Śląskie</t>
  </si>
  <si>
    <t>02.2024 - 12.2024</t>
  </si>
  <si>
    <t>A/2024/G-114</t>
  </si>
  <si>
    <t>Gmina Nowogrodziec</t>
  </si>
  <si>
    <t>02.2024-11.2025</t>
  </si>
  <si>
    <t>A/2024/G-68</t>
  </si>
  <si>
    <t>Gmina Dobromierz</t>
  </si>
  <si>
    <t>0219032</t>
  </si>
  <si>
    <t>Przebudowa części drogi gminnej nr 112337D w miejscowości Czernica wraz z budową chodnika i oświetlenia</t>
  </si>
  <si>
    <t>01.2024-05.2025</t>
  </si>
  <si>
    <t>A/2024/G-49</t>
  </si>
  <si>
    <t>Gmina Bardo</t>
  </si>
  <si>
    <t>0224013</t>
  </si>
  <si>
    <t>Przebudowa drogi gminnej nr 118787D w miejscowości Opolnica</t>
  </si>
  <si>
    <t>A/2024/G-17</t>
  </si>
  <si>
    <t>Gmina Szczytna</t>
  </si>
  <si>
    <t>0208143</t>
  </si>
  <si>
    <t>Przebudowa drogi gminnej - ul. Szkolnej w Szczytnej</t>
  </si>
  <si>
    <t>01.2024-10.2024</t>
  </si>
  <si>
    <t>A/2024/G-45</t>
  </si>
  <si>
    <t>Przebudowa drogi gminnej w m. Srebrna Góra, dz. Nr 22, 396,397</t>
  </si>
  <si>
    <t>A/2024/G-159</t>
  </si>
  <si>
    <t>Gmina Mściwojów</t>
  </si>
  <si>
    <t>0205042</t>
  </si>
  <si>
    <t>Przebudowa drogi gminnej w Niedaszowie w granicach działki nr 306</t>
  </si>
  <si>
    <t>A/2024/G-147</t>
  </si>
  <si>
    <t>Gmina Jemielno</t>
  </si>
  <si>
    <t>0204022</t>
  </si>
  <si>
    <t>Remont drogi gminnej nr 100857D na odcinku Luboszyce Małe - Luboszyce</t>
  </si>
  <si>
    <t>A/2024/G-51</t>
  </si>
  <si>
    <t xml:space="preserve">Gmina Miejska Dzierżoniów </t>
  </si>
  <si>
    <t>0202021</t>
  </si>
  <si>
    <t>Przebudowa dróg gminnych o numerach 117106D, 117080D - ul. Słowiańskiej wraz z dwoma sięgaczami os. Słonecznego w Dzierżoniowie</t>
  </si>
  <si>
    <t>A/2024/G-72</t>
  </si>
  <si>
    <t>Gmina Wądroże Wielkie</t>
  </si>
  <si>
    <t>0205062</t>
  </si>
  <si>
    <t>Przebudowa drogi gminnej dz. nr 87/1, obręb Rąbienice i dz. nr  224/1, obręb Postolice</t>
  </si>
  <si>
    <t>A/2024/G-21</t>
  </si>
  <si>
    <t>Gmina Legnickie Pole</t>
  </si>
  <si>
    <t>0209052</t>
  </si>
  <si>
    <t xml:space="preserve">Remont drogi gminnej nr 007426 D (dz.nr 155/2) w miejscowości Nowa Wieś Legnicka </t>
  </si>
  <si>
    <t>A/2024/G-117</t>
  </si>
  <si>
    <t>Gmina Wisznia Mała</t>
  </si>
  <si>
    <t>0220042</t>
  </si>
  <si>
    <t>Przebudowa drogi gminnej - ul. Szkolnej w miejscowości Wisznia Mała</t>
  </si>
  <si>
    <t>04.2024-.03.2025</t>
  </si>
  <si>
    <t>A/2024/G-1</t>
  </si>
  <si>
    <t>Gmina Miejska Kowary</t>
  </si>
  <si>
    <t>0206021</t>
  </si>
  <si>
    <t>karkonoski</t>
  </si>
  <si>
    <t>Przebudowa ulicy Władysława Grabskiego - drogi gminnej nr 115839D w Kowarach</t>
  </si>
  <si>
    <t>02.2024 - 11.2025</t>
  </si>
  <si>
    <t>A/2024/G-9</t>
  </si>
  <si>
    <t>Gmina Mysłakowice</t>
  </si>
  <si>
    <t>0206072</t>
  </si>
  <si>
    <t>Przebudowa drogi gminnej nr 115161D - ul. 1 Maja w Mysłakowicach</t>
  </si>
  <si>
    <t>A/2024/G-26</t>
  </si>
  <si>
    <t>Gmina Kamieniec Ząbkowicki</t>
  </si>
  <si>
    <t>0224033</t>
  </si>
  <si>
    <t>Przebudowa drogi gminnej ul. Ogrodowej w Kamieńcu Ząbkowickim</t>
  </si>
  <si>
    <t>07.2024-06.2025</t>
  </si>
  <si>
    <t>A/2024/G-98</t>
  </si>
  <si>
    <t>Gmina Niechlów</t>
  </si>
  <si>
    <t>0204032</t>
  </si>
  <si>
    <t>Przebudowa drogi poscaleniowej w m. Naratów dz. Nr 366 (Naratów - Bogucin) dł 0,847 km - II etap</t>
  </si>
  <si>
    <t>A/2024/G-80</t>
  </si>
  <si>
    <t>Przebudowa drogi gminnej ul. Kolejowej w Nowej Rudzie - 018545D</t>
  </si>
  <si>
    <t>A/2024/G-88</t>
  </si>
  <si>
    <t>Remont drogi gminnej numer 117136D - ul. Żeromskiego w Dzierżoniowie</t>
  </si>
  <si>
    <t>04.2024-07.2024</t>
  </si>
  <si>
    <t>A/2024/G-106</t>
  </si>
  <si>
    <t>Gmina Radków</t>
  </si>
  <si>
    <t>0208123</t>
  </si>
  <si>
    <t xml:space="preserve">Przebudowa drogi gminnej w Ścinawce Średniej ul. Orzeszkowej </t>
  </si>
  <si>
    <t>05.2024-01.2025</t>
  </si>
  <si>
    <t>A/2024/G-30</t>
  </si>
  <si>
    <t>Gmina Ciepłowody</t>
  </si>
  <si>
    <t>Remont drogi gminnej nr 118121D w miejscowości Ciepłowody ul. Boczna</t>
  </si>
  <si>
    <t>A/2024/G-46</t>
  </si>
  <si>
    <t>Gmina Ziębice</t>
  </si>
  <si>
    <t>0224063</t>
  </si>
  <si>
    <t>Przebudowa ul. Kościuszki (droga gminna nr 118251D), północno-wschodniej części Rynku (droga gminna nr 118274D) oraz ul. Klasztornej (droga gminna nr 118248D) w Ziębicach</t>
  </si>
  <si>
    <t>11.2024-10.2025</t>
  </si>
  <si>
    <t>A/2024/G-110</t>
  </si>
  <si>
    <t>Przebudowa drogi gminnej nr 119857D - ul. Konopnickiej oraz odcinka drogi gminnej nr 119842D ul. Spacerowej w Lądku - Zdroju</t>
  </si>
  <si>
    <t>05.2024-11.2026</t>
  </si>
  <si>
    <t>A/2024/G-133</t>
  </si>
  <si>
    <t xml:space="preserve">Gmina Ząbkowice Śląskie </t>
  </si>
  <si>
    <t>A/2024/G-31</t>
  </si>
  <si>
    <t>Gmina Kotla</t>
  </si>
  <si>
    <t>0203042</t>
  </si>
  <si>
    <t>głogowski</t>
  </si>
  <si>
    <t>Przebudowa drogi gminnej 100008D relacji Kotla - Chociemyśl - droga dojazdowa do gruntów rolnych</t>
  </si>
  <si>
    <t>A/2024/G-60</t>
  </si>
  <si>
    <t>Gmina Czarny Bór</t>
  </si>
  <si>
    <t>0221042</t>
  </si>
  <si>
    <t xml:space="preserve">Przebudowa drogi gminnej nr 114751D - ul. Cmentarna w Czarnym Borze </t>
  </si>
  <si>
    <t>A/2024/G-82</t>
  </si>
  <si>
    <t>Gmina Miejska Bolesławiec</t>
  </si>
  <si>
    <t>0201011</t>
  </si>
  <si>
    <t>Budowa drogi ul. Powstańców Warszawy w Bolesławcu</t>
  </si>
  <si>
    <t>05.2024-11.2024</t>
  </si>
  <si>
    <t>A/2024/G-32</t>
  </si>
  <si>
    <t>Gmina Miejska Zgorzelec</t>
  </si>
  <si>
    <t>0225021</t>
  </si>
  <si>
    <t>zgorzelecki</t>
  </si>
  <si>
    <t>Przebudowa drogi gminnej nr 109285D w ciągu ul. Norwida w Zgorzelcu</t>
  </si>
  <si>
    <t>A/2024/G-101</t>
  </si>
  <si>
    <t>Budowa drogi gminnej łączącej drogę wojewódzką nr 382 z drogą powiatową nr 2887D w Strzegomiu</t>
  </si>
  <si>
    <t>08.2024-07.2025</t>
  </si>
  <si>
    <t>A/2024/G-104</t>
  </si>
  <si>
    <t>Przebudowa drogi gminnej usytuowanej na działce 501/4, 580 w miejscowości Strzelce</t>
  </si>
  <si>
    <t>01.2024-07.2024</t>
  </si>
  <si>
    <t>A/2024/G-2</t>
  </si>
  <si>
    <t>Gmina Gromadka</t>
  </si>
  <si>
    <t>0201032</t>
  </si>
  <si>
    <t>Remont drogi w miejscowości Osła w otoczeniu LSEE obszar Krzywa w gminie Gromadka - etap II</t>
  </si>
  <si>
    <t>07.2024 - 11.2024</t>
  </si>
  <si>
    <t>A/2024/G-43</t>
  </si>
  <si>
    <t>Gmina Bystrzyca Kłodzka</t>
  </si>
  <si>
    <t>Przebudowa drogi wewnętrznej łącznika ul. Miodowej do ul. Wojska Polskiego w Bystrzycy Kłodzkiej</t>
  </si>
  <si>
    <t>A/2024/G-61</t>
  </si>
  <si>
    <t>Przebudowa ulicy Wrocławskiej na odcinku od skrzyżowania z ul. Armii Krajowej do szkoły PCKZiU</t>
  </si>
  <si>
    <t>A/2024/G-111</t>
  </si>
  <si>
    <t>Gmina Żarów</t>
  </si>
  <si>
    <t>01.2024-12.2024</t>
  </si>
  <si>
    <t>A/2024/G-141</t>
  </si>
  <si>
    <t>Przebudowa dróg gminnych łączących drogę powiatową nr 2877D i nr 3017D w Bielawie z drogą wojewódzką nr DW 384 etap I - ul. Szkolna (117949D) i ul. 3-go Maja (117879D)</t>
  </si>
  <si>
    <t>A/2024/G-37</t>
  </si>
  <si>
    <t>Gmina Syców</t>
  </si>
  <si>
    <t>oleśnicki</t>
  </si>
  <si>
    <t xml:space="preserve">Remont drogi gminnej nr 101685D ul. Kościuszki i ul. Pułaskiego w Sycowie, poprzez przebudowę chodników, wymianę nawierzchni wraz z kanalizacją deszczową i sanitarną </t>
  </si>
  <si>
    <t>06.2024-10.2025</t>
  </si>
  <si>
    <t>A/2024/G-136</t>
  </si>
  <si>
    <t>Gmina Kostomłoty</t>
  </si>
  <si>
    <t>0218012</t>
  </si>
  <si>
    <t>Przebudowa drogi gminnej nr 107314D w miejscowości Kostomłoty</t>
  </si>
  <si>
    <t>A/2024/G-130</t>
  </si>
  <si>
    <t xml:space="preserve">Gmina Polanica-Zdrój </t>
  </si>
  <si>
    <t>0208051</t>
  </si>
  <si>
    <t>A/2024/G-50</t>
  </si>
  <si>
    <t>Gmina Udanin</t>
  </si>
  <si>
    <t>0218052</t>
  </si>
  <si>
    <t>A/2024/G-108</t>
  </si>
  <si>
    <t>Gmina Jaworzyna Śląska</t>
  </si>
  <si>
    <t>Przebudowa drogi gminnej nr 111232D ul. Ekerta w Jaworzynie Śląskiej</t>
  </si>
  <si>
    <t>04.2024-06.2025</t>
  </si>
  <si>
    <t>A/2024/G-118</t>
  </si>
  <si>
    <t>Gmina Lubawka</t>
  </si>
  <si>
    <t>kamiennogórski</t>
  </si>
  <si>
    <t>Przebudowa ul. Anielewicza w miejscowości Lubawka</t>
  </si>
  <si>
    <t>A/2024/G-122</t>
  </si>
  <si>
    <t>Przebudowa drogi gminnej nr 111241D ul. Powstańców w Jaworzynie Śląskiej</t>
  </si>
  <si>
    <t>04.2024-.06.2025</t>
  </si>
  <si>
    <t>A/2024/G-42</t>
  </si>
  <si>
    <t>Gmina Międzylesie</t>
  </si>
  <si>
    <t>Przebudowa gminnej drogi publicznej nr 119968D w miejscowości Międzylesie - I etap</t>
  </si>
  <si>
    <t>A/2024/G-75</t>
  </si>
  <si>
    <t>Gmina Miejska Zawidów</t>
  </si>
  <si>
    <t>0225011</t>
  </si>
  <si>
    <t>Przebudowa ul. J. Słowackiego w Zawidowie</t>
  </si>
  <si>
    <t>A/2024/G-100</t>
  </si>
  <si>
    <t>Gmina Głuszyca</t>
  </si>
  <si>
    <t>0221053</t>
  </si>
  <si>
    <t>Przebudowa drogi wewnętrznej w Łomnicy</t>
  </si>
  <si>
    <t>A/2024/G-142</t>
  </si>
  <si>
    <t>Gmina Miejska Szczawno-Zdrój</t>
  </si>
  <si>
    <t>0221031</t>
  </si>
  <si>
    <t>A/2024/G-153</t>
  </si>
  <si>
    <t>Gmina Piława Górna</t>
  </si>
  <si>
    <t>0202041</t>
  </si>
  <si>
    <t>Przebudowa drogi gminnej nr 118051D ul. Tulipanowej w Piławie Górnej</t>
  </si>
  <si>
    <t>A/2024/G-149</t>
  </si>
  <si>
    <t>Gmina Lubomierz</t>
  </si>
  <si>
    <t>0212023</t>
  </si>
  <si>
    <t>lwówecki</t>
  </si>
  <si>
    <t xml:space="preserve">Przebudowa drogi gminnej nr 112580D w Olesznej Podgórskiej </t>
  </si>
  <si>
    <t>A/2024/G-73</t>
  </si>
  <si>
    <t>Przebudowa ul. Nadrzecznej w Czarnym Borze</t>
  </si>
  <si>
    <t>09.2024-08.2024</t>
  </si>
  <si>
    <t>A/2024/G-79</t>
  </si>
  <si>
    <t xml:space="preserve">Przebudowa drogi gminnej nr 115998D - ul. Leśnej w Boguszowie-Gorcach wraz z niezbędną infrastrukturą techniczną </t>
  </si>
  <si>
    <t>A/2024/G-156</t>
  </si>
  <si>
    <t>Remont gminnych ulic publicznych w Ścinawie ul. Szkolnej nr G103003 i ul. Plac Kościelny nr G102982</t>
  </si>
  <si>
    <t>A/2024/G-109</t>
  </si>
  <si>
    <t>Przebudowa drogi gminnej nr 111587D na odcinku w miejscowości Domaniów</t>
  </si>
  <si>
    <t>A/2024/G-91</t>
  </si>
  <si>
    <t>Gmina Prusice</t>
  </si>
  <si>
    <t>0220022</t>
  </si>
  <si>
    <t>Poprawa parametrów drogi gminnej w miejscowości Prusice - ul. Ogrodowa i ul. Szpitalna</t>
  </si>
  <si>
    <t>Gmina Olszyna</t>
  </si>
  <si>
    <t>Remont odcinka drogi gminnej nr 109674D (ul. Skłodowskiej-Curie)</t>
  </si>
  <si>
    <t>A/2024/G-155</t>
  </si>
  <si>
    <t xml:space="preserve">Gmina Czernica </t>
  </si>
  <si>
    <t>0223012</t>
  </si>
  <si>
    <t>wrocławski</t>
  </si>
  <si>
    <t>Remont chodnika przy ul. Wrocławskiej w Ratowicach - gmina Czernica</t>
  </si>
  <si>
    <t>A/2024/G-38</t>
  </si>
  <si>
    <t>Gmina Krotoszyce</t>
  </si>
  <si>
    <t>0209032</t>
  </si>
  <si>
    <t>Przebudowa drogi gminnej w miejscowości Dunino</t>
  </si>
  <si>
    <t>A/2024/G-146</t>
  </si>
  <si>
    <t>A/2024/G-55</t>
  </si>
  <si>
    <t>Gmina Mieroszów</t>
  </si>
  <si>
    <t>0221063</t>
  </si>
  <si>
    <t>Przebudowa drogi gminnej nr 116297D, ulica Powstańców w Mieroszowie wraz z niezbędną infrastrukturą - etap II</t>
  </si>
  <si>
    <t>04.2024-05.2025</t>
  </si>
  <si>
    <t>A/2024/G-62</t>
  </si>
  <si>
    <t xml:space="preserve">Gmina Walim </t>
  </si>
  <si>
    <t>0221082</t>
  </si>
  <si>
    <t xml:space="preserve">Przebudowa drogi gminnej wraz z mostem drogowym w miejscowości Zagórze Śląskie </t>
  </si>
  <si>
    <t>A/2024/G-77</t>
  </si>
  <si>
    <t>Gmina Rudna</t>
  </si>
  <si>
    <t>0211032</t>
  </si>
  <si>
    <t>Remont drogi gminnej nr 101168D Wądroże - Kliszów</t>
  </si>
  <si>
    <t>A/2024/G-83</t>
  </si>
  <si>
    <t>Gmina Miękinia</t>
  </si>
  <si>
    <t>0218033</t>
  </si>
  <si>
    <t>Przebudowa drogi gminnej nr 104915D relacji Lutynia-Zakrzyce - Gałów (etap 2)</t>
  </si>
  <si>
    <t>02.2024-01.2025</t>
  </si>
  <si>
    <t>A/2024/G-33</t>
  </si>
  <si>
    <t>Gmina Jeżów Sudecki</t>
  </si>
  <si>
    <t>0206062</t>
  </si>
  <si>
    <t>Rozbudowa drogi gminnej na działce nr 456 w Dziwiszowie</t>
  </si>
  <si>
    <t>05.2024-06.2025</t>
  </si>
  <si>
    <t>A/2024/G-107</t>
  </si>
  <si>
    <t>Gmina Złoty Stok</t>
  </si>
  <si>
    <t>0224073</t>
  </si>
  <si>
    <t>Przebudowa Placu Kościelnego w Złotym Stoku</t>
  </si>
  <si>
    <t>09.2024-08.2025</t>
  </si>
  <si>
    <t>A/2024/G-158</t>
  </si>
  <si>
    <t>Gmina Świdnica</t>
  </si>
  <si>
    <t>0219072</t>
  </si>
  <si>
    <t>Przebudowa drogi gminnej nr 120516D w Bystrzycy Górnej</t>
  </si>
  <si>
    <t>A/2024/G-48</t>
  </si>
  <si>
    <t>Gmina Piechowice</t>
  </si>
  <si>
    <t>0206031</t>
  </si>
  <si>
    <t>Przebudowa części ul. 1 Maja w Piechowicach</t>
  </si>
  <si>
    <t>A/2024/G-115</t>
  </si>
  <si>
    <t>Gmina Miasto Oława</t>
  </si>
  <si>
    <t>0215011</t>
  </si>
  <si>
    <t>Budowa drogi gminnej w Oławie od ul. Błękitnej do drogi 1KDZ</t>
  </si>
  <si>
    <t>A/2024/G-124</t>
  </si>
  <si>
    <t>Gmina Miejska Duszniki - Zdrój</t>
  </si>
  <si>
    <t>0208011</t>
  </si>
  <si>
    <t>Przebudowa ul. Juliusza Słowackiego w Dusznikach - Zdroju</t>
  </si>
  <si>
    <t>02.2024-06.2025</t>
  </si>
  <si>
    <t>A/2024/G-86</t>
  </si>
  <si>
    <t>Gmina Miejska Lubin</t>
  </si>
  <si>
    <t>0211011</t>
  </si>
  <si>
    <t>Remont ulic Kamiennej i Miedzianej w Lubinie</t>
  </si>
  <si>
    <t>06.2024-08.2024</t>
  </si>
  <si>
    <t>Gmina Siechnice</t>
  </si>
  <si>
    <t>0223083</t>
  </si>
  <si>
    <t>II etap rozbudowy ulicy Prawocińskiej w Siechnicach na odcinku do km 0+570</t>
  </si>
  <si>
    <t>A/2024/G-151</t>
  </si>
  <si>
    <t>Gmina Kąty Wrocławskie</t>
  </si>
  <si>
    <t>Budowa drogi gminnej nr 107209D - ulicy Radarowej w miejscowości Kębłowice</t>
  </si>
  <si>
    <t>A/2024/G-3</t>
  </si>
  <si>
    <t>Gmina Wiązów</t>
  </si>
  <si>
    <t>0217053</t>
  </si>
  <si>
    <t>strzeliński</t>
  </si>
  <si>
    <t>Przebudowa ul. Strzelińskiej w Wiązowie</t>
  </si>
  <si>
    <t>04.2024 - 10.2024</t>
  </si>
  <si>
    <t>A/2024/G-5</t>
  </si>
  <si>
    <t>Gmina Bolków</t>
  </si>
  <si>
    <t>0205023</t>
  </si>
  <si>
    <t>03.2024 - 12.2024</t>
  </si>
  <si>
    <t>Przebudowa ul. Kościelnej w Bolesławowie</t>
  </si>
  <si>
    <t>06.2024 - 09.2024</t>
  </si>
  <si>
    <t>A/2024/G-34</t>
  </si>
  <si>
    <t>Gmina Chojnów</t>
  </si>
  <si>
    <t>0209022</t>
  </si>
  <si>
    <t>Przebudowa drogi w miejscowości Biała dr nr 120854D</t>
  </si>
  <si>
    <t>Gmina Długołęka</t>
  </si>
  <si>
    <t>0223022</t>
  </si>
  <si>
    <t xml:space="preserve">Budowa obwodnicy Kiełczowa w śladzie ul. Kawowej w miejscowości Kiełczów - etap I, gmina Długołęka </t>
  </si>
  <si>
    <t>A/2024/G-123</t>
  </si>
  <si>
    <t xml:space="preserve">Przebudowa ul. Letniej i Ogrodniczej w miejscowości Szymanów, gm. Wisznia Mała </t>
  </si>
  <si>
    <t>A/2024/G-132</t>
  </si>
  <si>
    <t>Gmina Świerzawa</t>
  </si>
  <si>
    <t>Przebudowa systemu komunikacyjnego w miejscowości Podgórki, droga gminna publiczna nr 110267D relacji Radzyń-Podgórki gm. Świerzawa</t>
  </si>
  <si>
    <t>Przebudowa droi gminnej w Kamieńcu Ząbkowickim od ul. Basztowej do Osiedla Przylesie i od Osiedla Przylesie do ul. Fiołkowej</t>
  </si>
  <si>
    <t>A/2024/G-125</t>
  </si>
  <si>
    <t>Gmina Żmigród</t>
  </si>
  <si>
    <t>0220063</t>
  </si>
  <si>
    <t>Budowa drogi wraz z chodnikami na ul. Krokusowej, Azaliowej i Wrzosowej w Żmigrodzie</t>
  </si>
  <si>
    <t>A/2024/G-138</t>
  </si>
  <si>
    <t>Gmina Żórawina</t>
  </si>
  <si>
    <t>0223092</t>
  </si>
  <si>
    <t>Przebudowa drogi gminnej w Żórawinie (ulicy Gwiaździstej i Kosmicznej)</t>
  </si>
  <si>
    <t>A/2024/G-15</t>
  </si>
  <si>
    <t>Rozbudowa ul. Kanonierskiej w Świdnicy</t>
  </si>
  <si>
    <t>A/2024/G-65</t>
  </si>
  <si>
    <t>Gmina Wąsosz</t>
  </si>
  <si>
    <t>0204043</t>
  </si>
  <si>
    <t>Przebudowa odcinka drogi gminnej nr 120155D</t>
  </si>
  <si>
    <t>A/2024/G-102</t>
  </si>
  <si>
    <t>Gmina Dobroszyce</t>
  </si>
  <si>
    <t>0214032</t>
  </si>
  <si>
    <t>Przebudowa ulic: Wielkopolnej, Spokojnej i Jasnej w Dobroszycach</t>
  </si>
  <si>
    <t>12.2024-02.2026</t>
  </si>
  <si>
    <t>A/2024/G-128</t>
  </si>
  <si>
    <t xml:space="preserve">Gmina Strzegom </t>
  </si>
  <si>
    <t>Przebudowa drogi gminnej nr 110810D ul. Al. Wojska Polskiego w Strzegomiu - etap III</t>
  </si>
  <si>
    <t>08.2024-05.2026</t>
  </si>
  <si>
    <t>A/2024/G-154</t>
  </si>
  <si>
    <t>Gmina Kondratowice</t>
  </si>
  <si>
    <t>0217022</t>
  </si>
  <si>
    <t xml:space="preserve">Przebudowa drogi gminnej w miejscowości Księgienice Wielkie </t>
  </si>
  <si>
    <t>05.2024-07.2024</t>
  </si>
  <si>
    <t>A/2024/G-129</t>
  </si>
  <si>
    <t>Przebudowa ul. Norwida w Polanicy-Zdroju</t>
  </si>
  <si>
    <t>A/2024/G-11</t>
  </si>
  <si>
    <t>Gmina Lubań</t>
  </si>
  <si>
    <t>0210042</t>
  </si>
  <si>
    <t>Przebudowa drogi gminnej w Henrykowie Lubańskim, dz. nr 1006,1050, 1014, 1178, 791 do posesji nr 147 - Gmina Lubań</t>
  </si>
  <si>
    <t>03.2024 - 11.2024</t>
  </si>
  <si>
    <t>A/2024/G-24</t>
  </si>
  <si>
    <t>Gmina Wińsko</t>
  </si>
  <si>
    <t>0222022</t>
  </si>
  <si>
    <t>wołowski</t>
  </si>
  <si>
    <t>Przebudowa drogi gminnej w Małowicach, Gmina Wińsko</t>
  </si>
  <si>
    <t>A/2024/G-47</t>
  </si>
  <si>
    <t>Gmina Leśna</t>
  </si>
  <si>
    <t>Przebudowa drogi gminnej w Wolimierzu stanowiącej dojazd do posesji 190, dz. Nr 7</t>
  </si>
  <si>
    <t>A/2024/G-10</t>
  </si>
  <si>
    <t>Gmina Pieńsk</t>
  </si>
  <si>
    <t>0225043</t>
  </si>
  <si>
    <t>Modernizacja drogi gminnej ul. Stanisława Staszica w Pieńsku</t>
  </si>
  <si>
    <t>01.2024 - 12.2024</t>
  </si>
  <si>
    <t>A/2024/G-18</t>
  </si>
  <si>
    <t>Gmina Polkowice</t>
  </si>
  <si>
    <t>polkowicki</t>
  </si>
  <si>
    <t>Budowa odcinka drogi gminnej nr 100112D- ul. Jana Pawła II</t>
  </si>
  <si>
    <t>A/2024/G-74</t>
  </si>
  <si>
    <t>Gmina Węgliniec</t>
  </si>
  <si>
    <t>0225063</t>
  </si>
  <si>
    <t>Przebudowa ul. Kolejowej w Węglińcu - drogi gminnej nr 103638D</t>
  </si>
  <si>
    <t>03.2024-12-2024</t>
  </si>
  <si>
    <t>A/2024/G-85</t>
  </si>
  <si>
    <t>Remont ulic Parkowej, Bolesławieckiej i Pileckiego w Lubinie</t>
  </si>
  <si>
    <t>A/2024/G-94</t>
  </si>
  <si>
    <t>Przebudowa drogi gminnej publicznej w Siekierczynie</t>
  </si>
  <si>
    <t>02.2024-10.2024</t>
  </si>
  <si>
    <t>A/2024/G-127</t>
  </si>
  <si>
    <t>Gmina i Miasto Lwówek Śląski</t>
  </si>
  <si>
    <t>0212033</t>
  </si>
  <si>
    <t>Przebudowa drogi gminnej nr 108792D - ul. Pałacowej w Lwówku Śląskim</t>
  </si>
  <si>
    <t>A/2024/G-92</t>
  </si>
  <si>
    <t xml:space="preserve">Przebudowa ul. Sienkiewicza w Ząbkowicach Śląskich </t>
  </si>
  <si>
    <t>A/2024/G-87</t>
  </si>
  <si>
    <t>Gmina Misto Boguszów-Gorce</t>
  </si>
  <si>
    <t>Przebudowa i budowa drogi gminnej nr 116057 G ul. Wrzosowa w Boguszowie-Gorcach wraz z niezbędną infrstrukturą</t>
  </si>
  <si>
    <t>A/2024/G-19</t>
  </si>
  <si>
    <t>Gmina Gaworzyce</t>
  </si>
  <si>
    <t>0216022</t>
  </si>
  <si>
    <t>Przebudowa drogi gminnej nr 100105D pomiędzy miejscowościami Gaworzyce -Dzików</t>
  </si>
  <si>
    <t>A/2024/G-84</t>
  </si>
  <si>
    <t>Gmina Złotoryja</t>
  </si>
  <si>
    <t>0226062</t>
  </si>
  <si>
    <t>Przebudowa drogi do strefy LENA w Wilkowie</t>
  </si>
  <si>
    <t>01.2024-04.2024</t>
  </si>
  <si>
    <t>A/2024/G-20</t>
  </si>
  <si>
    <t>Gmina Miasto Oleśnica</t>
  </si>
  <si>
    <t>0214011</t>
  </si>
  <si>
    <t>Budowa dróg wraz z infrastrukturą towarzyszącą w Olesnicy - ul. Malinowskiego odcinek od ul. Łasaka do ul. Walsewicz-Olson, ul. Walsewicz-Olson odcinek od ul Kusocińskigo do ul. Malinowskiego wraz z sięgaczem.</t>
  </si>
  <si>
    <t>A/2024/G-116</t>
  </si>
  <si>
    <t xml:space="preserve">Remont nawierzchni drogi gminnej - odcinek ul. Paderewskiego w Oławie </t>
  </si>
  <si>
    <t>A/2024/G-152</t>
  </si>
  <si>
    <t>Remont drogi gminnej nr 101968D w relacji Siekierowice - Dobrzeń</t>
  </si>
  <si>
    <t>A/2024/G-36</t>
  </si>
  <si>
    <t>Gmina Oleśnica</t>
  </si>
  <si>
    <t>0214062</t>
  </si>
  <si>
    <t>Przebudowa drogi gminnej nr 102167D w miejscowości Świerzna</t>
  </si>
  <si>
    <t>A/2024/G-14</t>
  </si>
  <si>
    <t>Przebudowa drogi gminnej nr 117520D - ul. Kwiatowa w Niemczy</t>
  </si>
  <si>
    <t>A/2024/G-41</t>
  </si>
  <si>
    <t>Gmina Grębocice</t>
  </si>
  <si>
    <t>0216032</t>
  </si>
  <si>
    <t>06.2024-03.2025</t>
  </si>
  <si>
    <t>A/2024/G-113</t>
  </si>
  <si>
    <t xml:space="preserve">Gmina Środa Śląska </t>
  </si>
  <si>
    <t>Przebudowa ulicy Spółdzielczej i Targowej w Środzie Śląskiej</t>
  </si>
  <si>
    <t>03.2024-04.2025</t>
  </si>
  <si>
    <t>A/2024/G-144</t>
  </si>
  <si>
    <t>Przebudowa drogi gminnej w Ścinawce Średniej dz. Nr 126/2</t>
  </si>
  <si>
    <t>A/2024/G-39</t>
  </si>
  <si>
    <t>Gmina Strzelin</t>
  </si>
  <si>
    <t>Przebudowa mostu wraz z ciągiem drogi gminnej na ul. Brzegowej w Strzelinie</t>
  </si>
  <si>
    <t>A/2024/G-58</t>
  </si>
  <si>
    <t>Rozbudowa drogi gminnej nr 103047D w zakresie budowy chodnika</t>
  </si>
  <si>
    <t>A/2024/G-137</t>
  </si>
  <si>
    <t>Gmina Radwanice</t>
  </si>
  <si>
    <t>0216062</t>
  </si>
  <si>
    <t>Rozbudowa odcinka drogi gminnej  nr 120494D ul. Przemysłowej  w miejscowości Radwanice</t>
  </si>
  <si>
    <t>01.2024-08.2024</t>
  </si>
  <si>
    <t>A/2024/G-143</t>
  </si>
  <si>
    <t>Budowa skrzyżowania o ruchu okrężnym ulic M. Skłodowskiej-Curie i Kolejowej w Szczawnie-Zdroju w celu poprawy bezpieczeństwa ruchu drogowego w uzdrowisku</t>
  </si>
  <si>
    <t>A/2024/G-126</t>
  </si>
  <si>
    <t>Gmina Twarodgóra</t>
  </si>
  <si>
    <t>0214083</t>
  </si>
  <si>
    <t>Budowa dróg gminnych ul. Juranda, Maćka, Oleńki w Twardogórze</t>
  </si>
  <si>
    <t>A/2024/G-157</t>
  </si>
  <si>
    <t>Przebudowa ul. Zamkowej w Dusznikach - Zdroju</t>
  </si>
  <si>
    <t>01.2024-06.2025</t>
  </si>
  <si>
    <t>A/2024/G-29</t>
  </si>
  <si>
    <t>Miasto Jelenia Góra</t>
  </si>
  <si>
    <t>0261011</t>
  </si>
  <si>
    <t>Budowa łacznika drogowego ulic Jelenia-Forteczna-Kopernika wraz z przebudową drogi dojazdowej wzdłuż budynków Kopernika 2 i 4</t>
  </si>
  <si>
    <t>A/2024/G-64</t>
  </si>
  <si>
    <t>Gmina Chocianów</t>
  </si>
  <si>
    <t>0216013</t>
  </si>
  <si>
    <t>Budowa nawierzchni drogi gminnej nr 103426D w ciągu ul. Daglezjowej w m. Chocianów - I Etap</t>
  </si>
  <si>
    <t>A/2024/G-139</t>
  </si>
  <si>
    <t>Gmina Miejska Głogów</t>
  </si>
  <si>
    <t>0203011</t>
  </si>
  <si>
    <t>Budowa jezdni dróg gminnych, miejsc postojowych, chodników i zjazdów wraz z budową sieci kanalizacji deszczowej, sieci elektroenergetycznej 0,4kV, oświetlenia drogowego oraz kanału technologicznego w obrębie dróg gminnych nr 100428D ul. Bolesława Wysokiego, nr 100424D ul. Małgorzaty Cylejskiej i nr 100422D ul. Książąt Oleśnickich w Głogowie</t>
  </si>
  <si>
    <t>A/2024/G-8</t>
  </si>
  <si>
    <t>Gmina Wołów</t>
  </si>
  <si>
    <t>Przebudowa dróg osiedla w Wołowie pomiędzy ul. Żeromskiego i Curie-Skłodowskiej - ETAP 2A i 2B</t>
  </si>
  <si>
    <t>A/2024/G-63</t>
  </si>
  <si>
    <t xml:space="preserve">Budowa drogi gminnej wraz z mostem drogowym w miejscowości Walim </t>
  </si>
  <si>
    <t>A/2024/G-97</t>
  </si>
  <si>
    <t>Gmina Brzeg Dolny</t>
  </si>
  <si>
    <t>0222013</t>
  </si>
  <si>
    <t>Remont dróg gminnych w Brzegu Dolnym ul. Targowa, al. Dworcowa</t>
  </si>
  <si>
    <t>A/2024/G-131</t>
  </si>
  <si>
    <t>Gmina Sulików</t>
  </si>
  <si>
    <t>0225052</t>
  </si>
  <si>
    <t>Przebudowa drogi gminnej nr 109793D - ul. 8 Maja w Sulikowie</t>
  </si>
  <si>
    <t>04.2024-03.2025</t>
  </si>
  <si>
    <t>A/2024/G-52</t>
  </si>
  <si>
    <t>Budowa dróg gminnych na osiedlu w rejonie ulicy Polnej w Trzebnicy wraz z infrastrukturą towarzyszącą</t>
  </si>
  <si>
    <t>06.2024-11.2026</t>
  </si>
  <si>
    <t>A/2024/G-4</t>
  </si>
  <si>
    <t>Gmina Miejska Świeradów-Zdrój</t>
  </si>
  <si>
    <t>0210021</t>
  </si>
  <si>
    <t>Przebudowa drogi gminnej stanowiącej ulicę Jaskółczą w Świeradowie-Zdroju (km: 0+050 - 0+350)</t>
  </si>
  <si>
    <t>A/2024/G-40</t>
  </si>
  <si>
    <t>Gmina Żukowice</t>
  </si>
  <si>
    <t>0203062</t>
  </si>
  <si>
    <t>Przebudowa dróg gminnych w m. Wiekowice - dz. nr 484, 435/1, 485/1 obręb Dobrzejowice</t>
  </si>
  <si>
    <t>A/2024/G-78</t>
  </si>
  <si>
    <t>Gmina Milicz</t>
  </si>
  <si>
    <t>0213033</t>
  </si>
  <si>
    <t>milicki</t>
  </si>
  <si>
    <t>Remont gminnych dróg publicznych w miejscowości Milicz - ulica Grunwaldzka, ulica Generała Stefana Grota-Roweckiego i ulica Tadeusza Kościuszki</t>
  </si>
  <si>
    <t>A/2024/G-69</t>
  </si>
  <si>
    <t>Przebudowa ul. Łowickiej od ul. Pomorskiej do ul. Opalowej w Legnicy</t>
  </si>
  <si>
    <t>06.2024-06.2025</t>
  </si>
  <si>
    <t>A/2024/G-16</t>
  </si>
  <si>
    <t xml:space="preserve">Przebudowa ul. Bolesław Chrobrego w Świdnicy </t>
  </si>
  <si>
    <t>A/2024/G-57</t>
  </si>
  <si>
    <t>Gmina Oława</t>
  </si>
  <si>
    <t>0215042</t>
  </si>
  <si>
    <t xml:space="preserve">Przebudowa ul. Nowodojazdowej w Jaczkowicach </t>
  </si>
  <si>
    <t>05.2024-08.2025</t>
  </si>
  <si>
    <t>A/2024/G-150</t>
  </si>
  <si>
    <t>Miasto Szklarska Poręba</t>
  </si>
  <si>
    <t>0206041</t>
  </si>
  <si>
    <t>Przebudowa ul. Szpitalnej w Szklarskiej Porębie</t>
  </si>
  <si>
    <t>A/2024/G-22</t>
  </si>
  <si>
    <t>A/2024/G-59</t>
  </si>
  <si>
    <t>Gmina Miejska Kamienna Góra</t>
  </si>
  <si>
    <t>0207011</t>
  </si>
  <si>
    <t>Przebudowa ulicy Słowackiego i Traugutta w Kamiennaj Górze</t>
  </si>
  <si>
    <t>A/2024/G-67</t>
  </si>
  <si>
    <t>Gmina Zgorzelec</t>
  </si>
  <si>
    <t>0225072</t>
  </si>
  <si>
    <t>Remont mostu drogowego w miejscowości Jędrzychowice w ciągu drogi gminnej nr 109134D</t>
  </si>
  <si>
    <t>A/2024/G-134</t>
  </si>
  <si>
    <t>Gmina Twardogóra</t>
  </si>
  <si>
    <t>Przebudowa drogi wewnętrznej w miejscowości Sądrożyce</t>
  </si>
  <si>
    <t>A/2024/G-66</t>
  </si>
  <si>
    <t>Przebudowa drogi gminnej nr 100915D</t>
  </si>
  <si>
    <t>0208063</t>
  </si>
  <si>
    <t>0224022</t>
  </si>
  <si>
    <t>0208103</t>
  </si>
  <si>
    <t>0202073</t>
  </si>
  <si>
    <t>0201043</t>
  </si>
  <si>
    <t>0201052</t>
  </si>
  <si>
    <t>0224042</t>
  </si>
  <si>
    <t>0210033</t>
  </si>
  <si>
    <t>0223043</t>
  </si>
  <si>
    <t>0219043</t>
  </si>
  <si>
    <t>0219083</t>
  </si>
  <si>
    <t>0224053</t>
  </si>
  <si>
    <t>0214073</t>
  </si>
  <si>
    <t>0207033</t>
  </si>
  <si>
    <t>0210053</t>
  </si>
  <si>
    <t>0222033</t>
  </si>
  <si>
    <t>0217043</t>
  </si>
  <si>
    <t>0218043</t>
  </si>
  <si>
    <t>0216043</t>
  </si>
  <si>
    <t>0226043</t>
  </si>
  <si>
    <t>Budowa drogi gminnej w Żarowie pomiędzy ulicą Wiejską a Górniczą wraz z przebudową drogi gminnej ul. Górniczej (110853D) i Piastowskiej (110850D)</t>
  </si>
  <si>
    <t>Przebudowa drogi gminnej nr 117797D ul. Długa w Jedlinie - Zdroju</t>
  </si>
  <si>
    <t>Remont drogi powiatowej nr 3462D Uniemyśl - Okrzeszyn w km 12+240-13+690 i 15+800-16+230</t>
  </si>
  <si>
    <t>Przebudowa drogi gminnej wraz z odwodnieniem ul. Hożej w Złotoryi - etap I</t>
  </si>
  <si>
    <t>Przebudowa drogi gminnej ul. A. Mickiewicza w Nowogrodźcu</t>
  </si>
  <si>
    <t>Przebudowa drogi gminnej nr 118315D ulicy Armii Krajowej w Ząbkowicach Śląskich</t>
  </si>
  <si>
    <t>Przebudowa części ul. Żeromskiego w Polanicy-Zdroju</t>
  </si>
  <si>
    <t>Przebudowa drogi gminnej - ulicy Dębowej w miejscowości Udanin</t>
  </si>
  <si>
    <t>Rozbudowa ul. Legnickiej w miejscowości Grębocice wraz z budową sieci oświetlenia drogowego, kanalizacji deszczowej i kanału technologicznego</t>
  </si>
  <si>
    <t>Remont odcinka drogi powiatowej nr 1221D, obręb Składowice</t>
  </si>
  <si>
    <t>Remont drogi powiatowej nr 1202D od skrzyżowania z drogą wojewódzką nr 323 do skrzyżowania z drogą gminną nr 101162D w miejscowości Gawrony</t>
  </si>
  <si>
    <t>Przebudowa dróg powiatowych nr 2222D i 2223D w miejscowości Prochowice w zakresie budowy przejścia dla pieszych w ramach zadania pn. Poprawa bezpieczeństwa ruchu drogowego w obrębie skrzyżowania dróg powiatowych nr 2222D i 2223D w miejscowości Prochowice</t>
  </si>
  <si>
    <t xml:space="preserve">Przebudowa dróg powiatowych 3008D i 3029D </t>
  </si>
  <si>
    <t>Przebudowa ul. Dolnej w Stroniu Śląskim</t>
  </si>
  <si>
    <t>Przebudowa drogi gminnej ulicy Szkolnej 104785D i 104786D w miejscowości Rusko Gmina Malczyce</t>
  </si>
  <si>
    <t>Remont drogi gminnej realizowany w ramach inwestycji pn. "Przebudowa nawierzchni drogi publicznej nr 112383D, położonej na działce 279/3 obręb Bolków 0002 - ul. Bema" realizowany w dwóch etapach - Etap I i II.</t>
  </si>
  <si>
    <t>Przebudowa drogi nr 1005D w miejscowości Kotla</t>
  </si>
  <si>
    <t>A/2024/G-25</t>
  </si>
  <si>
    <t>Budowa odcinka ul. Leśnej w Szczawnie-Zdroju prowadzącej do terenów inwestycyjnych pod budownictwo mieszkaniowe</t>
  </si>
  <si>
    <t>Przebudowa ul. Krasińskiego w miejscowości Legnickie Pole</t>
  </si>
  <si>
    <t>Przebudowa ul. Stawowej w Ostroszowicach</t>
  </si>
  <si>
    <t>A/2024/P-32 rezygnacja</t>
  </si>
  <si>
    <t>A/2024/G-145 rezygnacja</t>
  </si>
  <si>
    <t>A/2024/G-112 rezygnacja</t>
  </si>
  <si>
    <t>Przebudowa drogi powiatowej nr 1466D - odcinek Ligota Mała do granic powiatu</t>
  </si>
  <si>
    <t>A/2023/G-45 rezygnacja</t>
  </si>
  <si>
    <t>A/2023/G-154 rezygnacja</t>
  </si>
  <si>
    <t xml:space="preserve">    </t>
  </si>
  <si>
    <t xml:space="preserve"> </t>
  </si>
  <si>
    <t>A/2024/G-135 wygaśnięcie</t>
  </si>
  <si>
    <t>A/2024/G-70 wygaśnięcie</t>
  </si>
  <si>
    <t>A/2024/G-12 wygaśnięcie</t>
  </si>
  <si>
    <t>Zmiana nr 7 Listy zadań powiatowych i zadań gminnych rekomendowanych do dofinansowania w ramach Rządowego Funduszu Rozwoju Dróg</t>
  </si>
  <si>
    <t>A/2024/P-30 rezygnacja</t>
  </si>
  <si>
    <t>A/2024/P-11 rezygnacja</t>
  </si>
  <si>
    <t>A/2024/P-9 rezygnacja</t>
  </si>
  <si>
    <t xml:space="preserve">A/2024/P-14 rezygnacja </t>
  </si>
  <si>
    <t>130*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</si>
</sst>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000"/>
    <numFmt numFmtId="166" formatCode="#,##0.00\ &quot;zł&quot;"/>
    <numFmt numFmtId="167" formatCode="#,##0.000"/>
    <numFmt numFmtId="168" formatCode="#,##0.0000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C000"/>
      <name val="Arial"/>
      <family val="2"/>
      <charset val="238"/>
    </font>
    <font>
      <b/>
      <sz val="9"/>
      <color rgb="FFFFC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7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3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0" fillId="0" borderId="0" xfId="0" applyFont="1" applyBorder="1"/>
    <xf numFmtId="4" fontId="11" fillId="0" borderId="0" xfId="0" applyNumberFormat="1" applyFont="1" applyFill="1" applyBorder="1" applyAlignment="1"/>
    <xf numFmtId="4" fontId="11" fillId="0" borderId="0" xfId="0" applyNumberFormat="1" applyFont="1" applyBorder="1" applyAlignment="1"/>
    <xf numFmtId="0" fontId="1" fillId="0" borderId="0" xfId="0" applyFont="1"/>
    <xf numFmtId="4" fontId="11" fillId="0" borderId="0" xfId="0" applyNumberFormat="1" applyFont="1" applyFill="1" applyBorder="1" applyAlignment="1">
      <alignment vertical="top"/>
    </xf>
    <xf numFmtId="4" fontId="11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 shrinkToFit="1"/>
    </xf>
    <xf numFmtId="0" fontId="17" fillId="0" borderId="0" xfId="0" applyFont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166" fontId="13" fillId="5" borderId="23" xfId="0" applyNumberFormat="1" applyFont="1" applyFill="1" applyBorder="1" applyAlignment="1">
      <alignment vertical="center"/>
    </xf>
    <xf numFmtId="166" fontId="19" fillId="5" borderId="23" xfId="0" applyNumberFormat="1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right" vertical="center" wrapText="1"/>
    </xf>
    <xf numFmtId="9" fontId="21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167" fontId="25" fillId="2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9" fontId="25" fillId="2" borderId="1" xfId="0" applyNumberFormat="1" applyFont="1" applyFill="1" applyBorder="1" applyAlignment="1">
      <alignment horizontal="center" vertical="center"/>
    </xf>
    <xf numFmtId="167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9" fontId="26" fillId="2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Border="1" applyAlignment="1">
      <alignment vertical="center" wrapText="1"/>
    </xf>
    <xf numFmtId="4" fontId="26" fillId="0" borderId="1" xfId="0" applyNumberFormat="1" applyFont="1" applyBorder="1" applyAlignment="1">
      <alignment vertical="center" wrapText="1"/>
    </xf>
    <xf numFmtId="166" fontId="19" fillId="3" borderId="1" xfId="0" applyNumberFormat="1" applyFont="1" applyFill="1" applyBorder="1" applyAlignment="1">
      <alignment vertical="center"/>
    </xf>
    <xf numFmtId="166" fontId="13" fillId="4" borderId="1" xfId="0" applyNumberFormat="1" applyFont="1" applyFill="1" applyBorder="1" applyAlignment="1">
      <alignment vertical="center"/>
    </xf>
    <xf numFmtId="166" fontId="14" fillId="6" borderId="1" xfId="0" applyNumberFormat="1" applyFont="1" applyFill="1" applyBorder="1" applyAlignment="1">
      <alignment vertical="center"/>
    </xf>
    <xf numFmtId="166" fontId="13" fillId="3" borderId="1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166" fontId="13" fillId="4" borderId="22" xfId="0" applyNumberFormat="1" applyFont="1" applyFill="1" applyBorder="1" applyAlignment="1">
      <alignment vertical="center"/>
    </xf>
    <xf numFmtId="0" fontId="19" fillId="3" borderId="3" xfId="0" applyNumberFormat="1" applyFont="1" applyFill="1" applyBorder="1" applyAlignment="1">
      <alignment vertical="center"/>
    </xf>
    <xf numFmtId="0" fontId="13" fillId="3" borderId="3" xfId="0" applyNumberFormat="1" applyFont="1" applyFill="1" applyBorder="1" applyAlignment="1">
      <alignment vertical="center"/>
    </xf>
    <xf numFmtId="0" fontId="13" fillId="4" borderId="3" xfId="0" applyNumberFormat="1" applyFont="1" applyFill="1" applyBorder="1" applyAlignment="1">
      <alignment vertical="center"/>
    </xf>
    <xf numFmtId="0" fontId="14" fillId="6" borderId="3" xfId="0" applyNumberFormat="1" applyFont="1" applyFill="1" applyBorder="1" applyAlignment="1">
      <alignment vertical="center"/>
    </xf>
    <xf numFmtId="0" fontId="13" fillId="4" borderId="23" xfId="0" applyFont="1" applyFill="1" applyBorder="1" applyAlignment="1">
      <alignment horizontal="left" vertical="center" indent="2"/>
    </xf>
    <xf numFmtId="166" fontId="19" fillId="3" borderId="2" xfId="0" applyNumberFormat="1" applyFont="1" applyFill="1" applyBorder="1" applyAlignment="1">
      <alignment vertical="center"/>
    </xf>
    <xf numFmtId="166" fontId="13" fillId="3" borderId="2" xfId="0" applyNumberFormat="1" applyFont="1" applyFill="1" applyBorder="1" applyAlignment="1">
      <alignment vertical="center"/>
    </xf>
    <xf numFmtId="166" fontId="13" fillId="4" borderId="2" xfId="0" applyNumberFormat="1" applyFont="1" applyFill="1" applyBorder="1" applyAlignment="1">
      <alignment vertical="center"/>
    </xf>
    <xf numFmtId="166" fontId="14" fillId="6" borderId="2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166" fontId="19" fillId="3" borderId="3" xfId="0" applyNumberFormat="1" applyFont="1" applyFill="1" applyBorder="1" applyAlignment="1">
      <alignment vertical="center"/>
    </xf>
    <xf numFmtId="166" fontId="13" fillId="3" borderId="3" xfId="0" applyNumberFormat="1" applyFont="1" applyFill="1" applyBorder="1" applyAlignment="1">
      <alignment vertical="center"/>
    </xf>
    <xf numFmtId="166" fontId="13" fillId="4" borderId="3" xfId="0" applyNumberFormat="1" applyFont="1" applyFill="1" applyBorder="1" applyAlignment="1">
      <alignment vertical="center"/>
    </xf>
    <xf numFmtId="166" fontId="14" fillId="6" borderId="3" xfId="0" applyNumberFormat="1" applyFont="1" applyFill="1" applyBorder="1" applyAlignment="1">
      <alignment vertical="center"/>
    </xf>
    <xf numFmtId="166" fontId="14" fillId="5" borderId="23" xfId="0" applyNumberFormat="1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3" fillId="0" borderId="31" xfId="0" applyFont="1" applyFill="1" applyBorder="1" applyAlignment="1">
      <alignment vertical="center"/>
    </xf>
    <xf numFmtId="0" fontId="13" fillId="0" borderId="32" xfId="0" applyNumberFormat="1" applyFont="1" applyFill="1" applyBorder="1" applyAlignment="1">
      <alignment vertical="center"/>
    </xf>
    <xf numFmtId="166" fontId="13" fillId="0" borderId="33" xfId="0" applyNumberFormat="1" applyFont="1" applyFill="1" applyBorder="1" applyAlignment="1">
      <alignment vertical="center"/>
    </xf>
    <xf numFmtId="166" fontId="13" fillId="0" borderId="34" xfId="0" applyNumberFormat="1" applyFont="1" applyFill="1" applyBorder="1" applyAlignment="1">
      <alignment vertical="center"/>
    </xf>
    <xf numFmtId="166" fontId="13" fillId="5" borderId="35" xfId="0" applyNumberFormat="1" applyFont="1" applyFill="1" applyBorder="1" applyAlignment="1">
      <alignment vertical="center"/>
    </xf>
    <xf numFmtId="166" fontId="13" fillId="0" borderId="32" xfId="0" applyNumberFormat="1" applyFont="1" applyFill="1" applyBorder="1" applyAlignment="1">
      <alignment vertical="center"/>
    </xf>
    <xf numFmtId="166" fontId="13" fillId="0" borderId="36" xfId="0" applyNumberFormat="1" applyFont="1" applyFill="1" applyBorder="1" applyAlignment="1">
      <alignment vertical="center"/>
    </xf>
    <xf numFmtId="0" fontId="19" fillId="0" borderId="37" xfId="0" applyFont="1" applyFill="1" applyBorder="1" applyAlignment="1">
      <alignment horizontal="left" vertical="center" wrapText="1" indent="2"/>
    </xf>
    <xf numFmtId="0" fontId="13" fillId="0" borderId="37" xfId="0" applyFont="1" applyFill="1" applyBorder="1" applyAlignment="1">
      <alignment horizontal="left" vertical="center" indent="2"/>
    </xf>
    <xf numFmtId="0" fontId="19" fillId="0" borderId="39" xfId="0" applyFont="1" applyFill="1" applyBorder="1" applyAlignment="1">
      <alignment horizontal="left" vertical="center" indent="2"/>
    </xf>
    <xf numFmtId="166" fontId="19" fillId="5" borderId="43" xfId="0" applyNumberFormat="1" applyFont="1" applyFill="1" applyBorder="1" applyAlignment="1">
      <alignment vertical="center"/>
    </xf>
    <xf numFmtId="0" fontId="20" fillId="3" borderId="31" xfId="0" applyFont="1" applyFill="1" applyBorder="1" applyAlignment="1">
      <alignment vertical="center"/>
    </xf>
    <xf numFmtId="0" fontId="20" fillId="3" borderId="32" xfId="0" applyNumberFormat="1" applyFont="1" applyFill="1" applyBorder="1" applyAlignment="1">
      <alignment vertical="center"/>
    </xf>
    <xf numFmtId="166" fontId="20" fillId="3" borderId="33" xfId="0" applyNumberFormat="1" applyFont="1" applyFill="1" applyBorder="1" applyAlignment="1">
      <alignment vertical="center"/>
    </xf>
    <xf numFmtId="166" fontId="20" fillId="3" borderId="34" xfId="0" applyNumberFormat="1" applyFont="1" applyFill="1" applyBorder="1" applyAlignment="1">
      <alignment vertical="center"/>
    </xf>
    <xf numFmtId="166" fontId="20" fillId="5" borderId="35" xfId="0" applyNumberFormat="1" applyFont="1" applyFill="1" applyBorder="1" applyAlignment="1">
      <alignment vertical="center"/>
    </xf>
    <xf numFmtId="166" fontId="20" fillId="3" borderId="32" xfId="0" applyNumberFormat="1" applyFont="1" applyFill="1" applyBorder="1" applyAlignment="1">
      <alignment vertical="center"/>
    </xf>
    <xf numFmtId="166" fontId="20" fillId="3" borderId="36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left" vertical="center" wrapText="1" indent="2"/>
    </xf>
    <xf numFmtId="166" fontId="19" fillId="3" borderId="38" xfId="0" applyNumberFormat="1" applyFont="1" applyFill="1" applyBorder="1" applyAlignment="1">
      <alignment vertical="center"/>
    </xf>
    <xf numFmtId="0" fontId="13" fillId="3" borderId="37" xfId="0" applyFont="1" applyFill="1" applyBorder="1" applyAlignment="1">
      <alignment horizontal="left" vertical="center" indent="2"/>
    </xf>
    <xf numFmtId="166" fontId="13" fillId="3" borderId="38" xfId="0" applyNumberFormat="1" applyFont="1" applyFill="1" applyBorder="1" applyAlignment="1">
      <alignment vertical="center"/>
    </xf>
    <xf numFmtId="0" fontId="19" fillId="3" borderId="39" xfId="0" applyFont="1" applyFill="1" applyBorder="1" applyAlignment="1">
      <alignment horizontal="left" vertical="center" indent="2"/>
    </xf>
    <xf numFmtId="0" fontId="19" fillId="3" borderId="40" xfId="0" applyNumberFormat="1" applyFont="1" applyFill="1" applyBorder="1" applyAlignment="1">
      <alignment vertical="center"/>
    </xf>
    <xf numFmtId="166" fontId="19" fillId="3" borderId="41" xfId="0" applyNumberFormat="1" applyFont="1" applyFill="1" applyBorder="1" applyAlignment="1">
      <alignment vertical="center"/>
    </xf>
    <xf numFmtId="166" fontId="19" fillId="3" borderId="42" xfId="0" applyNumberFormat="1" applyFont="1" applyFill="1" applyBorder="1" applyAlignment="1">
      <alignment vertical="center"/>
    </xf>
    <xf numFmtId="166" fontId="19" fillId="3" borderId="40" xfId="0" applyNumberFormat="1" applyFont="1" applyFill="1" applyBorder="1" applyAlignment="1">
      <alignment vertical="center"/>
    </xf>
    <xf numFmtId="166" fontId="19" fillId="3" borderId="44" xfId="0" applyNumberFormat="1" applyFont="1" applyFill="1" applyBorder="1" applyAlignment="1">
      <alignment vertical="center"/>
    </xf>
    <xf numFmtId="0" fontId="19" fillId="4" borderId="25" xfId="0" applyFont="1" applyFill="1" applyBorder="1" applyAlignment="1">
      <alignment horizontal="left" vertical="center" indent="2"/>
    </xf>
    <xf numFmtId="0" fontId="19" fillId="4" borderId="26" xfId="0" applyNumberFormat="1" applyFont="1" applyFill="1" applyBorder="1" applyAlignment="1">
      <alignment vertical="center"/>
    </xf>
    <xf numFmtId="166" fontId="19" fillId="4" borderId="4" xfId="0" applyNumberFormat="1" applyFont="1" applyFill="1" applyBorder="1" applyAlignment="1">
      <alignment vertical="center"/>
    </xf>
    <xf numFmtId="166" fontId="19" fillId="4" borderId="7" xfId="0" applyNumberFormat="1" applyFont="1" applyFill="1" applyBorder="1" applyAlignment="1">
      <alignment vertical="center"/>
    </xf>
    <xf numFmtId="166" fontId="19" fillId="5" borderId="25" xfId="0" applyNumberFormat="1" applyFont="1" applyFill="1" applyBorder="1" applyAlignment="1">
      <alignment vertical="center"/>
    </xf>
    <xf numFmtId="166" fontId="19" fillId="4" borderId="26" xfId="0" applyNumberFormat="1" applyFont="1" applyFill="1" applyBorder="1" applyAlignment="1">
      <alignment vertical="center"/>
    </xf>
    <xf numFmtId="166" fontId="19" fillId="4" borderId="27" xfId="0" applyNumberFormat="1" applyFont="1" applyFill="1" applyBorder="1" applyAlignment="1">
      <alignment vertical="center"/>
    </xf>
    <xf numFmtId="0" fontId="13" fillId="6" borderId="31" xfId="0" applyFont="1" applyFill="1" applyBorder="1" applyAlignment="1">
      <alignment vertical="center"/>
    </xf>
    <xf numFmtId="0" fontId="14" fillId="6" borderId="32" xfId="0" applyNumberFormat="1" applyFont="1" applyFill="1" applyBorder="1" applyAlignment="1">
      <alignment vertical="center"/>
    </xf>
    <xf numFmtId="166" fontId="14" fillId="6" borderId="33" xfId="0" applyNumberFormat="1" applyFont="1" applyFill="1" applyBorder="1" applyAlignment="1">
      <alignment vertical="center"/>
    </xf>
    <xf numFmtId="166" fontId="14" fillId="6" borderId="34" xfId="0" applyNumberFormat="1" applyFont="1" applyFill="1" applyBorder="1" applyAlignment="1">
      <alignment vertical="center"/>
    </xf>
    <xf numFmtId="166" fontId="14" fillId="5" borderId="35" xfId="0" applyNumberFormat="1" applyFont="1" applyFill="1" applyBorder="1" applyAlignment="1">
      <alignment vertical="center"/>
    </xf>
    <xf numFmtId="166" fontId="14" fillId="6" borderId="32" xfId="0" applyNumberFormat="1" applyFont="1" applyFill="1" applyBorder="1" applyAlignment="1">
      <alignment vertical="center"/>
    </xf>
    <xf numFmtId="166" fontId="14" fillId="6" borderId="36" xfId="0" applyNumberFormat="1" applyFont="1" applyFill="1" applyBorder="1" applyAlignment="1">
      <alignment vertical="center"/>
    </xf>
    <xf numFmtId="0" fontId="13" fillId="6" borderId="37" xfId="0" applyFont="1" applyFill="1" applyBorder="1" applyAlignment="1">
      <alignment horizontal="left" vertical="center" indent="2"/>
    </xf>
    <xf numFmtId="166" fontId="14" fillId="6" borderId="38" xfId="0" applyNumberFormat="1" applyFont="1" applyFill="1" applyBorder="1" applyAlignment="1">
      <alignment vertical="center"/>
    </xf>
    <xf numFmtId="0" fontId="19" fillId="6" borderId="39" xfId="0" applyFont="1" applyFill="1" applyBorder="1" applyAlignment="1">
      <alignment horizontal="left" vertical="center" indent="2"/>
    </xf>
    <xf numFmtId="0" fontId="19" fillId="6" borderId="40" xfId="0" applyNumberFormat="1" applyFont="1" applyFill="1" applyBorder="1" applyAlignment="1">
      <alignment vertical="center"/>
    </xf>
    <xf numFmtId="166" fontId="19" fillId="6" borderId="41" xfId="0" applyNumberFormat="1" applyFont="1" applyFill="1" applyBorder="1" applyAlignment="1">
      <alignment vertical="center"/>
    </xf>
    <xf numFmtId="166" fontId="19" fillId="6" borderId="42" xfId="0" applyNumberFormat="1" applyFont="1" applyFill="1" applyBorder="1" applyAlignment="1">
      <alignment vertical="center"/>
    </xf>
    <xf numFmtId="166" fontId="19" fillId="6" borderId="40" xfId="0" applyNumberFormat="1" applyFont="1" applyFill="1" applyBorder="1" applyAlignment="1">
      <alignment vertical="center"/>
    </xf>
    <xf numFmtId="166" fontId="19" fillId="6" borderId="44" xfId="0" applyNumberFormat="1" applyFont="1" applyFill="1" applyBorder="1" applyAlignment="1">
      <alignment vertical="center"/>
    </xf>
    <xf numFmtId="0" fontId="19" fillId="2" borderId="3" xfId="0" applyNumberFormat="1" applyFont="1" applyFill="1" applyBorder="1" applyAlignment="1">
      <alignment vertical="center"/>
    </xf>
    <xf numFmtId="166" fontId="19" fillId="2" borderId="1" xfId="0" applyNumberFormat="1" applyFont="1" applyFill="1" applyBorder="1" applyAlignment="1">
      <alignment vertical="center"/>
    </xf>
    <xf numFmtId="166" fontId="19" fillId="2" borderId="2" xfId="0" applyNumberFormat="1" applyFont="1" applyFill="1" applyBorder="1" applyAlignment="1">
      <alignment vertical="center"/>
    </xf>
    <xf numFmtId="0" fontId="13" fillId="2" borderId="3" xfId="0" applyNumberFormat="1" applyFont="1" applyFill="1" applyBorder="1" applyAlignment="1">
      <alignment vertical="center"/>
    </xf>
    <xf numFmtId="166" fontId="13" fillId="2" borderId="1" xfId="0" applyNumberFormat="1" applyFont="1" applyFill="1" applyBorder="1" applyAlignment="1">
      <alignment vertical="center"/>
    </xf>
    <xf numFmtId="166" fontId="13" fillId="2" borderId="2" xfId="0" applyNumberFormat="1" applyFont="1" applyFill="1" applyBorder="1" applyAlignment="1">
      <alignment vertical="center"/>
    </xf>
    <xf numFmtId="0" fontId="19" fillId="2" borderId="40" xfId="0" applyNumberFormat="1" applyFont="1" applyFill="1" applyBorder="1" applyAlignment="1">
      <alignment vertical="center"/>
    </xf>
    <xf numFmtId="166" fontId="19" fillId="2" borderId="41" xfId="0" applyNumberFormat="1" applyFont="1" applyFill="1" applyBorder="1" applyAlignment="1">
      <alignment vertical="center"/>
    </xf>
    <xf numFmtId="166" fontId="19" fillId="2" borderId="42" xfId="0" applyNumberFormat="1" applyFont="1" applyFill="1" applyBorder="1" applyAlignment="1">
      <alignment vertical="center"/>
    </xf>
    <xf numFmtId="166" fontId="19" fillId="2" borderId="3" xfId="0" applyNumberFormat="1" applyFont="1" applyFill="1" applyBorder="1" applyAlignment="1">
      <alignment vertical="center"/>
    </xf>
    <xf numFmtId="166" fontId="19" fillId="2" borderId="38" xfId="0" applyNumberFormat="1" applyFont="1" applyFill="1" applyBorder="1" applyAlignment="1">
      <alignment vertical="center"/>
    </xf>
    <xf numFmtId="166" fontId="13" fillId="2" borderId="3" xfId="0" applyNumberFormat="1" applyFont="1" applyFill="1" applyBorder="1" applyAlignment="1">
      <alignment vertical="center"/>
    </xf>
    <xf numFmtId="166" fontId="13" fillId="2" borderId="38" xfId="0" applyNumberFormat="1" applyFont="1" applyFill="1" applyBorder="1" applyAlignment="1">
      <alignment vertical="center"/>
    </xf>
    <xf numFmtId="166" fontId="19" fillId="2" borderId="40" xfId="0" applyNumberFormat="1" applyFont="1" applyFill="1" applyBorder="1" applyAlignment="1">
      <alignment vertical="center"/>
    </xf>
    <xf numFmtId="166" fontId="19" fillId="2" borderId="44" xfId="0" applyNumberFormat="1" applyFont="1" applyFill="1" applyBorder="1" applyAlignment="1">
      <alignment vertical="center"/>
    </xf>
    <xf numFmtId="166" fontId="13" fillId="2" borderId="32" xfId="0" applyNumberFormat="1" applyFont="1" applyFill="1" applyBorder="1" applyAlignment="1">
      <alignment vertical="center"/>
    </xf>
    <xf numFmtId="166" fontId="13" fillId="2" borderId="33" xfId="0" applyNumberFormat="1" applyFont="1" applyFill="1" applyBorder="1" applyAlignment="1">
      <alignment vertical="center"/>
    </xf>
    <xf numFmtId="166" fontId="13" fillId="2" borderId="36" xfId="0" applyNumberFormat="1" applyFont="1" applyFill="1" applyBorder="1" applyAlignment="1">
      <alignment vertical="center"/>
    </xf>
    <xf numFmtId="0" fontId="19" fillId="6" borderId="37" xfId="0" applyFont="1" applyFill="1" applyBorder="1" applyAlignment="1">
      <alignment horizontal="left" vertical="center" wrapText="1" indent="2"/>
    </xf>
    <xf numFmtId="0" fontId="19" fillId="6" borderId="29" xfId="0" applyNumberFormat="1" applyFont="1" applyFill="1" applyBorder="1" applyAlignment="1">
      <alignment vertical="center"/>
    </xf>
    <xf numFmtId="166" fontId="19" fillId="6" borderId="1" xfId="0" applyNumberFormat="1" applyFont="1" applyFill="1" applyBorder="1" applyAlignment="1">
      <alignment vertical="center"/>
    </xf>
    <xf numFmtId="166" fontId="19" fillId="6" borderId="2" xfId="0" applyNumberFormat="1" applyFont="1" applyFill="1" applyBorder="1" applyAlignment="1">
      <alignment vertical="center"/>
    </xf>
    <xf numFmtId="166" fontId="19" fillId="6" borderId="3" xfId="0" applyNumberFormat="1" applyFont="1" applyFill="1" applyBorder="1" applyAlignment="1">
      <alignment vertical="center"/>
    </xf>
    <xf numFmtId="166" fontId="19" fillId="6" borderId="38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7" fillId="4" borderId="28" xfId="0" applyFont="1" applyFill="1" applyBorder="1" applyAlignment="1">
      <alignment vertical="center"/>
    </xf>
    <xf numFmtId="0" fontId="27" fillId="4" borderId="29" xfId="0" applyNumberFormat="1" applyFont="1" applyFill="1" applyBorder="1" applyAlignment="1">
      <alignment vertical="center"/>
    </xf>
    <xf numFmtId="166" fontId="27" fillId="4" borderId="5" xfId="0" applyNumberFormat="1" applyFont="1" applyFill="1" applyBorder="1" applyAlignment="1">
      <alignment vertical="center"/>
    </xf>
    <xf numFmtId="166" fontId="27" fillId="4" borderId="8" xfId="0" applyNumberFormat="1" applyFont="1" applyFill="1" applyBorder="1" applyAlignment="1">
      <alignment vertical="center"/>
    </xf>
    <xf numFmtId="166" fontId="27" fillId="5" borderId="28" xfId="0" applyNumberFormat="1" applyFont="1" applyFill="1" applyBorder="1" applyAlignment="1">
      <alignment vertical="center"/>
    </xf>
    <xf numFmtId="166" fontId="27" fillId="4" borderId="29" xfId="0" applyNumberFormat="1" applyFont="1" applyFill="1" applyBorder="1" applyAlignment="1">
      <alignment vertical="center"/>
    </xf>
    <xf numFmtId="166" fontId="27" fillId="4" borderId="30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167" fontId="28" fillId="2" borderId="1" xfId="0" applyNumberFormat="1" applyFont="1" applyFill="1" applyBorder="1" applyAlignment="1">
      <alignment horizontal="center" vertical="center"/>
    </xf>
    <xf numFmtId="165" fontId="28" fillId="2" borderId="1" xfId="0" applyNumberFormat="1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right" vertical="center"/>
    </xf>
    <xf numFmtId="4" fontId="29" fillId="2" borderId="1" xfId="0" applyNumberFormat="1" applyFont="1" applyFill="1" applyBorder="1" applyAlignment="1">
      <alignment horizontal="right" vertical="center" wrapText="1"/>
    </xf>
    <xf numFmtId="9" fontId="28" fillId="2" borderId="1" xfId="0" applyNumberFormat="1" applyFont="1" applyFill="1" applyBorder="1" applyAlignment="1">
      <alignment horizontal="center" vertical="center"/>
    </xf>
    <xf numFmtId="4" fontId="28" fillId="2" borderId="1" xfId="0" applyNumberFormat="1" applyFont="1" applyFill="1" applyBorder="1" applyAlignment="1">
      <alignment vertical="center"/>
    </xf>
    <xf numFmtId="4" fontId="28" fillId="2" borderId="1" xfId="0" applyNumberFormat="1" applyFont="1" applyFill="1" applyBorder="1" applyAlignment="1">
      <alignment vertical="center" wrapText="1"/>
    </xf>
    <xf numFmtId="4" fontId="29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49" fontId="21" fillId="2" borderId="1" xfId="0" applyNumberFormat="1" applyFont="1" applyFill="1" applyBorder="1" applyAlignment="1">
      <alignment vertical="center" wrapText="1"/>
    </xf>
    <xf numFmtId="167" fontId="21" fillId="2" borderId="1" xfId="0" applyNumberFormat="1" applyFont="1" applyFill="1" applyBorder="1" applyAlignment="1">
      <alignment vertical="center"/>
    </xf>
    <xf numFmtId="165" fontId="21" fillId="2" borderId="1" xfId="0" applyNumberFormat="1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vertical="center" wrapText="1"/>
    </xf>
    <xf numFmtId="49" fontId="28" fillId="2" borderId="1" xfId="0" applyNumberFormat="1" applyFont="1" applyFill="1" applyBorder="1" applyAlignment="1">
      <alignment vertical="center" wrapText="1"/>
    </xf>
    <xf numFmtId="167" fontId="28" fillId="2" borderId="1" xfId="0" applyNumberFormat="1" applyFont="1" applyFill="1" applyBorder="1" applyAlignment="1">
      <alignment vertical="center"/>
    </xf>
    <xf numFmtId="165" fontId="28" fillId="2" borderId="1" xfId="0" applyNumberFormat="1" applyFont="1" applyFill="1" applyBorder="1" applyAlignment="1">
      <alignment vertical="center" wrapText="1"/>
    </xf>
    <xf numFmtId="4" fontId="29" fillId="2" borderId="2" xfId="0" applyNumberFormat="1" applyFont="1" applyFill="1" applyBorder="1" applyAlignment="1">
      <alignment vertical="center"/>
    </xf>
    <xf numFmtId="49" fontId="21" fillId="2" borderId="4" xfId="0" applyNumberFormat="1" applyFont="1" applyFill="1" applyBorder="1" applyAlignment="1">
      <alignment vertical="center" wrapText="1"/>
    </xf>
    <xf numFmtId="0" fontId="21" fillId="2" borderId="4" xfId="0" applyFont="1" applyFill="1" applyBorder="1" applyAlignment="1">
      <alignment vertical="center" wrapText="1"/>
    </xf>
    <xf numFmtId="4" fontId="7" fillId="2" borderId="7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vertical="center"/>
    </xf>
    <xf numFmtId="4" fontId="29" fillId="2" borderId="1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167" fontId="28" fillId="2" borderId="1" xfId="0" applyNumberFormat="1" applyFont="1" applyFill="1" applyBorder="1" applyAlignment="1">
      <alignment horizontal="center"/>
    </xf>
    <xf numFmtId="167" fontId="21" fillId="2" borderId="1" xfId="0" applyNumberFormat="1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 vertical="center" wrapText="1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" xfId="0" applyNumberFormat="1" applyFont="1" applyFill="1" applyBorder="1" applyAlignment="1">
      <alignment horizontal="right" vertical="center" wrapText="1"/>
    </xf>
    <xf numFmtId="49" fontId="28" fillId="2" borderId="1" xfId="0" applyNumberFormat="1" applyFont="1" applyFill="1" applyBorder="1" applyAlignment="1">
      <alignment horizontal="left" vertical="center" wrapText="1"/>
    </xf>
    <xf numFmtId="4" fontId="21" fillId="2" borderId="1" xfId="0" applyNumberFormat="1" applyFont="1" applyFill="1" applyBorder="1" applyAlignment="1">
      <alignment vertical="center"/>
    </xf>
    <xf numFmtId="4" fontId="21" fillId="2" borderId="1" xfId="0" applyNumberFormat="1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right" vertical="center"/>
    </xf>
    <xf numFmtId="4" fontId="26" fillId="2" borderId="1" xfId="0" applyNumberFormat="1" applyFont="1" applyFill="1" applyBorder="1" applyAlignment="1">
      <alignment horizontal="right" vertical="center"/>
    </xf>
    <xf numFmtId="9" fontId="21" fillId="2" borderId="1" xfId="0" applyNumberFormat="1" applyFont="1" applyFill="1" applyBorder="1" applyAlignment="1">
      <alignment vertical="center" wrapText="1"/>
    </xf>
    <xf numFmtId="9" fontId="28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28" fillId="0" borderId="1" xfId="0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vertical="center"/>
    </xf>
    <xf numFmtId="4" fontId="31" fillId="2" borderId="1" xfId="0" applyNumberFormat="1" applyFont="1" applyFill="1" applyBorder="1" applyAlignment="1">
      <alignment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9" fontId="29" fillId="2" borderId="2" xfId="0" applyNumberFormat="1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9" fontId="21" fillId="2" borderId="1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1" fillId="2" borderId="4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7" fontId="21" fillId="2" borderId="1" xfId="0" applyNumberFormat="1" applyFont="1" applyFill="1" applyBorder="1" applyAlignment="1">
      <alignment horizontal="center" vertical="center"/>
    </xf>
    <xf numFmtId="9" fontId="28" fillId="2" borderId="1" xfId="0" applyNumberFormat="1" applyFont="1" applyFill="1" applyBorder="1" applyAlignment="1">
      <alignment horizontal="center" vertical="center" wrapText="1"/>
    </xf>
    <xf numFmtId="9" fontId="21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wrapText="1" shrinkToFit="1"/>
    </xf>
    <xf numFmtId="0" fontId="2" fillId="2" borderId="6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6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7" fillId="2" borderId="0" xfId="0" applyFont="1" applyFill="1"/>
    <xf numFmtId="0" fontId="7" fillId="2" borderId="1" xfId="0" applyFont="1" applyFill="1" applyBorder="1" applyAlignment="1">
      <alignment horizontal="right" vertical="center" wrapText="1"/>
    </xf>
    <xf numFmtId="0" fontId="4" fillId="2" borderId="0" xfId="0" applyFon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4" fontId="0" fillId="2" borderId="0" xfId="0" applyNumberFormat="1" applyFill="1" applyAlignment="1">
      <alignment vertical="center"/>
    </xf>
    <xf numFmtId="0" fontId="0" fillId="2" borderId="0" xfId="0" applyFill="1" applyBorder="1"/>
    <xf numFmtId="0" fontId="29" fillId="2" borderId="1" xfId="0" applyFont="1" applyFill="1" applyBorder="1" applyAlignment="1">
      <alignment vertical="center" wrapText="1"/>
    </xf>
    <xf numFmtId="4" fontId="24" fillId="2" borderId="1" xfId="0" applyNumberFormat="1" applyFont="1" applyFill="1" applyBorder="1" applyAlignment="1">
      <alignment vertical="center" wrapText="1"/>
    </xf>
    <xf numFmtId="4" fontId="26" fillId="2" borderId="1" xfId="0" applyNumberFormat="1" applyFont="1" applyFill="1" applyBorder="1" applyAlignment="1">
      <alignment vertical="center" wrapText="1"/>
    </xf>
    <xf numFmtId="0" fontId="0" fillId="2" borderId="0" xfId="0" applyFill="1" applyAlignment="1">
      <alignment vertical="center" wrapText="1" shrinkToFit="1"/>
    </xf>
    <xf numFmtId="0" fontId="17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" fontId="29" fillId="2" borderId="2" xfId="0" applyNumberFormat="1" applyFont="1" applyFill="1" applyBorder="1" applyAlignment="1">
      <alignment horizontal="right" vertical="center"/>
    </xf>
    <xf numFmtId="0" fontId="29" fillId="2" borderId="1" xfId="0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horizontal="right" vertical="center" wrapText="1"/>
    </xf>
    <xf numFmtId="4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 vertical="center"/>
    </xf>
    <xf numFmtId="9" fontId="0" fillId="2" borderId="0" xfId="2" applyFon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 shrinkToFit="1"/>
    </xf>
    <xf numFmtId="0" fontId="28" fillId="2" borderId="1" xfId="0" applyFont="1" applyFill="1" applyBorder="1" applyAlignment="1">
      <alignment horizontal="left" vertical="center" wrapText="1" shrinkToFit="1"/>
    </xf>
    <xf numFmtId="4" fontId="33" fillId="2" borderId="1" xfId="0" applyNumberFormat="1" applyFont="1" applyFill="1" applyBorder="1" applyAlignment="1">
      <alignment vertical="center"/>
    </xf>
    <xf numFmtId="0" fontId="21" fillId="2" borderId="47" xfId="0" applyFont="1" applyFill="1" applyBorder="1" applyAlignment="1">
      <alignment vertical="center" wrapText="1"/>
    </xf>
    <xf numFmtId="168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18" fillId="2" borderId="0" xfId="0" applyFont="1" applyFill="1"/>
    <xf numFmtId="0" fontId="21" fillId="2" borderId="1" xfId="0" applyFont="1" applyFill="1" applyBorder="1" applyAlignment="1">
      <alignment horizontal="left" vertical="center" wrapText="1"/>
    </xf>
    <xf numFmtId="49" fontId="21" fillId="2" borderId="5" xfId="0" applyNumberFormat="1" applyFont="1" applyFill="1" applyBorder="1" applyAlignment="1">
      <alignment vertical="center" wrapText="1"/>
    </xf>
    <xf numFmtId="49" fontId="21" fillId="2" borderId="5" xfId="0" applyNumberFormat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/>
    </xf>
    <xf numFmtId="4" fontId="21" fillId="2" borderId="2" xfId="0" applyNumberFormat="1" applyFont="1" applyFill="1" applyBorder="1" applyAlignment="1">
      <alignment vertical="center"/>
    </xf>
    <xf numFmtId="0" fontId="0" fillId="2" borderId="0" xfId="0" applyFill="1" applyAlignment="1">
      <alignment horizontal="right"/>
    </xf>
    <xf numFmtId="0" fontId="34" fillId="2" borderId="0" xfId="0" applyFont="1" applyFill="1"/>
    <xf numFmtId="9" fontId="29" fillId="2" borderId="1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 shrinkToFit="1"/>
    </xf>
    <xf numFmtId="0" fontId="23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</cellXfs>
  <cellStyles count="5">
    <cellStyle name="Dziesiętny 2" xfId="4" xr:uid="{00000000-0005-0000-0000-000000000000}"/>
    <cellStyle name="Normalny" xfId="0" builtinId="0"/>
    <cellStyle name="Normalny 2" xfId="3" xr:uid="{00000000-0005-0000-0000-000002000000}"/>
    <cellStyle name="Normalny 3" xfId="1" xr:uid="{00000000-0005-0000-0000-000003000000}"/>
    <cellStyle name="Procentowy 2" xfId="2" xr:uid="{00000000-0005-0000-0000-000004000000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Z44"/>
  <sheetViews>
    <sheetView topLeftCell="A10" zoomScaleNormal="100" zoomScaleSheetLayoutView="100" workbookViewId="0">
      <selection activeCell="K20" sqref="K20"/>
    </sheetView>
  </sheetViews>
  <sheetFormatPr defaultColWidth="9.140625" defaultRowHeight="15" x14ac:dyDescent="0.25"/>
  <cols>
    <col min="1" max="1" width="35.140625" style="11" customWidth="1"/>
    <col min="2" max="2" width="10.7109375" style="11" customWidth="1"/>
    <col min="3" max="5" width="20.7109375" style="11" customWidth="1"/>
    <col min="6" max="17" width="15.7109375" style="11" customWidth="1"/>
    <col min="18" max="18" width="9.140625" style="11"/>
    <col min="19" max="19" width="11.7109375" style="11" bestFit="1" customWidth="1"/>
    <col min="20" max="16384" width="9.140625" style="3"/>
  </cols>
  <sheetData>
    <row r="1" spans="1:26" s="7" customFormat="1" ht="30" customHeight="1" thickBot="1" x14ac:dyDescent="0.35">
      <c r="A1" s="4" t="s">
        <v>914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</row>
    <row r="2" spans="1:26" x14ac:dyDescent="0.25">
      <c r="A2" s="8"/>
      <c r="B2" s="8"/>
      <c r="C2" s="8"/>
      <c r="D2" s="8"/>
      <c r="E2" s="8"/>
      <c r="F2" s="284" t="s">
        <v>18</v>
      </c>
      <c r="G2" s="285"/>
      <c r="H2" s="285"/>
      <c r="I2" s="285"/>
      <c r="J2" s="285"/>
      <c r="K2" s="285"/>
      <c r="L2" s="285"/>
      <c r="M2" s="285"/>
      <c r="N2" s="286"/>
      <c r="O2" s="8"/>
      <c r="P2" s="8"/>
      <c r="Q2" s="8"/>
      <c r="R2" s="8"/>
      <c r="S2" s="8"/>
      <c r="T2" s="9"/>
      <c r="U2" s="9"/>
      <c r="V2" s="9"/>
      <c r="W2" s="9"/>
      <c r="X2" s="9"/>
      <c r="Y2" s="9"/>
      <c r="Z2" s="9"/>
    </row>
    <row r="3" spans="1:26" x14ac:dyDescent="0.25">
      <c r="A3" s="10"/>
      <c r="B3" s="8"/>
      <c r="C3" s="8"/>
      <c r="D3" s="8"/>
      <c r="E3" s="8"/>
      <c r="F3" s="287"/>
      <c r="G3" s="288"/>
      <c r="H3" s="288"/>
      <c r="I3" s="288"/>
      <c r="J3" s="288"/>
      <c r="K3" s="288"/>
      <c r="L3" s="288"/>
      <c r="M3" s="288"/>
      <c r="N3" s="289"/>
      <c r="Z3" s="9"/>
    </row>
    <row r="4" spans="1:26" x14ac:dyDescent="0.25">
      <c r="A4" s="12" t="s">
        <v>48</v>
      </c>
      <c r="B4" s="13"/>
      <c r="C4" s="13"/>
      <c r="D4" s="13"/>
      <c r="E4" s="13"/>
      <c r="F4" s="287"/>
      <c r="G4" s="288"/>
      <c r="H4" s="288"/>
      <c r="I4" s="288"/>
      <c r="J4" s="288"/>
      <c r="K4" s="288"/>
      <c r="L4" s="288"/>
      <c r="M4" s="288"/>
      <c r="N4" s="289"/>
      <c r="Z4" s="14"/>
    </row>
    <row r="5" spans="1:26" x14ac:dyDescent="0.25">
      <c r="A5" s="13"/>
      <c r="B5" s="13"/>
      <c r="C5" s="13"/>
      <c r="D5" s="13"/>
      <c r="E5" s="13"/>
      <c r="F5" s="287"/>
      <c r="G5" s="288"/>
      <c r="H5" s="288"/>
      <c r="I5" s="288"/>
      <c r="J5" s="288"/>
      <c r="K5" s="288"/>
      <c r="L5" s="288"/>
      <c r="M5" s="288"/>
      <c r="N5" s="289"/>
      <c r="Z5" s="9"/>
    </row>
    <row r="6" spans="1:26" x14ac:dyDescent="0.25">
      <c r="A6" s="12" t="s">
        <v>49</v>
      </c>
      <c r="B6" s="13"/>
      <c r="C6" s="13"/>
      <c r="D6" s="13"/>
      <c r="E6" s="13"/>
      <c r="F6" s="287"/>
      <c r="G6" s="288"/>
      <c r="H6" s="288"/>
      <c r="I6" s="288"/>
      <c r="J6" s="288"/>
      <c r="K6" s="288"/>
      <c r="L6" s="288"/>
      <c r="M6" s="288"/>
      <c r="N6" s="289"/>
      <c r="Z6" s="14"/>
    </row>
    <row r="7" spans="1:26" ht="15.75" thickBot="1" x14ac:dyDescent="0.3">
      <c r="A7" s="13"/>
      <c r="B7" s="13"/>
      <c r="C7" s="13"/>
      <c r="D7" s="13"/>
      <c r="E7" s="13"/>
      <c r="F7" s="290" t="s">
        <v>19</v>
      </c>
      <c r="G7" s="291"/>
      <c r="H7" s="291"/>
      <c r="I7" s="291"/>
      <c r="J7" s="291"/>
      <c r="K7" s="291"/>
      <c r="L7" s="291"/>
      <c r="M7" s="291"/>
      <c r="N7" s="292"/>
      <c r="Z7" s="9"/>
    </row>
    <row r="8" spans="1:26" x14ac:dyDescent="0.25">
      <c r="A8" s="13"/>
      <c r="B8" s="13"/>
      <c r="C8" s="13"/>
      <c r="D8" s="13"/>
      <c r="E8" s="13"/>
      <c r="F8" s="15"/>
      <c r="G8" s="15"/>
      <c r="H8" s="15"/>
      <c r="I8" s="15"/>
      <c r="J8" s="15"/>
      <c r="K8" s="15"/>
      <c r="L8" s="15"/>
      <c r="M8" s="15"/>
      <c r="N8" s="15"/>
      <c r="Z8" s="9"/>
    </row>
    <row r="9" spans="1:26" ht="20.100000000000001" customHeight="1" thickBot="1" x14ac:dyDescent="0.3">
      <c r="A9" s="12" t="s">
        <v>0</v>
      </c>
      <c r="B9" s="13"/>
      <c r="C9" s="13"/>
      <c r="D9" s="13"/>
      <c r="E9" s="13"/>
      <c r="F9" s="15"/>
      <c r="G9" s="15"/>
      <c r="H9" s="15"/>
      <c r="I9" s="15"/>
      <c r="J9" s="15"/>
      <c r="K9" s="15"/>
      <c r="L9" s="15"/>
      <c r="M9" s="15"/>
      <c r="N9" s="15"/>
      <c r="Z9" s="9"/>
    </row>
    <row r="10" spans="1:26" ht="20.100000000000001" customHeight="1" x14ac:dyDescent="0.25">
      <c r="A10" s="293" t="s">
        <v>1</v>
      </c>
      <c r="B10" s="295" t="s">
        <v>35</v>
      </c>
      <c r="C10" s="297" t="s">
        <v>20</v>
      </c>
      <c r="D10" s="299" t="s">
        <v>21</v>
      </c>
      <c r="E10" s="301" t="s">
        <v>22</v>
      </c>
      <c r="F10" s="77"/>
      <c r="G10" s="64"/>
      <c r="H10" s="65"/>
      <c r="I10" s="64"/>
      <c r="J10" s="65" t="s">
        <v>12</v>
      </c>
      <c r="K10" s="64"/>
      <c r="L10" s="64"/>
      <c r="M10" s="64"/>
      <c r="N10" s="65"/>
      <c r="O10" s="65"/>
      <c r="P10" s="65"/>
      <c r="Q10" s="66"/>
      <c r="R10" s="28"/>
      <c r="S10" s="28"/>
      <c r="T10" s="2"/>
      <c r="U10" s="2"/>
      <c r="V10" s="2"/>
      <c r="W10" s="2"/>
      <c r="Z10" s="9"/>
    </row>
    <row r="11" spans="1:26" s="1" customFormat="1" ht="20.100000000000001" customHeight="1" thickBot="1" x14ac:dyDescent="0.3">
      <c r="A11" s="294"/>
      <c r="B11" s="296"/>
      <c r="C11" s="298"/>
      <c r="D11" s="300"/>
      <c r="E11" s="302"/>
      <c r="F11" s="83">
        <v>2019</v>
      </c>
      <c r="G11" s="84">
        <v>2020</v>
      </c>
      <c r="H11" s="84">
        <v>2021</v>
      </c>
      <c r="I11" s="84">
        <v>2022</v>
      </c>
      <c r="J11" s="84">
        <v>2023</v>
      </c>
      <c r="K11" s="84">
        <v>2024</v>
      </c>
      <c r="L11" s="84">
        <v>2025</v>
      </c>
      <c r="M11" s="84">
        <v>2026</v>
      </c>
      <c r="N11" s="84">
        <v>2027</v>
      </c>
      <c r="O11" s="84">
        <v>2028</v>
      </c>
      <c r="P11" s="84">
        <v>2029</v>
      </c>
      <c r="Q11" s="85">
        <v>2030</v>
      </c>
      <c r="R11" s="15"/>
      <c r="S11" s="15"/>
      <c r="T11" s="15"/>
      <c r="U11" s="15"/>
      <c r="V11" s="15"/>
      <c r="W11" s="15"/>
      <c r="X11" s="16"/>
      <c r="Y11" s="16"/>
      <c r="Z11" s="16"/>
    </row>
    <row r="12" spans="1:26" ht="39.950000000000003" customHeight="1" thickTop="1" x14ac:dyDescent="0.25">
      <c r="A12" s="86" t="s">
        <v>37</v>
      </c>
      <c r="B12" s="87">
        <f>COUNTA('pow podst'!K3:K45)</f>
        <v>38</v>
      </c>
      <c r="C12" s="88">
        <f>SUM('pow podst'!J3:J45)</f>
        <v>227986744.33999994</v>
      </c>
      <c r="D12" s="89">
        <f>SUM('pow podst'!L3:L45)</f>
        <v>92646654.837999985</v>
      </c>
      <c r="E12" s="90">
        <f>SUM('pow podst'!K3:K45)</f>
        <v>135340089.502</v>
      </c>
      <c r="F12" s="91">
        <f>SUM('pow podst'!N3:N45)</f>
        <v>0</v>
      </c>
      <c r="G12" s="88">
        <f>SUM('pow podst'!O3:O45)</f>
        <v>0</v>
      </c>
      <c r="H12" s="88">
        <f>SUM('pow podst'!P3:P45)</f>
        <v>0</v>
      </c>
      <c r="I12" s="88">
        <f>SUM('pow podst'!Q3:Q45)</f>
        <v>0</v>
      </c>
      <c r="J12" s="88">
        <f>SUM('pow podst'!R3:R45)</f>
        <v>7444540.8200000003</v>
      </c>
      <c r="K12" s="88">
        <f>SUM('pow podst'!S3:S45)</f>
        <v>74065301.071999997</v>
      </c>
      <c r="L12" s="88">
        <f>SUM('pow podst'!T3:T45)</f>
        <v>25324661.640000001</v>
      </c>
      <c r="M12" s="88">
        <f>SUM('pow podst'!U3:U45)</f>
        <v>10320560</v>
      </c>
      <c r="N12" s="88">
        <f>SUM('pow podst'!V3:V45)</f>
        <v>7000000</v>
      </c>
      <c r="O12" s="88">
        <f>SUM('pow podst'!W3:W45)</f>
        <v>7000000</v>
      </c>
      <c r="P12" s="88">
        <f>SUM('pow podst'!X3:X45)</f>
        <v>4185025.97</v>
      </c>
      <c r="Q12" s="92">
        <f>SUM('pow podst'!Y3:Y45)</f>
        <v>0</v>
      </c>
      <c r="R12" s="17" t="b">
        <f>C12=(D12+E12)</f>
        <v>1</v>
      </c>
      <c r="S12" s="36" t="b">
        <f>E12=SUM(F12:Q12)</f>
        <v>1</v>
      </c>
      <c r="T12" s="18"/>
      <c r="U12" s="18"/>
      <c r="V12" s="19"/>
      <c r="W12" s="19"/>
      <c r="X12" s="20"/>
      <c r="Y12" s="9"/>
      <c r="Z12" s="9"/>
    </row>
    <row r="13" spans="1:26" ht="39.950000000000003" customHeight="1" x14ac:dyDescent="0.25">
      <c r="A13" s="93" t="s">
        <v>38</v>
      </c>
      <c r="B13" s="136">
        <f>COUNTIF('pow podst'!C3:C45,"K")</f>
        <v>6</v>
      </c>
      <c r="C13" s="137">
        <f>SUMIF('pow podst'!C3:C45,"K",'pow podst'!J3:J45)</f>
        <v>37529570.329999998</v>
      </c>
      <c r="D13" s="138">
        <f>SUMIF('pow podst'!C3:C45,"K",'pow podst'!L3:L45)</f>
        <v>17896909.969999999</v>
      </c>
      <c r="E13" s="43">
        <f>SUMIF('pow podst'!C3:C45,"K",'pow podst'!K3:K45)</f>
        <v>19632660.359999999</v>
      </c>
      <c r="F13" s="145">
        <f>SUMIF('pow podst'!C3:C45,"K",'pow podst'!N3:N45)</f>
        <v>0</v>
      </c>
      <c r="G13" s="137">
        <f>SUMIF('pow podst'!C3:C45,"K",'pow podst'!O3:O45)</f>
        <v>0</v>
      </c>
      <c r="H13" s="137">
        <f>SUMIF('pow podst'!C3:C45,"K",'pow podst'!P3:P45)</f>
        <v>0</v>
      </c>
      <c r="I13" s="137">
        <f>SUMIF('pow podst'!C3:C45,"K",'pow podst'!Q3:Q45)</f>
        <v>0</v>
      </c>
      <c r="J13" s="137">
        <f>SUMIF('pow podst'!C3:C45,"K",'pow podst'!R3:R45)</f>
        <v>7444540.8200000003</v>
      </c>
      <c r="K13" s="137">
        <f>SUMIF('pow podst'!C3:C45,"K",'pow podst'!S3:S45)</f>
        <v>10317067.039999999</v>
      </c>
      <c r="L13" s="137">
        <f>SUMIF('pow podst'!C3:C45,"K",'pow podst'!T3:T45)</f>
        <v>1871052.5</v>
      </c>
      <c r="M13" s="137">
        <f>SUMIF('pow podst'!C3:C45,"K",'pow podst'!U3:U45)</f>
        <v>0</v>
      </c>
      <c r="N13" s="137">
        <f>SUMIF('pow podst'!C3:C45,"K",'pow podst'!V3:V45)</f>
        <v>0</v>
      </c>
      <c r="O13" s="137">
        <f>SUMIF('pow podst'!C3:C45,"K",'pow podst'!W3:W45)</f>
        <v>0</v>
      </c>
      <c r="P13" s="137">
        <f>SUMIF('pow podst'!D3:D45,"K",'pow podst'!X3:X45)</f>
        <v>0</v>
      </c>
      <c r="Q13" s="146">
        <f>SUMIF('pow podst'!E3:E45,"K",'pow podst'!Y3:Y45)</f>
        <v>0</v>
      </c>
      <c r="R13" s="17" t="b">
        <f t="shared" ref="R13:R36" si="0">C13=(D13+E13)</f>
        <v>1</v>
      </c>
      <c r="S13" s="36" t="b">
        <f t="shared" ref="S13:S36" si="1">E13=SUM(F13:Q13)</f>
        <v>1</v>
      </c>
      <c r="T13" s="18"/>
      <c r="U13" s="18"/>
      <c r="V13" s="19"/>
      <c r="W13" s="19"/>
      <c r="X13" s="20"/>
      <c r="Y13" s="9"/>
      <c r="Z13" s="9"/>
    </row>
    <row r="14" spans="1:26" ht="39.950000000000003" customHeight="1" x14ac:dyDescent="0.25">
      <c r="A14" s="94" t="s">
        <v>39</v>
      </c>
      <c r="B14" s="139">
        <f>COUNTIF('pow podst'!C3:C45,"N")</f>
        <v>26</v>
      </c>
      <c r="C14" s="140">
        <f>SUMIF('pow podst'!C3:C45,"N",'pow podst'!J3:J45)</f>
        <v>69284418.310000002</v>
      </c>
      <c r="D14" s="141">
        <f>SUMIF('pow podst'!C3:C45,"N",'pow podst'!L3:L45)</f>
        <v>24078806.308000006</v>
      </c>
      <c r="E14" s="42">
        <f>SUMIF('pow podst'!C3:C45,"N",'pow podst'!K3:K45)</f>
        <v>45205612.002000004</v>
      </c>
      <c r="F14" s="147">
        <f>SUMIF('pow podst'!C3:C45,"N",'pow podst'!N3:N45)</f>
        <v>0</v>
      </c>
      <c r="G14" s="140">
        <f>SUMIF('pow podst'!C3:C45,"N",'pow podst'!O3:O45)</f>
        <v>0</v>
      </c>
      <c r="H14" s="140">
        <f>SUMIF('pow podst'!C3:C45,"N",'pow podst'!P3:P45)</f>
        <v>0</v>
      </c>
      <c r="I14" s="140">
        <f>SUMIF('pow podst'!C3:C45,"N",'pow podst'!Q3:Q45)</f>
        <v>0</v>
      </c>
      <c r="J14" s="140">
        <f>SUMIF('pow podst'!C3:C45,"N",'pow podst'!R3:R45)</f>
        <v>0</v>
      </c>
      <c r="K14" s="140">
        <f>SUMIF('pow podst'!C3:C45,"N",'pow podst'!S3:S45)</f>
        <v>45205612.002000004</v>
      </c>
      <c r="L14" s="140">
        <f>SUMIF('pow podst'!C3:C45,"N",'pow podst'!T3:T45)</f>
        <v>0</v>
      </c>
      <c r="M14" s="140">
        <f>SUMIF('pow podst'!C3:C45,"N",'pow podst'!U3:U45)</f>
        <v>0</v>
      </c>
      <c r="N14" s="140">
        <f>SUMIF('pow podst'!C3:C45,"N",'pow podst'!V3:V45)</f>
        <v>0</v>
      </c>
      <c r="O14" s="140">
        <f>SUMIF('pow podst'!C3:C45,"N",'pow podst'!W3:W45)</f>
        <v>0</v>
      </c>
      <c r="P14" s="140">
        <f>SUMIF('pow podst'!D3:D45,"N",'pow podst'!X3:X45)</f>
        <v>0</v>
      </c>
      <c r="Q14" s="148">
        <f>SUMIF('pow podst'!E3:E45,"N",'pow podst'!Y3:Y45)</f>
        <v>0</v>
      </c>
      <c r="R14" s="17" t="b">
        <f t="shared" si="0"/>
        <v>1</v>
      </c>
      <c r="S14" s="36" t="b">
        <f t="shared" si="1"/>
        <v>1</v>
      </c>
      <c r="T14" s="18"/>
      <c r="U14" s="18"/>
      <c r="V14" s="19"/>
      <c r="W14" s="19"/>
      <c r="X14" s="20"/>
      <c r="Y14" s="9"/>
      <c r="Z14" s="9"/>
    </row>
    <row r="15" spans="1:26" ht="39.950000000000003" customHeight="1" thickBot="1" x14ac:dyDescent="0.3">
      <c r="A15" s="95" t="s">
        <v>40</v>
      </c>
      <c r="B15" s="142">
        <f>COUNTIF('pow podst'!C3:C45,"W")</f>
        <v>10</v>
      </c>
      <c r="C15" s="143">
        <f>SUMIF('pow podst'!C3:C45,"W",'pow podst'!J3:J45)</f>
        <v>121172755.7</v>
      </c>
      <c r="D15" s="144">
        <f>SUMIF('pow podst'!C3:C45,"W",'pow podst'!L3:L45)</f>
        <v>50670938.560000002</v>
      </c>
      <c r="E15" s="96">
        <f>SUMIF('pow podst'!C3:C45,"W",'pow podst'!K3:K45)</f>
        <v>70501817.140000001</v>
      </c>
      <c r="F15" s="149">
        <f>SUMIF('pow podst'!C3:C45,"W",'pow podst'!N3:N45)</f>
        <v>0</v>
      </c>
      <c r="G15" s="143">
        <f>SUMIF('pow podst'!C3:C45,"W",'pow podst'!O3:O45)</f>
        <v>0</v>
      </c>
      <c r="H15" s="143">
        <f>SUMIF('pow podst'!C3:C45,"W",'pow podst'!P3:P45)</f>
        <v>0</v>
      </c>
      <c r="I15" s="143">
        <f>SUMIF('pow podst'!C3:C45,"W",'pow podst'!Q3:Q45)</f>
        <v>0</v>
      </c>
      <c r="J15" s="143">
        <f>SUMIF('pow podst'!C3:C45,"W",'pow podst'!R3:R45)</f>
        <v>0</v>
      </c>
      <c r="K15" s="143">
        <f>SUMIF('pow podst'!C3:C45,"W",'pow podst'!S3:S45)</f>
        <v>18542622.030000001</v>
      </c>
      <c r="L15" s="143">
        <f>SUMIF('pow podst'!C3:C45,"W",'pow podst'!T3:T45)</f>
        <v>23453609.140000001</v>
      </c>
      <c r="M15" s="143">
        <f>SUMIF('pow podst'!C3:C45,"W",'pow podst'!U3:U45)</f>
        <v>10320560</v>
      </c>
      <c r="N15" s="143">
        <f>SUMIF('pow podst'!C3:C45,"W",'pow podst'!V3:V45)</f>
        <v>7000000</v>
      </c>
      <c r="O15" s="143">
        <f>SUMIF('pow podst'!C3:C45,"W",'pow podst'!W3:W45)</f>
        <v>7000000</v>
      </c>
      <c r="P15" s="143">
        <f>SUMIF('pow podst'!C3:C45,"W",'pow podst'!X3:X45)</f>
        <v>4185025.97</v>
      </c>
      <c r="Q15" s="150">
        <f>SUMIF('pow podst'!E3:E45,"W",'pow podst'!Y3:Y45)</f>
        <v>0</v>
      </c>
      <c r="R15" s="17" t="b">
        <f t="shared" si="0"/>
        <v>1</v>
      </c>
      <c r="S15" s="36" t="b">
        <f t="shared" si="1"/>
        <v>1</v>
      </c>
      <c r="T15" s="18"/>
      <c r="U15" s="18"/>
      <c r="V15" s="19"/>
      <c r="W15" s="19"/>
      <c r="X15" s="20"/>
      <c r="Y15" s="9"/>
      <c r="Z15" s="9"/>
    </row>
    <row r="16" spans="1:26" ht="39.950000000000003" customHeight="1" thickTop="1" x14ac:dyDescent="0.25">
      <c r="A16" s="86" t="s">
        <v>41</v>
      </c>
      <c r="B16" s="87">
        <f>COUNTA('gm podst'!L3:L132)</f>
        <v>123</v>
      </c>
      <c r="C16" s="88">
        <f>SUM('gm podst'!K3:K132)</f>
        <v>368583691.57000011</v>
      </c>
      <c r="D16" s="89">
        <f>SUM('gm podst'!M3:M132)</f>
        <v>131002043.31999993</v>
      </c>
      <c r="E16" s="90">
        <f>SUM('gm podst'!L3:L132)</f>
        <v>237581648.24999997</v>
      </c>
      <c r="F16" s="151">
        <f>SUM('gm podst'!O3:O132)</f>
        <v>0</v>
      </c>
      <c r="G16" s="152">
        <f>SUM('gm podst'!P3:P132)</f>
        <v>0</v>
      </c>
      <c r="H16" s="152">
        <f>SUM('gm podst'!Q3:Q132)</f>
        <v>0</v>
      </c>
      <c r="I16" s="152">
        <f>SUM('gm podst'!R3:R132)</f>
        <v>650000</v>
      </c>
      <c r="J16" s="152">
        <f>SUM('gm podst'!S3:S132)</f>
        <v>21333818.920000002</v>
      </c>
      <c r="K16" s="152">
        <f>SUM('gm podst'!T3:T132)</f>
        <v>182629005.14999998</v>
      </c>
      <c r="L16" s="152">
        <f>SUM('gm podst'!U3:U132)</f>
        <v>27248824.18</v>
      </c>
      <c r="M16" s="152">
        <f>SUM('gm podst'!V3:V132)</f>
        <v>5720000</v>
      </c>
      <c r="N16" s="152">
        <f>SUM('gm podst'!W3:W132)</f>
        <v>0</v>
      </c>
      <c r="O16" s="152">
        <f>SUM('gm podst'!X3:X132)</f>
        <v>0</v>
      </c>
      <c r="P16" s="152">
        <f>SUM('gm podst'!Y3:Y132)</f>
        <v>0</v>
      </c>
      <c r="Q16" s="153">
        <f>SUM('gm podst'!Z3:Z132)</f>
        <v>0</v>
      </c>
      <c r="R16" s="17" t="b">
        <f t="shared" si="0"/>
        <v>1</v>
      </c>
      <c r="S16" s="36" t="b">
        <f t="shared" si="1"/>
        <v>1</v>
      </c>
      <c r="T16" s="18"/>
      <c r="U16" s="18"/>
      <c r="V16" s="19"/>
      <c r="W16" s="19"/>
      <c r="X16" s="19"/>
      <c r="Y16" s="19"/>
      <c r="Z16" s="19"/>
    </row>
    <row r="17" spans="1:26" ht="39.950000000000003" customHeight="1" x14ac:dyDescent="0.25">
      <c r="A17" s="93" t="s">
        <v>38</v>
      </c>
      <c r="B17" s="136">
        <f>COUNTIF('gm podst'!C3:C132,"K")</f>
        <v>17</v>
      </c>
      <c r="C17" s="137">
        <f>SUMIF('gm podst'!C3:C132,"K",'gm podst'!K3:K132)</f>
        <v>87408544.699999988</v>
      </c>
      <c r="D17" s="138">
        <f>SUMIF('gm podst'!C3:C132,"K",'gm podst'!M3:M132)</f>
        <v>41595452.020000003</v>
      </c>
      <c r="E17" s="43">
        <f>SUMIF('gm podst'!C3:C132,"K",'gm podst'!L3:L132)</f>
        <v>45813092.680000007</v>
      </c>
      <c r="F17" s="145">
        <f>SUMIF('gm podst'!C3:C132,"K",'gm podst'!O3:O132)</f>
        <v>0</v>
      </c>
      <c r="G17" s="137">
        <f>SUMIF('gm podst'!C3:C132,"K",'gm podst'!P3:P132)</f>
        <v>0</v>
      </c>
      <c r="H17" s="137">
        <f>SUMIF('gm podst'!C3:C132,"K",'gm podst'!Q3:Q132)</f>
        <v>0</v>
      </c>
      <c r="I17" s="137">
        <f>SUMIF('gm podst'!C3:C132,"K",'gm podst'!R3:R132)</f>
        <v>650000</v>
      </c>
      <c r="J17" s="137">
        <f>SUMIF('gm podst'!C3:C132,"K",'gm podst'!S3:S132)</f>
        <v>21333818.920000002</v>
      </c>
      <c r="K17" s="137">
        <f>SUMIF('gm podst'!C3:C132,"K",'gm podst'!T3:T132)</f>
        <v>22701882.59</v>
      </c>
      <c r="L17" s="137">
        <f>SUMIF('gm podst'!C3:C132,"K",'gm podst'!U3:U132)</f>
        <v>1127391.17</v>
      </c>
      <c r="M17" s="137">
        <f>SUMIF('gm podst'!C3:C132,"K",'gm podst'!V3:V132)</f>
        <v>0</v>
      </c>
      <c r="N17" s="137">
        <f>SUMIF('gm podst'!C3:C132,"K",'gm podst'!W3:W132)</f>
        <v>0</v>
      </c>
      <c r="O17" s="137">
        <f>SUMIF('gm podst'!C3:C132,"K",'gm podst'!X3:X132)</f>
        <v>0</v>
      </c>
      <c r="P17" s="137">
        <f>SUMIF('gm podst'!D3:D132,"K",'gm podst'!Y3:Y132)</f>
        <v>0</v>
      </c>
      <c r="Q17" s="146">
        <f>SUMIF('gm podst'!E3:E132,"K",'gm podst'!Z3:Z132)</f>
        <v>0</v>
      </c>
      <c r="R17" s="17" t="b">
        <f t="shared" si="0"/>
        <v>1</v>
      </c>
      <c r="S17" s="36" t="b">
        <f t="shared" si="1"/>
        <v>1</v>
      </c>
      <c r="T17" s="18"/>
      <c r="U17" s="18"/>
      <c r="V17" s="19"/>
      <c r="W17" s="19"/>
      <c r="X17" s="19"/>
      <c r="Y17" s="19"/>
      <c r="Z17" s="19"/>
    </row>
    <row r="18" spans="1:26" ht="39.950000000000003" customHeight="1" x14ac:dyDescent="0.25">
      <c r="A18" s="94" t="s">
        <v>39</v>
      </c>
      <c r="B18" s="139">
        <f>COUNTIF('gm podst'!C3:C132,"N")</f>
        <v>87</v>
      </c>
      <c r="C18" s="140">
        <f>SUMIF('gm podst'!C3:C132,"N",'gm podst'!K3:K132)</f>
        <v>206780357.87999997</v>
      </c>
      <c r="D18" s="141">
        <f>SUMIF('gm podst'!C3:C132,"N",'gm podst'!M3:M132)</f>
        <v>63520811.039999992</v>
      </c>
      <c r="E18" s="42">
        <f>SUMIF('gm podst'!C3:C132,"N",'gm podst'!L3:L132)</f>
        <v>143259546.83999997</v>
      </c>
      <c r="F18" s="147">
        <f>SUMIF('gm podst'!C3:C132,"N",'gm podst'!O3:O132)</f>
        <v>0</v>
      </c>
      <c r="G18" s="140">
        <f>SUMIF('gm podst'!C3:C132,"N",'gm podst'!P3:P132)</f>
        <v>0</v>
      </c>
      <c r="H18" s="140">
        <f>SUMIF('gm podst'!C3:C132,"N",'gm podst'!Q3:Q132)</f>
        <v>0</v>
      </c>
      <c r="I18" s="140">
        <f>SUMIF('gm podst'!C3:C132,"N",'gm podst'!R3:R132)</f>
        <v>0</v>
      </c>
      <c r="J18" s="140">
        <f>SUMIF('gm podst'!C3:C132,"N",'gm podst'!S3:S132)</f>
        <v>0</v>
      </c>
      <c r="K18" s="140">
        <f>SUMIF('gm podst'!C3:C132,"N",'gm podst'!T3:T132)</f>
        <v>143259546.83999997</v>
      </c>
      <c r="L18" s="140">
        <f>SUMIF('gm podst'!C3:C132,"N",'gm podst'!U3:U132)</f>
        <v>0</v>
      </c>
      <c r="M18" s="140">
        <f>SUMIF('gm podst'!C3:C132,"N",'gm podst'!V3:V132)</f>
        <v>0</v>
      </c>
      <c r="N18" s="140">
        <f>SUMIF('gm podst'!C3:C132,"N",'gm podst'!W3:W132)</f>
        <v>0</v>
      </c>
      <c r="O18" s="140">
        <f>SUMIF('gm podst'!C3:C132,"N",'gm podst'!X3:X132)</f>
        <v>0</v>
      </c>
      <c r="P18" s="140">
        <f>SUMIF('gm podst'!D3:D132,"N",'gm podst'!Y3:Y132)</f>
        <v>0</v>
      </c>
      <c r="Q18" s="148">
        <f>SUMIF('gm podst'!E3:E132,"N",'gm podst'!Z3:Z132)</f>
        <v>0</v>
      </c>
      <c r="R18" s="17" t="b">
        <f t="shared" si="0"/>
        <v>1</v>
      </c>
      <c r="S18" s="36" t="b">
        <f t="shared" si="1"/>
        <v>1</v>
      </c>
      <c r="T18" s="18"/>
      <c r="U18" s="18"/>
      <c r="V18" s="19"/>
      <c r="W18" s="19"/>
      <c r="X18" s="19"/>
      <c r="Y18" s="19"/>
      <c r="Z18" s="19"/>
    </row>
    <row r="19" spans="1:26" ht="39.950000000000003" customHeight="1" thickBot="1" x14ac:dyDescent="0.3">
      <c r="A19" s="95" t="s">
        <v>40</v>
      </c>
      <c r="B19" s="142">
        <f>COUNTIF('gm podst'!C3:C132,"W")</f>
        <v>19</v>
      </c>
      <c r="C19" s="143">
        <f>SUMIF('gm podst'!C3:C132,"W",'gm podst'!K3:K132)</f>
        <v>74394788.989999995</v>
      </c>
      <c r="D19" s="144">
        <f>SUMIF('gm podst'!C3:C132,"W",'gm podst'!M3:M132)</f>
        <v>25885780.259999998</v>
      </c>
      <c r="E19" s="96">
        <f>SUMIF('gm podst'!C3:C132,"W",'gm podst'!L3:L132)</f>
        <v>48509008.730000004</v>
      </c>
      <c r="F19" s="149">
        <f>SUMIF('gm podst'!C3:C132,"W",'gm podst'!O3:O132)</f>
        <v>0</v>
      </c>
      <c r="G19" s="143">
        <f>SUMIF('gm podst'!C3:C132,"W",'gm podst'!P3:P132)</f>
        <v>0</v>
      </c>
      <c r="H19" s="143">
        <f>SUMIF('gm podst'!C3:C132,"W",'gm podst'!Q3:Q132)</f>
        <v>0</v>
      </c>
      <c r="I19" s="143">
        <f>SUMIF('gm podst'!C3:C132,"W",'gm podst'!R3:R132)</f>
        <v>0</v>
      </c>
      <c r="J19" s="143">
        <f>SUMIF('gm podst'!C3:C132,"W",'gm podst'!S3:S132)</f>
        <v>0</v>
      </c>
      <c r="K19" s="143">
        <f>SUMIF('gm podst'!C3:C132,"W",'gm podst'!T3:T132)</f>
        <v>16667575.719999999</v>
      </c>
      <c r="L19" s="143">
        <f>SUMIF('gm podst'!C3:C132,"W",'gm podst'!U3:U132)</f>
        <v>26121433.009999998</v>
      </c>
      <c r="M19" s="143">
        <f>SUMIF('gm podst'!C3:C132,"W",'gm podst'!V3:V132)</f>
        <v>5720000</v>
      </c>
      <c r="N19" s="143">
        <f>SUMIF('gm podst'!C3:C132,"W",'gm podst'!W3:W132)</f>
        <v>0</v>
      </c>
      <c r="O19" s="143">
        <f>SUMIF('gm podst'!C3:C132,"W",'gm podst'!X3:X132)</f>
        <v>0</v>
      </c>
      <c r="P19" s="143">
        <f>SUMIF('gm podst'!D3:D132,"W",'gm podst'!Y3:Y132)</f>
        <v>0</v>
      </c>
      <c r="Q19" s="150">
        <f>SUMIF('gm podst'!E3:E132,"W",'gm podst'!Z3:Z132)</f>
        <v>0</v>
      </c>
      <c r="R19" s="17" t="b">
        <f t="shared" si="0"/>
        <v>1</v>
      </c>
      <c r="S19" s="36" t="b">
        <f t="shared" si="1"/>
        <v>1</v>
      </c>
      <c r="T19" s="18"/>
      <c r="U19" s="18"/>
      <c r="V19" s="19"/>
      <c r="W19" s="19"/>
      <c r="X19" s="19"/>
      <c r="Y19" s="19"/>
      <c r="Z19" s="19"/>
    </row>
    <row r="20" spans="1:26" s="23" customFormat="1" ht="39.950000000000003" customHeight="1" thickTop="1" x14ac:dyDescent="0.25">
      <c r="A20" s="97" t="s">
        <v>42</v>
      </c>
      <c r="B20" s="98">
        <f>B12+B16</f>
        <v>161</v>
      </c>
      <c r="C20" s="99">
        <f>C12+C16</f>
        <v>596570435.91000009</v>
      </c>
      <c r="D20" s="100">
        <f t="shared" ref="C20:O22" si="2">D12+D16</f>
        <v>223648698.15799993</v>
      </c>
      <c r="E20" s="101">
        <f t="shared" si="2"/>
        <v>372921737.75199997</v>
      </c>
      <c r="F20" s="102">
        <f t="shared" si="2"/>
        <v>0</v>
      </c>
      <c r="G20" s="99">
        <f t="shared" si="2"/>
        <v>0</v>
      </c>
      <c r="H20" s="99">
        <f t="shared" si="2"/>
        <v>0</v>
      </c>
      <c r="I20" s="99">
        <f t="shared" si="2"/>
        <v>650000</v>
      </c>
      <c r="J20" s="99">
        <f t="shared" si="2"/>
        <v>28778359.740000002</v>
      </c>
      <c r="K20" s="99">
        <f t="shared" si="2"/>
        <v>256694306.22199997</v>
      </c>
      <c r="L20" s="99">
        <f t="shared" si="2"/>
        <v>52573485.82</v>
      </c>
      <c r="M20" s="99">
        <f t="shared" si="2"/>
        <v>16040560</v>
      </c>
      <c r="N20" s="99">
        <f t="shared" si="2"/>
        <v>7000000</v>
      </c>
      <c r="O20" s="99">
        <f t="shared" si="2"/>
        <v>7000000</v>
      </c>
      <c r="P20" s="99">
        <f t="shared" ref="P20:Q20" si="3">P12+P16</f>
        <v>4185025.97</v>
      </c>
      <c r="Q20" s="103">
        <f t="shared" si="3"/>
        <v>0</v>
      </c>
      <c r="R20" s="17" t="b">
        <f t="shared" si="0"/>
        <v>1</v>
      </c>
      <c r="S20" s="36" t="b">
        <f t="shared" si="1"/>
        <v>1</v>
      </c>
      <c r="T20" s="21"/>
      <c r="U20" s="21"/>
      <c r="V20" s="22"/>
      <c r="W20" s="22"/>
      <c r="X20" s="22"/>
      <c r="Y20" s="22"/>
      <c r="Z20" s="22"/>
    </row>
    <row r="21" spans="1:26" s="23" customFormat="1" ht="39.950000000000003" customHeight="1" x14ac:dyDescent="0.25">
      <c r="A21" s="104" t="s">
        <v>38</v>
      </c>
      <c r="B21" s="68">
        <f>B13+B17</f>
        <v>23</v>
      </c>
      <c r="C21" s="60">
        <f t="shared" si="2"/>
        <v>124938115.02999999</v>
      </c>
      <c r="D21" s="73">
        <f t="shared" si="2"/>
        <v>59492361.990000002</v>
      </c>
      <c r="E21" s="43">
        <f t="shared" si="2"/>
        <v>65445753.040000007</v>
      </c>
      <c r="F21" s="78">
        <f t="shared" si="2"/>
        <v>0</v>
      </c>
      <c r="G21" s="60">
        <f t="shared" si="2"/>
        <v>0</v>
      </c>
      <c r="H21" s="60">
        <f t="shared" si="2"/>
        <v>0</v>
      </c>
      <c r="I21" s="60">
        <f t="shared" si="2"/>
        <v>650000</v>
      </c>
      <c r="J21" s="60">
        <f t="shared" si="2"/>
        <v>28778359.740000002</v>
      </c>
      <c r="K21" s="60">
        <f t="shared" si="2"/>
        <v>33018949.629999999</v>
      </c>
      <c r="L21" s="60">
        <f t="shared" si="2"/>
        <v>2998443.67</v>
      </c>
      <c r="M21" s="60">
        <f t="shared" si="2"/>
        <v>0</v>
      </c>
      <c r="N21" s="60">
        <f t="shared" si="2"/>
        <v>0</v>
      </c>
      <c r="O21" s="60">
        <f t="shared" si="2"/>
        <v>0</v>
      </c>
      <c r="P21" s="60">
        <f t="shared" ref="P21:Q21" si="4">P13+P17</f>
        <v>0</v>
      </c>
      <c r="Q21" s="105">
        <f t="shared" si="4"/>
        <v>0</v>
      </c>
      <c r="R21" s="17" t="b">
        <f t="shared" si="0"/>
        <v>1</v>
      </c>
      <c r="S21" s="36" t="b">
        <f>E21=SUM(F21:Q21)</f>
        <v>1</v>
      </c>
      <c r="T21" s="21"/>
      <c r="U21" s="21"/>
      <c r="V21" s="22"/>
      <c r="W21" s="22"/>
      <c r="X21" s="22"/>
      <c r="Y21" s="22"/>
      <c r="Z21" s="22"/>
    </row>
    <row r="22" spans="1:26" s="23" customFormat="1" ht="39.950000000000003" customHeight="1" x14ac:dyDescent="0.25">
      <c r="A22" s="106" t="s">
        <v>39</v>
      </c>
      <c r="B22" s="69">
        <f>B14+B18</f>
        <v>113</v>
      </c>
      <c r="C22" s="63">
        <f t="shared" si="2"/>
        <v>276064776.18999994</v>
      </c>
      <c r="D22" s="74">
        <f t="shared" si="2"/>
        <v>87599617.34799999</v>
      </c>
      <c r="E22" s="42">
        <f t="shared" si="2"/>
        <v>188465158.84199998</v>
      </c>
      <c r="F22" s="79">
        <f t="shared" si="2"/>
        <v>0</v>
      </c>
      <c r="G22" s="63">
        <f t="shared" si="2"/>
        <v>0</v>
      </c>
      <c r="H22" s="63">
        <f t="shared" si="2"/>
        <v>0</v>
      </c>
      <c r="I22" s="63">
        <f t="shared" si="2"/>
        <v>0</v>
      </c>
      <c r="J22" s="63">
        <f t="shared" si="2"/>
        <v>0</v>
      </c>
      <c r="K22" s="63">
        <f t="shared" si="2"/>
        <v>188465158.84199998</v>
      </c>
      <c r="L22" s="63">
        <f t="shared" si="2"/>
        <v>0</v>
      </c>
      <c r="M22" s="63">
        <f t="shared" si="2"/>
        <v>0</v>
      </c>
      <c r="N22" s="63">
        <f t="shared" si="2"/>
        <v>0</v>
      </c>
      <c r="O22" s="63">
        <f t="shared" si="2"/>
        <v>0</v>
      </c>
      <c r="P22" s="63">
        <f t="shared" ref="P22:Q22" si="5">P14+P18</f>
        <v>0</v>
      </c>
      <c r="Q22" s="107">
        <f t="shared" si="5"/>
        <v>0</v>
      </c>
      <c r="R22" s="17" t="b">
        <f t="shared" si="0"/>
        <v>1</v>
      </c>
      <c r="S22" s="36" t="b">
        <f t="shared" si="1"/>
        <v>1</v>
      </c>
      <c r="T22" s="21"/>
      <c r="U22" s="21"/>
      <c r="V22" s="22"/>
      <c r="W22" s="22"/>
      <c r="X22" s="22"/>
      <c r="Y22" s="22"/>
      <c r="Z22" s="22"/>
    </row>
    <row r="23" spans="1:26" s="23" customFormat="1" ht="39.950000000000003" customHeight="1" thickBot="1" x14ac:dyDescent="0.3">
      <c r="A23" s="108" t="s">
        <v>40</v>
      </c>
      <c r="B23" s="109">
        <f>B15+B19</f>
        <v>29</v>
      </c>
      <c r="C23" s="110">
        <f t="shared" ref="C23:O23" si="6">C15+C19</f>
        <v>195567544.69</v>
      </c>
      <c r="D23" s="111">
        <f t="shared" si="6"/>
        <v>76556718.819999993</v>
      </c>
      <c r="E23" s="96">
        <f t="shared" si="6"/>
        <v>119010825.87</v>
      </c>
      <c r="F23" s="112">
        <f t="shared" si="6"/>
        <v>0</v>
      </c>
      <c r="G23" s="110">
        <f t="shared" si="6"/>
        <v>0</v>
      </c>
      <c r="H23" s="110">
        <f t="shared" si="6"/>
        <v>0</v>
      </c>
      <c r="I23" s="110">
        <f t="shared" si="6"/>
        <v>0</v>
      </c>
      <c r="J23" s="110">
        <f t="shared" si="6"/>
        <v>0</v>
      </c>
      <c r="K23" s="110">
        <f t="shared" si="6"/>
        <v>35210197.75</v>
      </c>
      <c r="L23" s="110">
        <f t="shared" si="6"/>
        <v>49575042.149999999</v>
      </c>
      <c r="M23" s="110">
        <f t="shared" si="6"/>
        <v>16040560</v>
      </c>
      <c r="N23" s="110">
        <f t="shared" si="6"/>
        <v>7000000</v>
      </c>
      <c r="O23" s="110">
        <f t="shared" si="6"/>
        <v>7000000</v>
      </c>
      <c r="P23" s="110">
        <f t="shared" ref="P23:Q23" si="7">P15+P19</f>
        <v>4185025.97</v>
      </c>
      <c r="Q23" s="113">
        <f t="shared" si="7"/>
        <v>0</v>
      </c>
      <c r="R23" s="17" t="b">
        <f t="shared" si="0"/>
        <v>1</v>
      </c>
      <c r="S23" s="36" t="b">
        <f t="shared" si="1"/>
        <v>1</v>
      </c>
      <c r="T23" s="21"/>
      <c r="U23" s="21"/>
      <c r="V23" s="22"/>
      <c r="W23" s="22"/>
      <c r="X23" s="22"/>
      <c r="Y23" s="22"/>
      <c r="Z23" s="22"/>
    </row>
    <row r="24" spans="1:26" ht="39.950000000000003" customHeight="1" thickTop="1" x14ac:dyDescent="0.25">
      <c r="A24" s="86" t="s">
        <v>2</v>
      </c>
      <c r="B24" s="87">
        <f>COUNTA('pow rez'!K3:K6)</f>
        <v>0</v>
      </c>
      <c r="C24" s="88">
        <f>SUM('pow rez'!J3:J6)</f>
        <v>0</v>
      </c>
      <c r="D24" s="89">
        <f>SUM('pow rez'!L3:L6)</f>
        <v>0</v>
      </c>
      <c r="E24" s="90">
        <f>SUM('pow rez'!K3:K6)</f>
        <v>0</v>
      </c>
      <c r="F24" s="91">
        <f>SUM('pow rez'!N3:N6)</f>
        <v>0</v>
      </c>
      <c r="G24" s="88">
        <f>SUM('pow rez'!O3:O6)</f>
        <v>0</v>
      </c>
      <c r="H24" s="88">
        <f>SUM('pow rez'!P3:P6)</f>
        <v>0</v>
      </c>
      <c r="I24" s="88">
        <f>SUM('pow rez'!Q3:Q6)</f>
        <v>0</v>
      </c>
      <c r="J24" s="88">
        <f>SUM('pow rez'!R3:R6)</f>
        <v>0</v>
      </c>
      <c r="K24" s="88">
        <f>SUM('pow rez'!S3:S6)</f>
        <v>0</v>
      </c>
      <c r="L24" s="88">
        <f>SUM('pow rez'!T3:T6)</f>
        <v>0</v>
      </c>
      <c r="M24" s="88">
        <f>SUM('pow rez'!U3:U6)</f>
        <v>0</v>
      </c>
      <c r="N24" s="88">
        <f>SUM('pow rez'!V3:V6)</f>
        <v>0</v>
      </c>
      <c r="O24" s="88">
        <f>SUM('pow rez'!W3:W6)</f>
        <v>0</v>
      </c>
      <c r="P24" s="88">
        <f>SUM('pow rez'!X3:X6)</f>
        <v>0</v>
      </c>
      <c r="Q24" s="92">
        <f>SUM('pow rez'!Y3:Y6)</f>
        <v>0</v>
      </c>
      <c r="R24" s="17" t="b">
        <f t="shared" si="0"/>
        <v>1</v>
      </c>
      <c r="S24" s="36" t="b">
        <f t="shared" si="1"/>
        <v>1</v>
      </c>
      <c r="T24" s="18"/>
      <c r="U24" s="18"/>
      <c r="V24" s="19"/>
      <c r="W24" s="19"/>
      <c r="X24" s="19"/>
      <c r="Y24" s="19"/>
      <c r="Z24" s="19"/>
    </row>
    <row r="25" spans="1:26" ht="39.950000000000003" customHeight="1" x14ac:dyDescent="0.25">
      <c r="A25" s="94" t="s">
        <v>39</v>
      </c>
      <c r="B25" s="139">
        <f>COUNTIF('pow rez'!C3:C6,"N")</f>
        <v>0</v>
      </c>
      <c r="C25" s="140">
        <f>SUMIF('pow rez'!C3:C6,"N",'pow rez'!J3:J6)</f>
        <v>0</v>
      </c>
      <c r="D25" s="141">
        <f>SUMIF('pow rez'!C3:C6,"N",'pow rez'!L3:L6)</f>
        <v>0</v>
      </c>
      <c r="E25" s="42">
        <f>SUMIF('pow rez'!C3:C6,"N",'pow rez'!K3:K6)</f>
        <v>0</v>
      </c>
      <c r="F25" s="147">
        <f>SUMIF('pow rez'!C3:C6,"N",'pow rez'!N3:N6)</f>
        <v>0</v>
      </c>
      <c r="G25" s="140">
        <f>SUMIF('pow rez'!C3:C6,"N",'pow rez'!O3:O6)</f>
        <v>0</v>
      </c>
      <c r="H25" s="140">
        <f>SUMIF('pow rez'!C3:C6,"N",'pow rez'!P3:P6)</f>
        <v>0</v>
      </c>
      <c r="I25" s="140">
        <f>SUMIF('pow rez'!C3:C6,"N",'pow rez'!Q3:Q6)</f>
        <v>0</v>
      </c>
      <c r="J25" s="140">
        <f>SUMIF('pow rez'!C3:C6,"N",'pow rez'!R3:R6)</f>
        <v>0</v>
      </c>
      <c r="K25" s="140">
        <f>SUMIF('pow rez'!C3:C6,"N",'pow rez'!S3:S6)</f>
        <v>0</v>
      </c>
      <c r="L25" s="140">
        <f>SUMIF('pow rez'!C3:C6,"N",'pow rez'!T3:T6)</f>
        <v>0</v>
      </c>
      <c r="M25" s="140">
        <f>SUMIF('pow rez'!C3:C6,"N",'pow rez'!U3:U6)</f>
        <v>0</v>
      </c>
      <c r="N25" s="140">
        <f>SUMIF('pow rez'!C3:C6,"N",'pow rez'!V3:V6)</f>
        <v>0</v>
      </c>
      <c r="O25" s="140">
        <f>SUMIF('pow rez'!C3:C6,"N",'pow rez'!W3:W6)</f>
        <v>0</v>
      </c>
      <c r="P25" s="140">
        <f>SUMIF('pow rez'!D3:D6,"N",'pow rez'!X3:X6)</f>
        <v>0</v>
      </c>
      <c r="Q25" s="148">
        <f>SUMIF('pow rez'!E3:E6,"N",'pow rez'!Y3:Y6)</f>
        <v>0</v>
      </c>
      <c r="R25" s="17" t="b">
        <f t="shared" si="0"/>
        <v>1</v>
      </c>
      <c r="S25" s="36" t="b">
        <f t="shared" si="1"/>
        <v>1</v>
      </c>
      <c r="T25" s="18"/>
      <c r="U25" s="18"/>
      <c r="V25" s="19"/>
      <c r="W25" s="19"/>
      <c r="X25" s="19"/>
      <c r="Y25" s="19"/>
      <c r="Z25" s="19"/>
    </row>
    <row r="26" spans="1:26" ht="39.950000000000003" customHeight="1" thickBot="1" x14ac:dyDescent="0.3">
      <c r="A26" s="95" t="s">
        <v>40</v>
      </c>
      <c r="B26" s="142">
        <f>COUNTIF('pow rez'!C3:C6,"W")</f>
        <v>0</v>
      </c>
      <c r="C26" s="143">
        <f>SUMIF('pow rez'!C3:C6,"W",'pow rez'!J3:J6)</f>
        <v>0</v>
      </c>
      <c r="D26" s="144">
        <f>SUMIF('pow rez'!C3:C6,"W",'pow rez'!L3:L6)</f>
        <v>0</v>
      </c>
      <c r="E26" s="96">
        <f>SUMIF('pow rez'!C3:C6,"W",'pow rez'!K3:K6)</f>
        <v>0</v>
      </c>
      <c r="F26" s="149">
        <f>SUMIF('pow rez'!C3:C6,"W",'pow rez'!N3:N6)</f>
        <v>0</v>
      </c>
      <c r="G26" s="143">
        <f>SUMIF('pow rez'!C3:C6,"W",'pow rez'!O3:O6)</f>
        <v>0</v>
      </c>
      <c r="H26" s="143">
        <f>SUMIF('pow rez'!C3:C6,"W",'pow rez'!P3:P6)</f>
        <v>0</v>
      </c>
      <c r="I26" s="143">
        <f>SUMIF('pow rez'!C3:C6,"W",'pow rez'!Q3:Q6)</f>
        <v>0</v>
      </c>
      <c r="J26" s="143">
        <f>SUMIF('pow rez'!C3:C6,"W",'pow rez'!R3:R6)</f>
        <v>0</v>
      </c>
      <c r="K26" s="143">
        <f>SUMIF('pow rez'!C3:C6,"W",'pow rez'!S3:S6)</f>
        <v>0</v>
      </c>
      <c r="L26" s="143">
        <f>SUMIF('pow rez'!C3:C6,"W",'pow rez'!T3:T6)</f>
        <v>0</v>
      </c>
      <c r="M26" s="143">
        <f>SUMIF('pow rez'!C3:C6,"W",'pow rez'!U3:U6)</f>
        <v>0</v>
      </c>
      <c r="N26" s="143">
        <f>SUMIF('pow rez'!C3:C6,"W",'pow rez'!V3:V6)</f>
        <v>0</v>
      </c>
      <c r="O26" s="143">
        <f>SUMIF('pow rez'!C3:C6,"W",'pow rez'!W3:W6)</f>
        <v>0</v>
      </c>
      <c r="P26" s="143">
        <f>SUMIF('pow rez'!D3:D6,"W",'pow rez'!X3:X6)</f>
        <v>0</v>
      </c>
      <c r="Q26" s="150">
        <f>SUMIF('pow rez'!E3:E6,"W",'pow rez'!Y3:Y6)</f>
        <v>0</v>
      </c>
      <c r="R26" s="17" t="b">
        <f t="shared" si="0"/>
        <v>1</v>
      </c>
      <c r="S26" s="36" t="b">
        <f t="shared" si="1"/>
        <v>1</v>
      </c>
      <c r="T26" s="18"/>
      <c r="U26" s="18"/>
      <c r="V26" s="19"/>
      <c r="W26" s="19"/>
      <c r="X26" s="19"/>
      <c r="Y26" s="19"/>
      <c r="Z26" s="19"/>
    </row>
    <row r="27" spans="1:26" ht="39.950000000000003" customHeight="1" thickTop="1" x14ac:dyDescent="0.25">
      <c r="A27" s="86" t="s">
        <v>3</v>
      </c>
      <c r="B27" s="87">
        <f>COUNTA('gm rez'!L3:L42)</f>
        <v>40</v>
      </c>
      <c r="C27" s="88">
        <f>SUM('gm rez'!K3:K42)</f>
        <v>124433799.44</v>
      </c>
      <c r="D27" s="89">
        <f>SUM('gm rez'!M3:M42)</f>
        <v>42754791.579999998</v>
      </c>
      <c r="E27" s="90">
        <f>SUM('gm rez'!L3:L42)</f>
        <v>81679007.859999999</v>
      </c>
      <c r="F27" s="91">
        <f>SUM('gm rez'!O3:O42)</f>
        <v>0</v>
      </c>
      <c r="G27" s="88">
        <f>SUM('gm rez'!P3:P42)</f>
        <v>0</v>
      </c>
      <c r="H27" s="88">
        <f>SUM('gm rez'!Q3:Q42)</f>
        <v>0</v>
      </c>
      <c r="I27" s="88">
        <f>SUM('gm rez'!R3:R42)</f>
        <v>0</v>
      </c>
      <c r="J27" s="88">
        <f>SUM('gm rez'!S3:S42)</f>
        <v>0</v>
      </c>
      <c r="K27" s="88">
        <f>SUM('gm rez'!T3:T42)</f>
        <v>53537918.020000003</v>
      </c>
      <c r="L27" s="88">
        <f>SUM('gm rez'!U3:U42)</f>
        <v>23487050.039999999</v>
      </c>
      <c r="M27" s="88">
        <f>SUM('gm rez'!V3:V42)</f>
        <v>4654039.8</v>
      </c>
      <c r="N27" s="88">
        <f>SUM('gm rez'!W3:W42)</f>
        <v>0</v>
      </c>
      <c r="O27" s="88">
        <f>SUM('gm rez'!X3:X42)</f>
        <v>0</v>
      </c>
      <c r="P27" s="88">
        <f>SUM('gm rez'!Y3:Y42)</f>
        <v>0</v>
      </c>
      <c r="Q27" s="92">
        <f>SUM('gm rez'!Z3:Z42)</f>
        <v>0</v>
      </c>
      <c r="R27" s="17" t="b">
        <f t="shared" si="0"/>
        <v>1</v>
      </c>
      <c r="S27" s="36" t="b">
        <f t="shared" si="1"/>
        <v>1</v>
      </c>
      <c r="T27" s="24"/>
      <c r="U27" s="24"/>
      <c r="V27" s="25"/>
      <c r="W27" s="25"/>
      <c r="X27" s="20"/>
      <c r="Y27" s="9"/>
      <c r="Z27" s="9"/>
    </row>
    <row r="28" spans="1:26" ht="39.950000000000003" customHeight="1" x14ac:dyDescent="0.25">
      <c r="A28" s="94" t="s">
        <v>39</v>
      </c>
      <c r="B28" s="139">
        <f>COUNTIF('gm rez'!C3:C42,"N")</f>
        <v>33</v>
      </c>
      <c r="C28" s="140">
        <f>SUMIF('gm rez'!C3:C42,"N",'gm rez'!K3:K42)</f>
        <v>69425557.909999996</v>
      </c>
      <c r="D28" s="141">
        <f>SUMIF('gm rez'!C3:C42,"N",'gm rez'!M3:M42)</f>
        <v>26398910.369999997</v>
      </c>
      <c r="E28" s="42">
        <f>SUMIF('gm rez'!C3:C42,"N",'gm rez'!L3:L42)</f>
        <v>43026647.539999999</v>
      </c>
      <c r="F28" s="147">
        <f>SUMIF('gm rez'!C3:C42,"N",'gm rez'!O3:O42)</f>
        <v>0</v>
      </c>
      <c r="G28" s="140">
        <f>SUMIF('gm rez'!C3:C42,"N",'gm rez'!P3:P42)</f>
        <v>0</v>
      </c>
      <c r="H28" s="140">
        <f>SUMIF('gm rez'!C3:C42,"N",'gm rez'!Q3:Q42)</f>
        <v>0</v>
      </c>
      <c r="I28" s="140">
        <f>SUMIF('gm rez'!C3:C42,"N",'gm rez'!R3:R42)</f>
        <v>0</v>
      </c>
      <c r="J28" s="140">
        <f>SUMIF('gm rez'!C3:C42,"N",'gm rez'!S3:S42)</f>
        <v>0</v>
      </c>
      <c r="K28" s="140">
        <f>SUMIF('gm rez'!C3:C42,"N",'gm rez'!T3:T42)</f>
        <v>43026647.539999999</v>
      </c>
      <c r="L28" s="140">
        <f>SUMIF('gm rez'!C3:C42,"N",'gm rez'!U3:U42)</f>
        <v>0</v>
      </c>
      <c r="M28" s="140">
        <f>SUMIF('gm rez'!C3:C42,"N",'gm rez'!V3:V42)</f>
        <v>0</v>
      </c>
      <c r="N28" s="140">
        <f>SUMIF('gm rez'!C3:C42,"N",'gm rez'!W3:W42)</f>
        <v>0</v>
      </c>
      <c r="O28" s="140">
        <f>SUMIF('gm rez'!C3:C42,"N",'gm rez'!X3:X42)</f>
        <v>0</v>
      </c>
      <c r="P28" s="140">
        <f>SUMIF('gm rez'!D3:D42,"N",'gm rez'!Y3:Y42)</f>
        <v>0</v>
      </c>
      <c r="Q28" s="148">
        <f>SUMIF('gm rez'!E3:E42,"N",'gm rez'!Z3:Z42)</f>
        <v>0</v>
      </c>
      <c r="R28" s="17" t="b">
        <f t="shared" si="0"/>
        <v>1</v>
      </c>
      <c r="S28" s="36" t="b">
        <f t="shared" si="1"/>
        <v>1</v>
      </c>
      <c r="T28" s="24"/>
      <c r="U28" s="24"/>
      <c r="V28" s="25"/>
      <c r="W28" s="25"/>
      <c r="X28" s="20"/>
      <c r="Y28" s="9"/>
      <c r="Z28" s="9"/>
    </row>
    <row r="29" spans="1:26" ht="39.950000000000003" customHeight="1" thickBot="1" x14ac:dyDescent="0.3">
      <c r="A29" s="95" t="s">
        <v>40</v>
      </c>
      <c r="B29" s="142">
        <f>COUNTIF('gm rez'!C3:C42,"W")</f>
        <v>7</v>
      </c>
      <c r="C29" s="143">
        <f>SUMIF('gm rez'!C3:C42,"W",'gm rez'!K3:K42)</f>
        <v>55008241.530000001</v>
      </c>
      <c r="D29" s="144">
        <f>SUMIF('gm rez'!C3:C42,"W",'gm rez'!M3:M42)</f>
        <v>16355881.210000001</v>
      </c>
      <c r="E29" s="96">
        <f>SUMIF('gm rez'!C3:C42,"W",'gm rez'!L3:L42)</f>
        <v>38652360.32</v>
      </c>
      <c r="F29" s="149">
        <f>SUMIF('gm rez'!C3:C42,"W",'gm rez'!O3:O42)</f>
        <v>0</v>
      </c>
      <c r="G29" s="143">
        <f>SUMIF('gm rez'!C3:C42,"W",'gm rez'!P3:P42)</f>
        <v>0</v>
      </c>
      <c r="H29" s="143">
        <f>SUMIF('gm rez'!C3:C42,"W",'gm rez'!Q3:Q42)</f>
        <v>0</v>
      </c>
      <c r="I29" s="143">
        <f>SUMIF('gm rez'!C3:C42,"W",'gm rez'!R3:R42)</f>
        <v>0</v>
      </c>
      <c r="J29" s="143">
        <f>SUMIF('gm rez'!C3:C42,"W",'gm rez'!S3:S42)</f>
        <v>0</v>
      </c>
      <c r="K29" s="143">
        <f>SUMIF('gm rez'!C3:C42,"W",'gm rez'!T3:T42)</f>
        <v>10511270.48</v>
      </c>
      <c r="L29" s="143">
        <f>SUMIF('gm rez'!C3:C42,"W",'gm rez'!U3:U42)</f>
        <v>23487050.039999999</v>
      </c>
      <c r="M29" s="143">
        <f>SUMIF('gm rez'!C3:C42,"W",'gm rez'!V3:V42)</f>
        <v>4654039.8</v>
      </c>
      <c r="N29" s="143">
        <f>SUMIF('gm rez'!C3:C42,"W",'gm rez'!W3:W42)</f>
        <v>0</v>
      </c>
      <c r="O29" s="143">
        <f>SUMIF('gm rez'!C3:C42,"W",'gm rez'!X3:X42)</f>
        <v>0</v>
      </c>
      <c r="P29" s="143">
        <f>SUMIF('gm rez'!D3:D42,"W",'gm rez'!Y3:Y42)</f>
        <v>0</v>
      </c>
      <c r="Q29" s="150">
        <f>SUMIF('gm rez'!E3:E42,"W",'gm rez'!Z3:Z42)</f>
        <v>0</v>
      </c>
      <c r="R29" s="17" t="b">
        <f t="shared" si="0"/>
        <v>1</v>
      </c>
      <c r="S29" s="36" t="b">
        <f t="shared" si="1"/>
        <v>1</v>
      </c>
      <c r="T29" s="24"/>
      <c r="U29" s="24"/>
      <c r="V29" s="25"/>
      <c r="W29" s="25"/>
      <c r="X29" s="20"/>
      <c r="Y29" s="9"/>
      <c r="Z29" s="9"/>
    </row>
    <row r="30" spans="1:26" ht="39.950000000000003" customHeight="1" thickTop="1" x14ac:dyDescent="0.25">
      <c r="A30" s="161" t="s">
        <v>23</v>
      </c>
      <c r="B30" s="162">
        <f>B24+B27</f>
        <v>40</v>
      </c>
      <c r="C30" s="163">
        <f t="shared" ref="C30:O30" si="8">C24+C27</f>
        <v>124433799.44</v>
      </c>
      <c r="D30" s="164">
        <f t="shared" si="8"/>
        <v>42754791.579999998</v>
      </c>
      <c r="E30" s="165">
        <f t="shared" si="8"/>
        <v>81679007.859999999</v>
      </c>
      <c r="F30" s="166">
        <f t="shared" si="8"/>
        <v>0</v>
      </c>
      <c r="G30" s="163">
        <f t="shared" si="8"/>
        <v>0</v>
      </c>
      <c r="H30" s="163">
        <f t="shared" si="8"/>
        <v>0</v>
      </c>
      <c r="I30" s="163">
        <f t="shared" si="8"/>
        <v>0</v>
      </c>
      <c r="J30" s="163">
        <f t="shared" si="8"/>
        <v>0</v>
      </c>
      <c r="K30" s="163">
        <f t="shared" si="8"/>
        <v>53537918.020000003</v>
      </c>
      <c r="L30" s="163">
        <f t="shared" si="8"/>
        <v>23487050.039999999</v>
      </c>
      <c r="M30" s="163">
        <f t="shared" si="8"/>
        <v>4654039.8</v>
      </c>
      <c r="N30" s="163">
        <f t="shared" si="8"/>
        <v>0</v>
      </c>
      <c r="O30" s="163">
        <f t="shared" si="8"/>
        <v>0</v>
      </c>
      <c r="P30" s="163">
        <f t="shared" ref="P30:Q30" si="9">P24+P27</f>
        <v>0</v>
      </c>
      <c r="Q30" s="167">
        <f t="shared" si="9"/>
        <v>0</v>
      </c>
      <c r="R30" s="17" t="b">
        <f t="shared" si="0"/>
        <v>1</v>
      </c>
      <c r="S30" s="36" t="b">
        <f t="shared" si="1"/>
        <v>1</v>
      </c>
      <c r="T30" s="26"/>
      <c r="U30" s="26"/>
      <c r="V30" s="2"/>
      <c r="W30" s="2"/>
    </row>
    <row r="31" spans="1:26" ht="39.950000000000003" customHeight="1" x14ac:dyDescent="0.25">
      <c r="A31" s="72" t="s">
        <v>39</v>
      </c>
      <c r="B31" s="70">
        <f t="shared" ref="B31:O31" si="10">B25+B28</f>
        <v>33</v>
      </c>
      <c r="C31" s="61">
        <f t="shared" si="10"/>
        <v>69425557.909999996</v>
      </c>
      <c r="D31" s="75">
        <f t="shared" si="10"/>
        <v>26398910.369999997</v>
      </c>
      <c r="E31" s="42">
        <f t="shared" si="10"/>
        <v>43026647.539999999</v>
      </c>
      <c r="F31" s="80">
        <f t="shared" si="10"/>
        <v>0</v>
      </c>
      <c r="G31" s="61">
        <f t="shared" si="10"/>
        <v>0</v>
      </c>
      <c r="H31" s="61">
        <f t="shared" si="10"/>
        <v>0</v>
      </c>
      <c r="I31" s="61">
        <f t="shared" si="10"/>
        <v>0</v>
      </c>
      <c r="J31" s="61">
        <f t="shared" si="10"/>
        <v>0</v>
      </c>
      <c r="K31" s="61">
        <f t="shared" si="10"/>
        <v>43026647.539999999</v>
      </c>
      <c r="L31" s="61">
        <f t="shared" si="10"/>
        <v>0</v>
      </c>
      <c r="M31" s="61">
        <f t="shared" si="10"/>
        <v>0</v>
      </c>
      <c r="N31" s="61">
        <f t="shared" si="10"/>
        <v>0</v>
      </c>
      <c r="O31" s="61">
        <f t="shared" si="10"/>
        <v>0</v>
      </c>
      <c r="P31" s="61">
        <f t="shared" ref="P31:Q31" si="11">P25+P28</f>
        <v>0</v>
      </c>
      <c r="Q31" s="67">
        <f t="shared" si="11"/>
        <v>0</v>
      </c>
      <c r="R31" s="17" t="b">
        <f t="shared" si="0"/>
        <v>1</v>
      </c>
      <c r="S31" s="36" t="b">
        <f t="shared" si="1"/>
        <v>1</v>
      </c>
      <c r="T31" s="26"/>
      <c r="U31" s="26"/>
      <c r="V31" s="2"/>
      <c r="W31" s="2"/>
    </row>
    <row r="32" spans="1:26" ht="39.950000000000003" customHeight="1" thickBot="1" x14ac:dyDescent="0.3">
      <c r="A32" s="114" t="s">
        <v>40</v>
      </c>
      <c r="B32" s="115">
        <f t="shared" ref="B32:O32" si="12">B26+B29</f>
        <v>7</v>
      </c>
      <c r="C32" s="116">
        <f t="shared" si="12"/>
        <v>55008241.530000001</v>
      </c>
      <c r="D32" s="117">
        <f t="shared" si="12"/>
        <v>16355881.210000001</v>
      </c>
      <c r="E32" s="118">
        <f t="shared" si="12"/>
        <v>38652360.32</v>
      </c>
      <c r="F32" s="119">
        <f t="shared" si="12"/>
        <v>0</v>
      </c>
      <c r="G32" s="116">
        <f t="shared" si="12"/>
        <v>0</v>
      </c>
      <c r="H32" s="116">
        <f t="shared" si="12"/>
        <v>0</v>
      </c>
      <c r="I32" s="116">
        <f t="shared" si="12"/>
        <v>0</v>
      </c>
      <c r="J32" s="116">
        <f t="shared" si="12"/>
        <v>0</v>
      </c>
      <c r="K32" s="116">
        <f t="shared" si="12"/>
        <v>10511270.48</v>
      </c>
      <c r="L32" s="116">
        <f t="shared" si="12"/>
        <v>23487050.039999999</v>
      </c>
      <c r="M32" s="116">
        <f t="shared" si="12"/>
        <v>4654039.8</v>
      </c>
      <c r="N32" s="116">
        <f t="shared" si="12"/>
        <v>0</v>
      </c>
      <c r="O32" s="116">
        <f t="shared" si="12"/>
        <v>0</v>
      </c>
      <c r="P32" s="116">
        <f t="shared" ref="P32:Q32" si="13">P26+P29</f>
        <v>0</v>
      </c>
      <c r="Q32" s="120">
        <f t="shared" si="13"/>
        <v>0</v>
      </c>
      <c r="R32" s="17" t="b">
        <f t="shared" si="0"/>
        <v>1</v>
      </c>
      <c r="S32" s="36" t="b">
        <f t="shared" si="1"/>
        <v>1</v>
      </c>
      <c r="T32" s="26"/>
      <c r="U32" s="26"/>
      <c r="V32" s="2"/>
      <c r="W32" s="2"/>
    </row>
    <row r="33" spans="1:23" ht="39.950000000000003" customHeight="1" thickTop="1" x14ac:dyDescent="0.25">
      <c r="A33" s="121" t="s">
        <v>34</v>
      </c>
      <c r="B33" s="122">
        <f>B20+B30</f>
        <v>201</v>
      </c>
      <c r="C33" s="123">
        <f t="shared" ref="C33:O33" si="14">C20+C30</f>
        <v>721004235.35000014</v>
      </c>
      <c r="D33" s="124">
        <f t="shared" si="14"/>
        <v>266403489.73799992</v>
      </c>
      <c r="E33" s="125">
        <f t="shared" si="14"/>
        <v>454600745.61199999</v>
      </c>
      <c r="F33" s="126">
        <f t="shared" si="14"/>
        <v>0</v>
      </c>
      <c r="G33" s="123">
        <f t="shared" si="14"/>
        <v>0</v>
      </c>
      <c r="H33" s="123">
        <f t="shared" si="14"/>
        <v>0</v>
      </c>
      <c r="I33" s="123">
        <f t="shared" si="14"/>
        <v>650000</v>
      </c>
      <c r="J33" s="123">
        <f t="shared" si="14"/>
        <v>28778359.740000002</v>
      </c>
      <c r="K33" s="123">
        <f t="shared" si="14"/>
        <v>310232224.24199998</v>
      </c>
      <c r="L33" s="123">
        <f t="shared" si="14"/>
        <v>76060535.859999999</v>
      </c>
      <c r="M33" s="123">
        <f t="shared" si="14"/>
        <v>20694599.800000001</v>
      </c>
      <c r="N33" s="123">
        <f t="shared" si="14"/>
        <v>7000000</v>
      </c>
      <c r="O33" s="123">
        <f t="shared" si="14"/>
        <v>7000000</v>
      </c>
      <c r="P33" s="123">
        <f t="shared" ref="P33:Q33" si="15">P20+P30</f>
        <v>4185025.97</v>
      </c>
      <c r="Q33" s="127">
        <f t="shared" si="15"/>
        <v>0</v>
      </c>
      <c r="R33" s="17" t="b">
        <f t="shared" si="0"/>
        <v>1</v>
      </c>
      <c r="S33" s="36" t="b">
        <f t="shared" si="1"/>
        <v>1</v>
      </c>
      <c r="T33" s="26"/>
      <c r="U33" s="26"/>
      <c r="V33" s="2"/>
      <c r="W33" s="2"/>
    </row>
    <row r="34" spans="1:23" ht="39.950000000000003" customHeight="1" x14ac:dyDescent="0.25">
      <c r="A34" s="154" t="s">
        <v>38</v>
      </c>
      <c r="B34" s="155">
        <f>B21</f>
        <v>23</v>
      </c>
      <c r="C34" s="156">
        <f t="shared" ref="C34:O34" si="16">C21</f>
        <v>124938115.02999999</v>
      </c>
      <c r="D34" s="157">
        <f t="shared" si="16"/>
        <v>59492361.990000002</v>
      </c>
      <c r="E34" s="43">
        <f t="shared" si="16"/>
        <v>65445753.040000007</v>
      </c>
      <c r="F34" s="158">
        <f t="shared" si="16"/>
        <v>0</v>
      </c>
      <c r="G34" s="156">
        <f t="shared" si="16"/>
        <v>0</v>
      </c>
      <c r="H34" s="156">
        <f t="shared" si="16"/>
        <v>0</v>
      </c>
      <c r="I34" s="156">
        <f t="shared" si="16"/>
        <v>650000</v>
      </c>
      <c r="J34" s="156">
        <f t="shared" si="16"/>
        <v>28778359.740000002</v>
      </c>
      <c r="K34" s="156">
        <f t="shared" si="16"/>
        <v>33018949.629999999</v>
      </c>
      <c r="L34" s="156">
        <f t="shared" si="16"/>
        <v>2998443.67</v>
      </c>
      <c r="M34" s="156">
        <f t="shared" si="16"/>
        <v>0</v>
      </c>
      <c r="N34" s="156">
        <f t="shared" si="16"/>
        <v>0</v>
      </c>
      <c r="O34" s="156">
        <f t="shared" si="16"/>
        <v>0</v>
      </c>
      <c r="P34" s="156">
        <f t="shared" ref="P34:Q34" si="17">P21</f>
        <v>0</v>
      </c>
      <c r="Q34" s="159">
        <f t="shared" si="17"/>
        <v>0</v>
      </c>
      <c r="R34" s="17" t="b">
        <f t="shared" si="0"/>
        <v>1</v>
      </c>
      <c r="S34" s="36" t="b">
        <f t="shared" si="1"/>
        <v>1</v>
      </c>
      <c r="T34" s="26"/>
      <c r="U34" s="26"/>
      <c r="V34" s="2"/>
      <c r="W34" s="2"/>
    </row>
    <row r="35" spans="1:23" ht="39.950000000000003" customHeight="1" x14ac:dyDescent="0.25">
      <c r="A35" s="128" t="s">
        <v>39</v>
      </c>
      <c r="B35" s="71">
        <f>B22+B31</f>
        <v>146</v>
      </c>
      <c r="C35" s="62">
        <f t="shared" ref="C35:O35" si="18">C22+C31</f>
        <v>345490334.0999999</v>
      </c>
      <c r="D35" s="76">
        <f t="shared" si="18"/>
        <v>113998527.71799999</v>
      </c>
      <c r="E35" s="82">
        <f t="shared" si="18"/>
        <v>231491806.38199997</v>
      </c>
      <c r="F35" s="81">
        <f t="shared" si="18"/>
        <v>0</v>
      </c>
      <c r="G35" s="62">
        <f t="shared" si="18"/>
        <v>0</v>
      </c>
      <c r="H35" s="62">
        <f t="shared" si="18"/>
        <v>0</v>
      </c>
      <c r="I35" s="62">
        <f t="shared" si="18"/>
        <v>0</v>
      </c>
      <c r="J35" s="62">
        <f t="shared" si="18"/>
        <v>0</v>
      </c>
      <c r="K35" s="62">
        <f t="shared" si="18"/>
        <v>231491806.38199997</v>
      </c>
      <c r="L35" s="62">
        <f t="shared" si="18"/>
        <v>0</v>
      </c>
      <c r="M35" s="62">
        <f t="shared" si="18"/>
        <v>0</v>
      </c>
      <c r="N35" s="62">
        <f t="shared" si="18"/>
        <v>0</v>
      </c>
      <c r="O35" s="62">
        <f t="shared" si="18"/>
        <v>0</v>
      </c>
      <c r="P35" s="62">
        <f t="shared" ref="P35:Q35" si="19">P22+P31</f>
        <v>0</v>
      </c>
      <c r="Q35" s="129">
        <f t="shared" si="19"/>
        <v>0</v>
      </c>
      <c r="R35" s="17" t="b">
        <f t="shared" si="0"/>
        <v>1</v>
      </c>
      <c r="S35" s="36" t="b">
        <f t="shared" si="1"/>
        <v>1</v>
      </c>
      <c r="T35" s="26"/>
      <c r="U35" s="26"/>
      <c r="V35" s="2"/>
      <c r="W35" s="2"/>
    </row>
    <row r="36" spans="1:23" ht="39.950000000000003" customHeight="1" thickBot="1" x14ac:dyDescent="0.3">
      <c r="A36" s="130" t="s">
        <v>40</v>
      </c>
      <c r="B36" s="131">
        <f>B23+B32</f>
        <v>36</v>
      </c>
      <c r="C36" s="132">
        <f t="shared" ref="C36:O36" si="20">C23+C32</f>
        <v>250575786.22</v>
      </c>
      <c r="D36" s="133">
        <f t="shared" si="20"/>
        <v>92912600.030000001</v>
      </c>
      <c r="E36" s="96">
        <f t="shared" si="20"/>
        <v>157663186.19</v>
      </c>
      <c r="F36" s="134">
        <f t="shared" si="20"/>
        <v>0</v>
      </c>
      <c r="G36" s="132">
        <f t="shared" si="20"/>
        <v>0</v>
      </c>
      <c r="H36" s="132">
        <f t="shared" si="20"/>
        <v>0</v>
      </c>
      <c r="I36" s="132">
        <f t="shared" si="20"/>
        <v>0</v>
      </c>
      <c r="J36" s="132">
        <f t="shared" si="20"/>
        <v>0</v>
      </c>
      <c r="K36" s="132">
        <f t="shared" si="20"/>
        <v>45721468.230000004</v>
      </c>
      <c r="L36" s="132">
        <f t="shared" si="20"/>
        <v>73062092.189999998</v>
      </c>
      <c r="M36" s="132">
        <f t="shared" si="20"/>
        <v>20694599.800000001</v>
      </c>
      <c r="N36" s="132">
        <f t="shared" si="20"/>
        <v>7000000</v>
      </c>
      <c r="O36" s="132">
        <f t="shared" si="20"/>
        <v>7000000</v>
      </c>
      <c r="P36" s="132">
        <f t="shared" ref="P36:Q36" si="21">P23+P32</f>
        <v>4185025.97</v>
      </c>
      <c r="Q36" s="135">
        <f t="shared" si="21"/>
        <v>0</v>
      </c>
      <c r="R36" s="17" t="b">
        <f t="shared" si="0"/>
        <v>1</v>
      </c>
      <c r="S36" s="36" t="b">
        <f t="shared" si="1"/>
        <v>1</v>
      </c>
      <c r="T36" s="26"/>
      <c r="U36" s="26"/>
      <c r="V36" s="2"/>
      <c r="W36" s="2"/>
    </row>
    <row r="37" spans="1:23" ht="15.75" thickTop="1" x14ac:dyDescent="0.25">
      <c r="A37" s="27"/>
      <c r="B37" s="27" t="b">
        <f>B12+B16=B20</f>
        <v>1</v>
      </c>
      <c r="C37" s="27" t="b">
        <f t="shared" ref="C37:Q37" si="22">C12+C16=C20</f>
        <v>1</v>
      </c>
      <c r="D37" s="27" t="b">
        <f t="shared" si="22"/>
        <v>1</v>
      </c>
      <c r="E37" s="27" t="b">
        <f t="shared" si="22"/>
        <v>1</v>
      </c>
      <c r="F37" s="27" t="b">
        <f t="shared" si="22"/>
        <v>1</v>
      </c>
      <c r="G37" s="27" t="b">
        <f t="shared" si="22"/>
        <v>1</v>
      </c>
      <c r="H37" s="27" t="b">
        <f t="shared" si="22"/>
        <v>1</v>
      </c>
      <c r="I37" s="27" t="b">
        <f t="shared" si="22"/>
        <v>1</v>
      </c>
      <c r="J37" s="27" t="b">
        <f t="shared" si="22"/>
        <v>1</v>
      </c>
      <c r="K37" s="27" t="b">
        <f t="shared" si="22"/>
        <v>1</v>
      </c>
      <c r="L37" s="27" t="b">
        <f t="shared" si="22"/>
        <v>1</v>
      </c>
      <c r="M37" s="27" t="b">
        <f t="shared" si="22"/>
        <v>1</v>
      </c>
      <c r="N37" s="27" t="b">
        <f t="shared" si="22"/>
        <v>1</v>
      </c>
      <c r="O37" s="27" t="b">
        <f t="shared" si="22"/>
        <v>1</v>
      </c>
      <c r="P37" s="27" t="b">
        <f t="shared" si="22"/>
        <v>1</v>
      </c>
      <c r="Q37" s="27" t="b">
        <f t="shared" si="22"/>
        <v>1</v>
      </c>
      <c r="R37" s="27"/>
      <c r="S37" s="27"/>
      <c r="T37" s="26"/>
      <c r="U37" s="26"/>
      <c r="V37" s="2"/>
      <c r="W37" s="2"/>
    </row>
    <row r="38" spans="1:23" x14ac:dyDescent="0.25">
      <c r="A38" s="27"/>
      <c r="B38" s="27" t="b">
        <f>B13+B17=B21</f>
        <v>1</v>
      </c>
      <c r="C38" s="27" t="b">
        <f t="shared" ref="C38:Q38" si="23">C13+C17=C21</f>
        <v>1</v>
      </c>
      <c r="D38" s="27" t="b">
        <f t="shared" si="23"/>
        <v>1</v>
      </c>
      <c r="E38" s="27" t="b">
        <f t="shared" si="23"/>
        <v>1</v>
      </c>
      <c r="F38" s="27" t="b">
        <f t="shared" si="23"/>
        <v>1</v>
      </c>
      <c r="G38" s="27" t="b">
        <f t="shared" si="23"/>
        <v>1</v>
      </c>
      <c r="H38" s="27" t="b">
        <f t="shared" si="23"/>
        <v>1</v>
      </c>
      <c r="I38" s="27" t="b">
        <f t="shared" si="23"/>
        <v>1</v>
      </c>
      <c r="J38" s="27" t="b">
        <f t="shared" si="23"/>
        <v>1</v>
      </c>
      <c r="K38" s="27" t="b">
        <f t="shared" si="23"/>
        <v>1</v>
      </c>
      <c r="L38" s="27" t="b">
        <f t="shared" si="23"/>
        <v>1</v>
      </c>
      <c r="M38" s="27" t="b">
        <f t="shared" si="23"/>
        <v>1</v>
      </c>
      <c r="N38" s="27" t="b">
        <f t="shared" si="23"/>
        <v>1</v>
      </c>
      <c r="O38" s="27" t="b">
        <f t="shared" si="23"/>
        <v>1</v>
      </c>
      <c r="P38" s="27" t="b">
        <f t="shared" si="23"/>
        <v>1</v>
      </c>
      <c r="Q38" s="27" t="b">
        <f t="shared" si="23"/>
        <v>1</v>
      </c>
      <c r="R38" s="27"/>
      <c r="S38" s="27"/>
      <c r="T38" s="26"/>
      <c r="U38" s="26"/>
      <c r="V38" s="2"/>
      <c r="W38" s="2"/>
    </row>
    <row r="39" spans="1:23" x14ac:dyDescent="0.25">
      <c r="A39" s="27"/>
      <c r="B39" s="27" t="b">
        <f>B14+B18=B22</f>
        <v>1</v>
      </c>
      <c r="C39" s="27" t="b">
        <f t="shared" ref="C39:Q39" si="24">C14+C18=C22</f>
        <v>1</v>
      </c>
      <c r="D39" s="27" t="b">
        <f t="shared" si="24"/>
        <v>1</v>
      </c>
      <c r="E39" s="27" t="b">
        <f t="shared" si="24"/>
        <v>1</v>
      </c>
      <c r="F39" s="27" t="b">
        <f t="shared" si="24"/>
        <v>1</v>
      </c>
      <c r="G39" s="27" t="b">
        <f t="shared" si="24"/>
        <v>1</v>
      </c>
      <c r="H39" s="27" t="b">
        <f t="shared" si="24"/>
        <v>1</v>
      </c>
      <c r="I39" s="27" t="b">
        <f t="shared" si="24"/>
        <v>1</v>
      </c>
      <c r="J39" s="27" t="b">
        <f t="shared" si="24"/>
        <v>1</v>
      </c>
      <c r="K39" s="27" t="b">
        <f t="shared" si="24"/>
        <v>1</v>
      </c>
      <c r="L39" s="27" t="b">
        <f t="shared" si="24"/>
        <v>1</v>
      </c>
      <c r="M39" s="27" t="b">
        <f t="shared" si="24"/>
        <v>1</v>
      </c>
      <c r="N39" s="27" t="b">
        <f t="shared" si="24"/>
        <v>1</v>
      </c>
      <c r="O39" s="27" t="b">
        <f t="shared" si="24"/>
        <v>1</v>
      </c>
      <c r="P39" s="27" t="b">
        <f t="shared" si="24"/>
        <v>1</v>
      </c>
      <c r="Q39" s="27" t="b">
        <f t="shared" si="24"/>
        <v>1</v>
      </c>
      <c r="R39" s="27"/>
      <c r="S39" s="27"/>
      <c r="T39" s="26"/>
      <c r="U39" s="26"/>
      <c r="V39" s="2"/>
      <c r="W39" s="2"/>
    </row>
    <row r="40" spans="1:23" x14ac:dyDescent="0.25">
      <c r="A40" s="27"/>
      <c r="B40" s="27" t="b">
        <f>B15+B19=B23</f>
        <v>1</v>
      </c>
      <c r="C40" s="27" t="b">
        <f t="shared" ref="C40:Q40" si="25">C15+C19=C23</f>
        <v>1</v>
      </c>
      <c r="D40" s="27" t="b">
        <f t="shared" si="25"/>
        <v>1</v>
      </c>
      <c r="E40" s="27" t="b">
        <f t="shared" si="25"/>
        <v>1</v>
      </c>
      <c r="F40" s="27" t="b">
        <f t="shared" si="25"/>
        <v>1</v>
      </c>
      <c r="G40" s="27" t="b">
        <f t="shared" si="25"/>
        <v>1</v>
      </c>
      <c r="H40" s="27" t="b">
        <f t="shared" si="25"/>
        <v>1</v>
      </c>
      <c r="I40" s="27" t="b">
        <f t="shared" si="25"/>
        <v>1</v>
      </c>
      <c r="J40" s="27" t="b">
        <f t="shared" si="25"/>
        <v>1</v>
      </c>
      <c r="K40" s="27" t="b">
        <f t="shared" si="25"/>
        <v>1</v>
      </c>
      <c r="L40" s="27" t="b">
        <f t="shared" si="25"/>
        <v>1</v>
      </c>
      <c r="M40" s="27" t="b">
        <f t="shared" si="25"/>
        <v>1</v>
      </c>
      <c r="N40" s="27" t="b">
        <f t="shared" si="25"/>
        <v>1</v>
      </c>
      <c r="O40" s="27" t="b">
        <f t="shared" si="25"/>
        <v>1</v>
      </c>
      <c r="P40" s="27" t="b">
        <f t="shared" si="25"/>
        <v>1</v>
      </c>
      <c r="Q40" s="27" t="b">
        <f t="shared" si="25"/>
        <v>1</v>
      </c>
      <c r="R40" s="27"/>
      <c r="S40" s="27"/>
      <c r="T40" s="26"/>
      <c r="U40" s="26"/>
      <c r="V40" s="2"/>
      <c r="W40" s="2"/>
    </row>
    <row r="41" spans="1:23" x14ac:dyDescent="0.25">
      <c r="A41" s="28"/>
      <c r="B41" s="28" t="b">
        <f>B24+B27=B30</f>
        <v>1</v>
      </c>
      <c r="C41" s="28" t="b">
        <f t="shared" ref="C41:Q41" si="26">C24+C27=C30</f>
        <v>1</v>
      </c>
      <c r="D41" s="28" t="b">
        <f t="shared" si="26"/>
        <v>1</v>
      </c>
      <c r="E41" s="28" t="b">
        <f t="shared" si="26"/>
        <v>1</v>
      </c>
      <c r="F41" s="28" t="b">
        <f t="shared" si="26"/>
        <v>1</v>
      </c>
      <c r="G41" s="28" t="b">
        <f t="shared" si="26"/>
        <v>1</v>
      </c>
      <c r="H41" s="28" t="b">
        <f t="shared" si="26"/>
        <v>1</v>
      </c>
      <c r="I41" s="28" t="b">
        <f t="shared" si="26"/>
        <v>1</v>
      </c>
      <c r="J41" s="28" t="b">
        <f t="shared" si="26"/>
        <v>1</v>
      </c>
      <c r="K41" s="28" t="b">
        <f t="shared" si="26"/>
        <v>1</v>
      </c>
      <c r="L41" s="28" t="b">
        <f t="shared" si="26"/>
        <v>1</v>
      </c>
      <c r="M41" s="28" t="b">
        <f t="shared" si="26"/>
        <v>1</v>
      </c>
      <c r="N41" s="28" t="b">
        <f t="shared" si="26"/>
        <v>1</v>
      </c>
      <c r="O41" s="28" t="b">
        <f t="shared" si="26"/>
        <v>1</v>
      </c>
      <c r="P41" s="28" t="b">
        <f t="shared" si="26"/>
        <v>1</v>
      </c>
      <c r="Q41" s="28" t="b">
        <f t="shared" si="26"/>
        <v>1</v>
      </c>
      <c r="R41" s="28"/>
      <c r="S41" s="28"/>
      <c r="T41" s="2"/>
      <c r="U41" s="2"/>
      <c r="V41" s="2"/>
      <c r="W41" s="2"/>
    </row>
    <row r="42" spans="1:23" x14ac:dyDescent="0.25">
      <c r="A42" s="28"/>
      <c r="B42" s="28" t="b">
        <f>B28+B25=B31</f>
        <v>1</v>
      </c>
      <c r="C42" s="28" t="b">
        <f t="shared" ref="C42:Q42" si="27">C28+C25=C31</f>
        <v>1</v>
      </c>
      <c r="D42" s="28" t="b">
        <f t="shared" si="27"/>
        <v>1</v>
      </c>
      <c r="E42" s="28" t="b">
        <f t="shared" si="27"/>
        <v>1</v>
      </c>
      <c r="F42" s="28" t="b">
        <f t="shared" si="27"/>
        <v>1</v>
      </c>
      <c r="G42" s="28" t="b">
        <f t="shared" si="27"/>
        <v>1</v>
      </c>
      <c r="H42" s="28" t="b">
        <f t="shared" si="27"/>
        <v>1</v>
      </c>
      <c r="I42" s="28" t="b">
        <f t="shared" si="27"/>
        <v>1</v>
      </c>
      <c r="J42" s="28" t="b">
        <f t="shared" si="27"/>
        <v>1</v>
      </c>
      <c r="K42" s="28" t="b">
        <f t="shared" si="27"/>
        <v>1</v>
      </c>
      <c r="L42" s="28" t="b">
        <f>L28+L25=L31</f>
        <v>1</v>
      </c>
      <c r="M42" s="28" t="b">
        <f t="shared" si="27"/>
        <v>1</v>
      </c>
      <c r="N42" s="28" t="b">
        <f t="shared" si="27"/>
        <v>1</v>
      </c>
      <c r="O42" s="28" t="b">
        <f t="shared" si="27"/>
        <v>1</v>
      </c>
      <c r="P42" s="28" t="b">
        <f t="shared" si="27"/>
        <v>1</v>
      </c>
      <c r="Q42" s="28" t="b">
        <f t="shared" si="27"/>
        <v>1</v>
      </c>
      <c r="R42" s="28"/>
      <c r="S42" s="28"/>
      <c r="T42" s="2"/>
      <c r="U42" s="2"/>
      <c r="V42" s="2"/>
      <c r="W42" s="2"/>
    </row>
    <row r="43" spans="1:23" x14ac:dyDescent="0.25">
      <c r="A43" s="28"/>
      <c r="B43" s="28" t="b">
        <f>B26+B29=B32</f>
        <v>1</v>
      </c>
      <c r="C43" s="28" t="b">
        <f t="shared" ref="C43:Q43" si="28">C26+C29=C32</f>
        <v>1</v>
      </c>
      <c r="D43" s="28" t="b">
        <f t="shared" si="28"/>
        <v>1</v>
      </c>
      <c r="E43" s="28" t="b">
        <f t="shared" si="28"/>
        <v>1</v>
      </c>
      <c r="F43" s="28" t="b">
        <f t="shared" si="28"/>
        <v>1</v>
      </c>
      <c r="G43" s="28" t="b">
        <f t="shared" si="28"/>
        <v>1</v>
      </c>
      <c r="H43" s="28" t="b">
        <f t="shared" si="28"/>
        <v>1</v>
      </c>
      <c r="I43" s="28" t="b">
        <f t="shared" si="28"/>
        <v>1</v>
      </c>
      <c r="J43" s="28" t="b">
        <f t="shared" si="28"/>
        <v>1</v>
      </c>
      <c r="K43" s="28" t="b">
        <f t="shared" si="28"/>
        <v>1</v>
      </c>
      <c r="L43" s="28" t="b">
        <f t="shared" si="28"/>
        <v>1</v>
      </c>
      <c r="M43" s="28" t="b">
        <f t="shared" si="28"/>
        <v>1</v>
      </c>
      <c r="N43" s="28" t="b">
        <f t="shared" si="28"/>
        <v>1</v>
      </c>
      <c r="O43" s="28" t="b">
        <f t="shared" si="28"/>
        <v>1</v>
      </c>
      <c r="P43" s="28" t="b">
        <f t="shared" si="28"/>
        <v>1</v>
      </c>
      <c r="Q43" s="28" t="b">
        <f t="shared" si="28"/>
        <v>1</v>
      </c>
      <c r="R43" s="28"/>
      <c r="S43" s="28"/>
      <c r="T43" s="2"/>
      <c r="U43" s="2"/>
      <c r="V43" s="2"/>
      <c r="W43" s="2"/>
    </row>
    <row r="44" spans="1:23" x14ac:dyDescent="0.25">
      <c r="B44" s="11" t="b">
        <f>B20+B30=B33</f>
        <v>1</v>
      </c>
      <c r="C44" s="11" t="b">
        <f t="shared" ref="C44:Q44" si="29">C20+C30=C33</f>
        <v>1</v>
      </c>
      <c r="D44" s="11" t="b">
        <f t="shared" si="29"/>
        <v>1</v>
      </c>
      <c r="E44" s="11" t="b">
        <f t="shared" si="29"/>
        <v>1</v>
      </c>
      <c r="F44" s="11" t="b">
        <f t="shared" si="29"/>
        <v>1</v>
      </c>
      <c r="G44" s="11" t="b">
        <f t="shared" si="29"/>
        <v>1</v>
      </c>
      <c r="H44" s="11" t="b">
        <f t="shared" si="29"/>
        <v>1</v>
      </c>
      <c r="I44" s="11" t="b">
        <f t="shared" si="29"/>
        <v>1</v>
      </c>
      <c r="J44" s="11" t="b">
        <f t="shared" si="29"/>
        <v>1</v>
      </c>
      <c r="K44" s="11" t="b">
        <f t="shared" si="29"/>
        <v>1</v>
      </c>
      <c r="L44" s="11" t="b">
        <f t="shared" si="29"/>
        <v>1</v>
      </c>
      <c r="M44" s="11" t="b">
        <f t="shared" si="29"/>
        <v>1</v>
      </c>
      <c r="N44" s="11" t="b">
        <f t="shared" si="29"/>
        <v>1</v>
      </c>
      <c r="O44" s="11" t="b">
        <f t="shared" si="29"/>
        <v>1</v>
      </c>
      <c r="P44" s="11" t="b">
        <f t="shared" si="29"/>
        <v>1</v>
      </c>
      <c r="Q44" s="11" t="b">
        <f t="shared" si="29"/>
        <v>1</v>
      </c>
    </row>
  </sheetData>
  <mergeCells count="7">
    <mergeCell ref="F2:N6"/>
    <mergeCell ref="F7:N7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&amp;LWojewództwo dolnośląskie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4"/>
  <sheetViews>
    <sheetView showGridLines="0" topLeftCell="H40" zoomScale="95" zoomScaleNormal="95" zoomScaleSheetLayoutView="85" workbookViewId="0">
      <selection activeCell="K41" sqref="K41"/>
    </sheetView>
  </sheetViews>
  <sheetFormatPr defaultColWidth="9.140625" defaultRowHeight="15" x14ac:dyDescent="0.25"/>
  <cols>
    <col min="1" max="1" width="5.28515625" style="210" customWidth="1"/>
    <col min="2" max="2" width="13.5703125" style="210" customWidth="1"/>
    <col min="3" max="3" width="11.7109375" style="210" customWidth="1"/>
    <col min="4" max="4" width="15.7109375" style="210" customWidth="1"/>
    <col min="5" max="5" width="10.7109375" style="210" customWidth="1"/>
    <col min="6" max="6" width="45.28515625" style="210" customWidth="1"/>
    <col min="7" max="10" width="15.7109375" style="210" customWidth="1"/>
    <col min="11" max="11" width="17.42578125" style="210" customWidth="1"/>
    <col min="12" max="12" width="15.7109375" style="210" customWidth="1"/>
    <col min="13" max="13" width="15.7109375" style="238" customWidth="1"/>
    <col min="14" max="17" width="15.7109375" style="210" hidden="1" customWidth="1"/>
    <col min="18" max="25" width="15.7109375" style="210" customWidth="1"/>
    <col min="26" max="26" width="15.7109375" style="259" customWidth="1"/>
    <col min="27" max="28" width="15.7109375" style="238" customWidth="1"/>
    <col min="29" max="29" width="15.7109375" style="259" customWidth="1"/>
    <col min="30" max="16384" width="9.140625" style="210"/>
  </cols>
  <sheetData>
    <row r="1" spans="1:29" ht="20.100000000000001" customHeight="1" x14ac:dyDescent="0.25">
      <c r="A1" s="307" t="s">
        <v>4</v>
      </c>
      <c r="B1" s="307" t="s">
        <v>5</v>
      </c>
      <c r="C1" s="308" t="s">
        <v>44</v>
      </c>
      <c r="D1" s="303" t="s">
        <v>6</v>
      </c>
      <c r="E1" s="303" t="s">
        <v>33</v>
      </c>
      <c r="F1" s="303" t="s">
        <v>7</v>
      </c>
      <c r="G1" s="307" t="s">
        <v>27</v>
      </c>
      <c r="H1" s="307" t="s">
        <v>8</v>
      </c>
      <c r="I1" s="307" t="s">
        <v>24</v>
      </c>
      <c r="J1" s="307" t="s">
        <v>9</v>
      </c>
      <c r="K1" s="307" t="s">
        <v>16</v>
      </c>
      <c r="L1" s="303" t="s">
        <v>13</v>
      </c>
      <c r="M1" s="307" t="s">
        <v>11</v>
      </c>
      <c r="N1" s="310" t="s">
        <v>12</v>
      </c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238"/>
    </row>
    <row r="2" spans="1:29" ht="20.100000000000001" customHeight="1" x14ac:dyDescent="0.25">
      <c r="A2" s="307"/>
      <c r="B2" s="307"/>
      <c r="C2" s="309"/>
      <c r="D2" s="304"/>
      <c r="E2" s="304"/>
      <c r="F2" s="304"/>
      <c r="G2" s="307"/>
      <c r="H2" s="307"/>
      <c r="I2" s="307"/>
      <c r="J2" s="307"/>
      <c r="K2" s="307"/>
      <c r="L2" s="304"/>
      <c r="M2" s="307"/>
      <c r="N2" s="253">
        <v>2019</v>
      </c>
      <c r="O2" s="253">
        <v>2020</v>
      </c>
      <c r="P2" s="253">
        <v>2021</v>
      </c>
      <c r="Q2" s="253">
        <v>2022</v>
      </c>
      <c r="R2" s="253">
        <v>2023</v>
      </c>
      <c r="S2" s="253">
        <v>2024</v>
      </c>
      <c r="T2" s="253">
        <v>2025</v>
      </c>
      <c r="U2" s="253">
        <v>2026</v>
      </c>
      <c r="V2" s="253">
        <v>2027</v>
      </c>
      <c r="W2" s="253">
        <v>2028</v>
      </c>
      <c r="X2" s="253">
        <v>2029</v>
      </c>
      <c r="Y2" s="253">
        <v>2030</v>
      </c>
      <c r="Z2" s="238" t="s">
        <v>29</v>
      </c>
      <c r="AA2" s="238" t="s">
        <v>30</v>
      </c>
      <c r="AB2" s="238" t="s">
        <v>31</v>
      </c>
      <c r="AC2" s="260" t="s">
        <v>32</v>
      </c>
    </row>
    <row r="3" spans="1:29" ht="30" customHeight="1" x14ac:dyDescent="0.25">
      <c r="A3" s="186">
        <v>1</v>
      </c>
      <c r="B3" s="168" t="s">
        <v>50</v>
      </c>
      <c r="C3" s="168" t="s">
        <v>51</v>
      </c>
      <c r="D3" s="169" t="s">
        <v>52</v>
      </c>
      <c r="E3" s="169" t="s">
        <v>53</v>
      </c>
      <c r="F3" s="170" t="s">
        <v>54</v>
      </c>
      <c r="G3" s="198" t="s">
        <v>55</v>
      </c>
      <c r="H3" s="200">
        <v>1.2769999999999999</v>
      </c>
      <c r="I3" s="172" t="s">
        <v>56</v>
      </c>
      <c r="J3" s="173">
        <v>4756683.53</v>
      </c>
      <c r="K3" s="173">
        <v>3805346.82</v>
      </c>
      <c r="L3" s="174">
        <v>951336.71000000043</v>
      </c>
      <c r="M3" s="175">
        <v>0.8</v>
      </c>
      <c r="N3" s="176"/>
      <c r="O3" s="176"/>
      <c r="P3" s="177"/>
      <c r="Q3" s="177"/>
      <c r="R3" s="177">
        <v>2397368.5</v>
      </c>
      <c r="S3" s="177">
        <v>1407978.32</v>
      </c>
      <c r="T3" s="178"/>
      <c r="U3" s="178"/>
      <c r="V3" s="216"/>
      <c r="W3" s="216"/>
      <c r="X3" s="216"/>
      <c r="Y3" s="216"/>
      <c r="Z3" s="238" t="b">
        <f>K3=SUM(N3:Y3)</f>
        <v>1</v>
      </c>
      <c r="AA3" s="261">
        <f t="shared" ref="AA3" si="0">ROUND(K3/J3,4)</f>
        <v>0.8</v>
      </c>
      <c r="AB3" s="262" t="b">
        <f t="shared" ref="AB3" si="1">AA3=M3</f>
        <v>1</v>
      </c>
      <c r="AC3" s="262" t="b">
        <f>J3=K3+L3</f>
        <v>1</v>
      </c>
    </row>
    <row r="4" spans="1:29" ht="30" customHeight="1" x14ac:dyDescent="0.25">
      <c r="A4" s="186">
        <v>2</v>
      </c>
      <c r="B4" s="168" t="s">
        <v>57</v>
      </c>
      <c r="C4" s="168" t="s">
        <v>51</v>
      </c>
      <c r="D4" s="169" t="s">
        <v>58</v>
      </c>
      <c r="E4" s="169" t="s">
        <v>59</v>
      </c>
      <c r="F4" s="170" t="s">
        <v>60</v>
      </c>
      <c r="G4" s="198" t="s">
        <v>61</v>
      </c>
      <c r="H4" s="200">
        <v>1.65</v>
      </c>
      <c r="I4" s="172" t="s">
        <v>62</v>
      </c>
      <c r="J4" s="173">
        <v>2183519.69</v>
      </c>
      <c r="K4" s="173">
        <v>1091759.8400000001</v>
      </c>
      <c r="L4" s="174">
        <v>1091759.8499999999</v>
      </c>
      <c r="M4" s="175">
        <v>0.5</v>
      </c>
      <c r="N4" s="176"/>
      <c r="O4" s="176"/>
      <c r="P4" s="177"/>
      <c r="Q4" s="177"/>
      <c r="R4" s="177">
        <v>901382.84</v>
      </c>
      <c r="S4" s="177">
        <v>190377</v>
      </c>
      <c r="T4" s="178"/>
      <c r="U4" s="178"/>
      <c r="V4" s="216"/>
      <c r="W4" s="216"/>
      <c r="X4" s="216"/>
      <c r="Y4" s="216"/>
      <c r="Z4" s="238" t="b">
        <f t="shared" ref="Z4:Z45" si="2">K4=SUM(N4:Y4)</f>
        <v>1</v>
      </c>
      <c r="AA4" s="261">
        <f t="shared" ref="AA4:AA45" si="3">ROUND(K4/J4,4)</f>
        <v>0.5</v>
      </c>
      <c r="AB4" s="262" t="b">
        <f t="shared" ref="AB4:AB45" si="4">AA4=M4</f>
        <v>1</v>
      </c>
      <c r="AC4" s="262" t="b">
        <f t="shared" ref="AC4:AC45" si="5">J4=K4+L4</f>
        <v>1</v>
      </c>
    </row>
    <row r="5" spans="1:29" ht="30" customHeight="1" x14ac:dyDescent="0.25">
      <c r="A5" s="186">
        <v>3</v>
      </c>
      <c r="B5" s="168" t="s">
        <v>63</v>
      </c>
      <c r="C5" s="168" t="s">
        <v>51</v>
      </c>
      <c r="D5" s="169" t="s">
        <v>64</v>
      </c>
      <c r="E5" s="169" t="s">
        <v>65</v>
      </c>
      <c r="F5" s="170" t="s">
        <v>66</v>
      </c>
      <c r="G5" s="198" t="s">
        <v>55</v>
      </c>
      <c r="H5" s="200">
        <v>1.4790000000000001</v>
      </c>
      <c r="I5" s="172" t="s">
        <v>67</v>
      </c>
      <c r="J5" s="173">
        <v>2386734.86</v>
      </c>
      <c r="K5" s="173">
        <v>1193367.43</v>
      </c>
      <c r="L5" s="174">
        <v>1193367.43</v>
      </c>
      <c r="M5" s="175">
        <v>0.5</v>
      </c>
      <c r="N5" s="176"/>
      <c r="O5" s="176"/>
      <c r="P5" s="177"/>
      <c r="Q5" s="177"/>
      <c r="R5" s="177">
        <v>619269.48</v>
      </c>
      <c r="S5" s="177">
        <v>574097.94999999995</v>
      </c>
      <c r="T5" s="178"/>
      <c r="U5" s="178"/>
      <c r="V5" s="216"/>
      <c r="W5" s="216"/>
      <c r="X5" s="216"/>
      <c r="Y5" s="216"/>
      <c r="Z5" s="238" t="b">
        <f t="shared" si="2"/>
        <v>1</v>
      </c>
      <c r="AA5" s="261">
        <f t="shared" si="3"/>
        <v>0.5</v>
      </c>
      <c r="AB5" s="262" t="b">
        <f t="shared" si="4"/>
        <v>1</v>
      </c>
      <c r="AC5" s="262" t="b">
        <f t="shared" si="5"/>
        <v>1</v>
      </c>
    </row>
    <row r="6" spans="1:29" ht="30" customHeight="1" x14ac:dyDescent="0.25">
      <c r="A6" s="186">
        <v>4</v>
      </c>
      <c r="B6" s="168" t="s">
        <v>68</v>
      </c>
      <c r="C6" s="168" t="s">
        <v>51</v>
      </c>
      <c r="D6" s="169" t="s">
        <v>69</v>
      </c>
      <c r="E6" s="169" t="s">
        <v>70</v>
      </c>
      <c r="F6" s="170" t="s">
        <v>71</v>
      </c>
      <c r="G6" s="198" t="s">
        <v>55</v>
      </c>
      <c r="H6" s="200">
        <v>0.88500000000000001</v>
      </c>
      <c r="I6" s="172" t="s">
        <v>72</v>
      </c>
      <c r="J6" s="173">
        <v>7286592.8499999996</v>
      </c>
      <c r="K6" s="173">
        <v>3643296.42</v>
      </c>
      <c r="L6" s="174">
        <v>3643296.4299999997</v>
      </c>
      <c r="M6" s="175">
        <v>0.5</v>
      </c>
      <c r="N6" s="176"/>
      <c r="O6" s="176"/>
      <c r="P6" s="177"/>
      <c r="Q6" s="177"/>
      <c r="R6" s="177">
        <v>1054153</v>
      </c>
      <c r="S6" s="177">
        <v>2589143.42</v>
      </c>
      <c r="T6" s="178"/>
      <c r="U6" s="178"/>
      <c r="V6" s="216"/>
      <c r="W6" s="216"/>
      <c r="X6" s="216"/>
      <c r="Y6" s="216"/>
      <c r="Z6" s="238" t="b">
        <f t="shared" si="2"/>
        <v>1</v>
      </c>
      <c r="AA6" s="261">
        <f t="shared" si="3"/>
        <v>0.5</v>
      </c>
      <c r="AB6" s="262" t="b">
        <f t="shared" si="4"/>
        <v>1</v>
      </c>
      <c r="AC6" s="262" t="b">
        <f t="shared" si="5"/>
        <v>1</v>
      </c>
    </row>
    <row r="7" spans="1:29" ht="30" customHeight="1" x14ac:dyDescent="0.25">
      <c r="A7" s="186">
        <v>5</v>
      </c>
      <c r="B7" s="168" t="s">
        <v>73</v>
      </c>
      <c r="C7" s="168" t="s">
        <v>51</v>
      </c>
      <c r="D7" s="169" t="s">
        <v>74</v>
      </c>
      <c r="E7" s="169" t="s">
        <v>75</v>
      </c>
      <c r="F7" s="170" t="s">
        <v>76</v>
      </c>
      <c r="G7" s="198" t="s">
        <v>55</v>
      </c>
      <c r="H7" s="200">
        <v>4.5140000000000002</v>
      </c>
      <c r="I7" s="172" t="s">
        <v>77</v>
      </c>
      <c r="J7" s="173">
        <v>12344566.689999999</v>
      </c>
      <c r="K7" s="173">
        <v>5613153.5</v>
      </c>
      <c r="L7" s="174">
        <v>6731413.1899999995</v>
      </c>
      <c r="M7" s="175">
        <v>0.5</v>
      </c>
      <c r="N7" s="176"/>
      <c r="O7" s="176"/>
      <c r="P7" s="177"/>
      <c r="Q7" s="177"/>
      <c r="R7" s="177">
        <v>1247367</v>
      </c>
      <c r="S7" s="177">
        <v>2494734</v>
      </c>
      <c r="T7" s="178">
        <v>1871052.5</v>
      </c>
      <c r="U7" s="178"/>
      <c r="V7" s="216"/>
      <c r="W7" s="216"/>
      <c r="X7" s="216"/>
      <c r="Y7" s="216"/>
      <c r="Z7" s="238" t="b">
        <f t="shared" si="2"/>
        <v>1</v>
      </c>
      <c r="AA7" s="261">
        <f t="shared" si="3"/>
        <v>0.45469999999999999</v>
      </c>
      <c r="AB7" s="262" t="b">
        <f t="shared" si="4"/>
        <v>0</v>
      </c>
      <c r="AC7" s="262" t="b">
        <f t="shared" si="5"/>
        <v>1</v>
      </c>
    </row>
    <row r="8" spans="1:29" ht="30" customHeight="1" x14ac:dyDescent="0.25">
      <c r="A8" s="186">
        <v>6</v>
      </c>
      <c r="B8" s="263" t="s">
        <v>78</v>
      </c>
      <c r="C8" s="168" t="s">
        <v>51</v>
      </c>
      <c r="D8" s="169" t="s">
        <v>79</v>
      </c>
      <c r="E8" s="169" t="s">
        <v>80</v>
      </c>
      <c r="F8" s="264" t="s">
        <v>81</v>
      </c>
      <c r="G8" s="198" t="s">
        <v>82</v>
      </c>
      <c r="H8" s="200">
        <v>0.89400000000000002</v>
      </c>
      <c r="I8" s="168" t="s">
        <v>83</v>
      </c>
      <c r="J8" s="173">
        <v>8571472.7100000009</v>
      </c>
      <c r="K8" s="173">
        <v>4285736.3499999996</v>
      </c>
      <c r="L8" s="174">
        <v>4285736.3600000013</v>
      </c>
      <c r="M8" s="175">
        <v>0.5</v>
      </c>
      <c r="N8" s="176"/>
      <c r="O8" s="176"/>
      <c r="P8" s="177"/>
      <c r="Q8" s="177"/>
      <c r="R8" s="177">
        <v>1225000</v>
      </c>
      <c r="S8" s="177">
        <v>3060736.35</v>
      </c>
      <c r="T8" s="178"/>
      <c r="U8" s="179"/>
      <c r="V8" s="216"/>
      <c r="W8" s="216"/>
      <c r="X8" s="216"/>
      <c r="Y8" s="216"/>
      <c r="Z8" s="238" t="b">
        <f t="shared" si="2"/>
        <v>1</v>
      </c>
      <c r="AA8" s="261">
        <f t="shared" si="3"/>
        <v>0.5</v>
      </c>
      <c r="AB8" s="262" t="b">
        <f t="shared" si="4"/>
        <v>1</v>
      </c>
      <c r="AC8" s="262" t="b">
        <f t="shared" si="5"/>
        <v>1</v>
      </c>
    </row>
    <row r="9" spans="1:29" ht="30" customHeight="1" x14ac:dyDescent="0.25">
      <c r="A9" s="180">
        <v>7</v>
      </c>
      <c r="B9" s="180" t="s">
        <v>84</v>
      </c>
      <c r="C9" s="225" t="s">
        <v>85</v>
      </c>
      <c r="D9" s="182" t="s">
        <v>86</v>
      </c>
      <c r="E9" s="226" t="s">
        <v>87</v>
      </c>
      <c r="F9" s="180" t="s">
        <v>88</v>
      </c>
      <c r="G9" s="199" t="s">
        <v>55</v>
      </c>
      <c r="H9" s="201">
        <v>0.78500000000000003</v>
      </c>
      <c r="I9" s="184" t="s">
        <v>89</v>
      </c>
      <c r="J9" s="185">
        <v>3219884.91</v>
      </c>
      <c r="K9" s="185">
        <f t="shared" ref="K9:K11" si="6">ROUNDDOWN(J9*M9,2)</f>
        <v>1609942.45</v>
      </c>
      <c r="L9" s="179">
        <f>J9-K9</f>
        <v>1609942.4600000002</v>
      </c>
      <c r="M9" s="221">
        <v>0.5</v>
      </c>
      <c r="N9" s="176"/>
      <c r="O9" s="176"/>
      <c r="P9" s="177"/>
      <c r="Q9" s="177"/>
      <c r="R9" s="177"/>
      <c r="S9" s="179">
        <f>K9</f>
        <v>1609942.45</v>
      </c>
      <c r="T9" s="178"/>
      <c r="U9" s="178"/>
      <c r="V9" s="216"/>
      <c r="W9" s="216"/>
      <c r="X9" s="216"/>
      <c r="Y9" s="216"/>
      <c r="Z9" s="238" t="b">
        <f t="shared" si="2"/>
        <v>1</v>
      </c>
      <c r="AA9" s="261">
        <f t="shared" si="3"/>
        <v>0.5</v>
      </c>
      <c r="AB9" s="262" t="b">
        <f t="shared" si="4"/>
        <v>1</v>
      </c>
      <c r="AC9" s="262" t="b">
        <f t="shared" si="5"/>
        <v>1</v>
      </c>
    </row>
    <row r="10" spans="1:29" ht="30" customHeight="1" x14ac:dyDescent="0.25">
      <c r="A10" s="186">
        <v>8</v>
      </c>
      <c r="B10" s="186" t="s">
        <v>90</v>
      </c>
      <c r="C10" s="202" t="s">
        <v>91</v>
      </c>
      <c r="D10" s="188" t="s">
        <v>92</v>
      </c>
      <c r="E10" s="169" t="s">
        <v>93</v>
      </c>
      <c r="F10" s="186" t="s">
        <v>894</v>
      </c>
      <c r="G10" s="198" t="s">
        <v>55</v>
      </c>
      <c r="H10" s="200">
        <v>2.19</v>
      </c>
      <c r="I10" s="190" t="s">
        <v>94</v>
      </c>
      <c r="J10" s="191">
        <v>7476922.71</v>
      </c>
      <c r="K10" s="191">
        <f t="shared" si="6"/>
        <v>5981538.1600000001</v>
      </c>
      <c r="L10" s="178">
        <f>J10-K10</f>
        <v>1495384.5499999998</v>
      </c>
      <c r="M10" s="222">
        <v>0.8</v>
      </c>
      <c r="N10" s="176"/>
      <c r="O10" s="176"/>
      <c r="P10" s="177"/>
      <c r="Q10" s="177"/>
      <c r="R10" s="177"/>
      <c r="S10" s="178">
        <v>246000</v>
      </c>
      <c r="T10" s="178">
        <f>K10-S10-U10</f>
        <v>2414978.16</v>
      </c>
      <c r="U10" s="178">
        <v>3320560</v>
      </c>
      <c r="V10" s="216"/>
      <c r="W10" s="216"/>
      <c r="X10" s="216"/>
      <c r="Y10" s="216"/>
      <c r="Z10" s="238" t="b">
        <f t="shared" si="2"/>
        <v>1</v>
      </c>
      <c r="AA10" s="261">
        <f t="shared" si="3"/>
        <v>0.8</v>
      </c>
      <c r="AB10" s="262" t="b">
        <f t="shared" si="4"/>
        <v>1</v>
      </c>
      <c r="AC10" s="262" t="b">
        <f t="shared" si="5"/>
        <v>1</v>
      </c>
    </row>
    <row r="11" spans="1:29" ht="30" customHeight="1" x14ac:dyDescent="0.25">
      <c r="A11" s="180">
        <v>9</v>
      </c>
      <c r="B11" s="180" t="s">
        <v>95</v>
      </c>
      <c r="C11" s="225" t="s">
        <v>85</v>
      </c>
      <c r="D11" s="182" t="s">
        <v>96</v>
      </c>
      <c r="E11" s="226" t="s">
        <v>97</v>
      </c>
      <c r="F11" s="180" t="s">
        <v>98</v>
      </c>
      <c r="G11" s="199" t="s">
        <v>55</v>
      </c>
      <c r="H11" s="201">
        <v>0.31</v>
      </c>
      <c r="I11" s="184" t="s">
        <v>99</v>
      </c>
      <c r="J11" s="185">
        <v>898127.55</v>
      </c>
      <c r="K11" s="185">
        <f t="shared" si="6"/>
        <v>628689.28</v>
      </c>
      <c r="L11" s="179">
        <f>J11-K11</f>
        <v>269438.27</v>
      </c>
      <c r="M11" s="221">
        <v>0.7</v>
      </c>
      <c r="N11" s="176"/>
      <c r="O11" s="176"/>
      <c r="P11" s="177"/>
      <c r="Q11" s="177"/>
      <c r="R11" s="177"/>
      <c r="S11" s="179">
        <f>K11</f>
        <v>628689.28</v>
      </c>
      <c r="T11" s="178"/>
      <c r="U11" s="178"/>
      <c r="V11" s="216"/>
      <c r="W11" s="216"/>
      <c r="X11" s="216"/>
      <c r="Y11" s="216"/>
      <c r="Z11" s="238" t="b">
        <f t="shared" si="2"/>
        <v>1</v>
      </c>
      <c r="AA11" s="261">
        <f t="shared" si="3"/>
        <v>0.7</v>
      </c>
      <c r="AB11" s="262" t="b">
        <f t="shared" si="4"/>
        <v>1</v>
      </c>
      <c r="AC11" s="262" t="b">
        <f t="shared" si="5"/>
        <v>1</v>
      </c>
    </row>
    <row r="12" spans="1:29" ht="46.5" customHeight="1" x14ac:dyDescent="0.25">
      <c r="A12" s="180">
        <v>10</v>
      </c>
      <c r="B12" s="180" t="s">
        <v>100</v>
      </c>
      <c r="C12" s="225" t="s">
        <v>85</v>
      </c>
      <c r="D12" s="182" t="s">
        <v>101</v>
      </c>
      <c r="E12" s="226" t="s">
        <v>102</v>
      </c>
      <c r="F12" s="180" t="s">
        <v>103</v>
      </c>
      <c r="G12" s="199" t="s">
        <v>55</v>
      </c>
      <c r="H12" s="201">
        <v>0.72799999999999998</v>
      </c>
      <c r="I12" s="184" t="s">
        <v>104</v>
      </c>
      <c r="J12" s="185">
        <v>1336544.3899999999</v>
      </c>
      <c r="K12" s="185">
        <f>J12*M12</f>
        <v>1069235.5119999999</v>
      </c>
      <c r="L12" s="179">
        <f>J12-K12</f>
        <v>267308.87800000003</v>
      </c>
      <c r="M12" s="221">
        <v>0.8</v>
      </c>
      <c r="N12" s="176"/>
      <c r="O12" s="176"/>
      <c r="P12" s="177"/>
      <c r="Q12" s="177"/>
      <c r="R12" s="177"/>
      <c r="S12" s="179">
        <f>K12</f>
        <v>1069235.5119999999</v>
      </c>
      <c r="T12" s="178"/>
      <c r="U12" s="178"/>
      <c r="V12" s="216"/>
      <c r="W12" s="216"/>
      <c r="X12" s="216"/>
      <c r="Y12" s="216"/>
      <c r="Z12" s="238" t="b">
        <f t="shared" si="2"/>
        <v>1</v>
      </c>
      <c r="AA12" s="261">
        <f t="shared" si="3"/>
        <v>0.8</v>
      </c>
      <c r="AB12" s="262" t="b">
        <f t="shared" si="4"/>
        <v>1</v>
      </c>
      <c r="AC12" s="262" t="b">
        <f t="shared" si="5"/>
        <v>1</v>
      </c>
    </row>
    <row r="13" spans="1:29" ht="30" customHeight="1" x14ac:dyDescent="0.25">
      <c r="A13" s="180">
        <v>11</v>
      </c>
      <c r="B13" s="180" t="s">
        <v>105</v>
      </c>
      <c r="C13" s="225" t="s">
        <v>85</v>
      </c>
      <c r="D13" s="192" t="s">
        <v>106</v>
      </c>
      <c r="E13" s="227" t="s">
        <v>65</v>
      </c>
      <c r="F13" s="193" t="s">
        <v>107</v>
      </c>
      <c r="G13" s="199" t="s">
        <v>55</v>
      </c>
      <c r="H13" s="201">
        <v>1.796</v>
      </c>
      <c r="I13" s="184" t="s">
        <v>108</v>
      </c>
      <c r="J13" s="194">
        <v>3740591</v>
      </c>
      <c r="K13" s="185">
        <v>2618413.7000000002</v>
      </c>
      <c r="L13" s="179">
        <v>1122177.2999999998</v>
      </c>
      <c r="M13" s="221">
        <v>0.7</v>
      </c>
      <c r="N13" s="176"/>
      <c r="O13" s="176"/>
      <c r="P13" s="177"/>
      <c r="Q13" s="177"/>
      <c r="R13" s="177"/>
      <c r="S13" s="179">
        <v>2618413.7000000002</v>
      </c>
      <c r="T13" s="178"/>
      <c r="U13" s="178"/>
      <c r="V13" s="216"/>
      <c r="W13" s="216"/>
      <c r="X13" s="216"/>
      <c r="Y13" s="216"/>
      <c r="Z13" s="238" t="b">
        <f t="shared" si="2"/>
        <v>1</v>
      </c>
      <c r="AA13" s="261">
        <f t="shared" si="3"/>
        <v>0.7</v>
      </c>
      <c r="AB13" s="262" t="b">
        <f t="shared" si="4"/>
        <v>1</v>
      </c>
      <c r="AC13" s="262" t="b">
        <f t="shared" si="5"/>
        <v>1</v>
      </c>
    </row>
    <row r="14" spans="1:29" ht="30" customHeight="1" x14ac:dyDescent="0.25">
      <c r="A14" s="180">
        <v>12</v>
      </c>
      <c r="B14" s="180" t="s">
        <v>109</v>
      </c>
      <c r="C14" s="225" t="s">
        <v>85</v>
      </c>
      <c r="D14" s="182" t="s">
        <v>110</v>
      </c>
      <c r="E14" s="227" t="s">
        <v>111</v>
      </c>
      <c r="F14" s="180" t="s">
        <v>112</v>
      </c>
      <c r="G14" s="199" t="s">
        <v>55</v>
      </c>
      <c r="H14" s="201">
        <v>0.80700000000000005</v>
      </c>
      <c r="I14" s="184" t="s">
        <v>113</v>
      </c>
      <c r="J14" s="195">
        <v>4185385.57</v>
      </c>
      <c r="K14" s="185">
        <v>1780447</v>
      </c>
      <c r="L14" s="179">
        <f>J14-K14</f>
        <v>2404938.5699999998</v>
      </c>
      <c r="M14" s="221">
        <v>0.5</v>
      </c>
      <c r="N14" s="176"/>
      <c r="O14" s="176"/>
      <c r="P14" s="177"/>
      <c r="Q14" s="177"/>
      <c r="R14" s="177"/>
      <c r="S14" s="179">
        <v>1780447</v>
      </c>
      <c r="T14" s="178"/>
      <c r="U14" s="178"/>
      <c r="V14" s="216"/>
      <c r="W14" s="216"/>
      <c r="X14" s="216"/>
      <c r="Y14" s="216"/>
      <c r="Z14" s="238" t="b">
        <f t="shared" si="2"/>
        <v>1</v>
      </c>
      <c r="AA14" s="261">
        <f t="shared" si="3"/>
        <v>0.4254</v>
      </c>
      <c r="AB14" s="262" t="b">
        <f t="shared" si="4"/>
        <v>0</v>
      </c>
      <c r="AC14" s="262" t="b">
        <f t="shared" si="5"/>
        <v>1</v>
      </c>
    </row>
    <row r="15" spans="1:29" ht="30" customHeight="1" x14ac:dyDescent="0.25">
      <c r="A15" s="180">
        <v>13</v>
      </c>
      <c r="B15" s="180" t="s">
        <v>114</v>
      </c>
      <c r="C15" s="225" t="s">
        <v>85</v>
      </c>
      <c r="D15" s="182" t="s">
        <v>115</v>
      </c>
      <c r="E15" s="226" t="s">
        <v>59</v>
      </c>
      <c r="F15" s="180" t="s">
        <v>891</v>
      </c>
      <c r="G15" s="199" t="s">
        <v>61</v>
      </c>
      <c r="H15" s="201">
        <v>1</v>
      </c>
      <c r="I15" s="184" t="s">
        <v>99</v>
      </c>
      <c r="J15" s="195">
        <v>1354710.91</v>
      </c>
      <c r="K15" s="185">
        <f>ROUNDDOWN(J15*M15,2)</f>
        <v>1083768.72</v>
      </c>
      <c r="L15" s="179">
        <f>J15-K15</f>
        <v>270942.18999999994</v>
      </c>
      <c r="M15" s="221">
        <v>0.8</v>
      </c>
      <c r="N15" s="176"/>
      <c r="O15" s="176"/>
      <c r="P15" s="177"/>
      <c r="Q15" s="177"/>
      <c r="R15" s="177"/>
      <c r="S15" s="179">
        <f>K15</f>
        <v>1083768.72</v>
      </c>
      <c r="T15" s="178"/>
      <c r="U15" s="178"/>
      <c r="V15" s="216"/>
      <c r="W15" s="216"/>
      <c r="X15" s="216"/>
      <c r="Y15" s="216"/>
      <c r="Z15" s="238" t="b">
        <f t="shared" si="2"/>
        <v>1</v>
      </c>
      <c r="AA15" s="261">
        <f t="shared" si="3"/>
        <v>0.8</v>
      </c>
      <c r="AB15" s="262" t="b">
        <f t="shared" si="4"/>
        <v>1</v>
      </c>
      <c r="AC15" s="262" t="b">
        <f t="shared" si="5"/>
        <v>1</v>
      </c>
    </row>
    <row r="16" spans="1:29" ht="30" customHeight="1" x14ac:dyDescent="0.25">
      <c r="A16" s="186">
        <v>14</v>
      </c>
      <c r="B16" s="186" t="s">
        <v>116</v>
      </c>
      <c r="C16" s="202" t="s">
        <v>91</v>
      </c>
      <c r="D16" s="188" t="s">
        <v>52</v>
      </c>
      <c r="E16" s="169" t="s">
        <v>53</v>
      </c>
      <c r="F16" s="186" t="s">
        <v>117</v>
      </c>
      <c r="G16" s="198" t="s">
        <v>55</v>
      </c>
      <c r="H16" s="200">
        <v>1.56</v>
      </c>
      <c r="I16" s="190" t="s">
        <v>118</v>
      </c>
      <c r="J16" s="191">
        <v>5999628</v>
      </c>
      <c r="K16" s="191">
        <v>4799702.4000000004</v>
      </c>
      <c r="L16" s="178">
        <v>1199925.5999999996</v>
      </c>
      <c r="M16" s="222">
        <v>0.8</v>
      </c>
      <c r="N16" s="176"/>
      <c r="O16" s="176"/>
      <c r="P16" s="177"/>
      <c r="Q16" s="177"/>
      <c r="R16" s="177"/>
      <c r="S16" s="178">
        <v>703522.4</v>
      </c>
      <c r="T16" s="178">
        <v>4096180</v>
      </c>
      <c r="U16" s="178"/>
      <c r="V16" s="216"/>
      <c r="W16" s="216"/>
      <c r="X16" s="216"/>
      <c r="Y16" s="216"/>
      <c r="Z16" s="238" t="b">
        <f t="shared" si="2"/>
        <v>1</v>
      </c>
      <c r="AA16" s="261">
        <f t="shared" si="3"/>
        <v>0.8</v>
      </c>
      <c r="AB16" s="262" t="b">
        <f t="shared" si="4"/>
        <v>1</v>
      </c>
      <c r="AC16" s="262" t="b">
        <f t="shared" si="5"/>
        <v>1</v>
      </c>
    </row>
    <row r="17" spans="1:29" ht="49.5" customHeight="1" x14ac:dyDescent="0.25">
      <c r="A17" s="180">
        <v>15</v>
      </c>
      <c r="B17" s="180" t="s">
        <v>119</v>
      </c>
      <c r="C17" s="225" t="s">
        <v>85</v>
      </c>
      <c r="D17" s="192" t="s">
        <v>86</v>
      </c>
      <c r="E17" s="227" t="s">
        <v>87</v>
      </c>
      <c r="F17" s="193" t="s">
        <v>120</v>
      </c>
      <c r="G17" s="199" t="s">
        <v>55</v>
      </c>
      <c r="H17" s="201">
        <v>0.76400000000000001</v>
      </c>
      <c r="I17" s="184" t="s">
        <v>89</v>
      </c>
      <c r="J17" s="194">
        <v>3581733.91</v>
      </c>
      <c r="K17" s="185">
        <v>1550000</v>
      </c>
      <c r="L17" s="179">
        <f t="shared" ref="L17:L22" si="7">J17-K17</f>
        <v>2031733.9100000001</v>
      </c>
      <c r="M17" s="221">
        <v>0.5</v>
      </c>
      <c r="N17" s="176"/>
      <c r="O17" s="176"/>
      <c r="P17" s="177"/>
      <c r="Q17" s="177"/>
      <c r="R17" s="177"/>
      <c r="S17" s="179">
        <v>1550000</v>
      </c>
      <c r="T17" s="178"/>
      <c r="U17" s="178"/>
      <c r="V17" s="216"/>
      <c r="W17" s="216"/>
      <c r="X17" s="216"/>
      <c r="Y17" s="216"/>
      <c r="Z17" s="238" t="b">
        <f t="shared" si="2"/>
        <v>1</v>
      </c>
      <c r="AA17" s="261">
        <f t="shared" si="3"/>
        <v>0.43280000000000002</v>
      </c>
      <c r="AB17" s="262" t="b">
        <f t="shared" si="4"/>
        <v>0</v>
      </c>
      <c r="AC17" s="262" t="b">
        <f t="shared" si="5"/>
        <v>1</v>
      </c>
    </row>
    <row r="18" spans="1:29" ht="30" customHeight="1" x14ac:dyDescent="0.25">
      <c r="A18" s="180">
        <v>16</v>
      </c>
      <c r="B18" s="180" t="s">
        <v>121</v>
      </c>
      <c r="C18" s="225" t="s">
        <v>85</v>
      </c>
      <c r="D18" s="192" t="s">
        <v>122</v>
      </c>
      <c r="E18" s="227" t="s">
        <v>123</v>
      </c>
      <c r="F18" s="193" t="s">
        <v>898</v>
      </c>
      <c r="G18" s="199" t="s">
        <v>55</v>
      </c>
      <c r="H18" s="201">
        <v>2.36</v>
      </c>
      <c r="I18" s="184" t="s">
        <v>124</v>
      </c>
      <c r="J18" s="196">
        <v>2991399.34</v>
      </c>
      <c r="K18" s="185">
        <f t="shared" ref="K18" si="8">ROUNDDOWN(J18*M18,2)</f>
        <v>1794839.6</v>
      </c>
      <c r="L18" s="179">
        <f t="shared" si="7"/>
        <v>1196559.7399999998</v>
      </c>
      <c r="M18" s="221">
        <v>0.6</v>
      </c>
      <c r="N18" s="176"/>
      <c r="O18" s="176"/>
      <c r="P18" s="177"/>
      <c r="Q18" s="177"/>
      <c r="R18" s="177"/>
      <c r="S18" s="179">
        <f>K18</f>
        <v>1794839.6</v>
      </c>
      <c r="T18" s="178"/>
      <c r="U18" s="178"/>
      <c r="V18" s="216"/>
      <c r="W18" s="216"/>
      <c r="X18" s="216"/>
      <c r="Y18" s="216"/>
      <c r="Z18" s="238" t="b">
        <f t="shared" si="2"/>
        <v>1</v>
      </c>
      <c r="AA18" s="261">
        <f t="shared" si="3"/>
        <v>0.6</v>
      </c>
      <c r="AB18" s="262" t="b">
        <f t="shared" si="4"/>
        <v>1</v>
      </c>
      <c r="AC18" s="262" t="b">
        <f t="shared" si="5"/>
        <v>1</v>
      </c>
    </row>
    <row r="19" spans="1:29" ht="51" customHeight="1" x14ac:dyDescent="0.25">
      <c r="A19" s="180">
        <v>17</v>
      </c>
      <c r="B19" s="180" t="s">
        <v>125</v>
      </c>
      <c r="C19" s="225" t="s">
        <v>85</v>
      </c>
      <c r="D19" s="182" t="s">
        <v>115</v>
      </c>
      <c r="E19" s="226" t="s">
        <v>59</v>
      </c>
      <c r="F19" s="180" t="s">
        <v>892</v>
      </c>
      <c r="G19" s="199" t="s">
        <v>61</v>
      </c>
      <c r="H19" s="201">
        <v>1.2909999999999999</v>
      </c>
      <c r="I19" s="184" t="s">
        <v>126</v>
      </c>
      <c r="J19" s="195">
        <v>1928799.88</v>
      </c>
      <c r="K19" s="185">
        <f>ROUNDDOWN(J19*M19,2)</f>
        <v>1350159.91</v>
      </c>
      <c r="L19" s="179">
        <f t="shared" si="7"/>
        <v>578639.97</v>
      </c>
      <c r="M19" s="221">
        <v>0.7</v>
      </c>
      <c r="N19" s="176"/>
      <c r="O19" s="176"/>
      <c r="P19" s="177"/>
      <c r="Q19" s="177"/>
      <c r="R19" s="177"/>
      <c r="S19" s="179">
        <f>K19</f>
        <v>1350159.91</v>
      </c>
      <c r="T19" s="178"/>
      <c r="U19" s="178"/>
      <c r="V19" s="216"/>
      <c r="W19" s="216"/>
      <c r="X19" s="216"/>
      <c r="Y19" s="216"/>
      <c r="Z19" s="238" t="b">
        <f t="shared" si="2"/>
        <v>1</v>
      </c>
      <c r="AA19" s="261">
        <f t="shared" si="3"/>
        <v>0.7</v>
      </c>
      <c r="AB19" s="262" t="b">
        <f t="shared" si="4"/>
        <v>1</v>
      </c>
      <c r="AC19" s="262" t="b">
        <f t="shared" si="5"/>
        <v>1</v>
      </c>
    </row>
    <row r="20" spans="1:29" ht="30" customHeight="1" x14ac:dyDescent="0.25">
      <c r="A20" s="180">
        <v>18</v>
      </c>
      <c r="B20" s="180" t="s">
        <v>127</v>
      </c>
      <c r="C20" s="225" t="s">
        <v>85</v>
      </c>
      <c r="D20" s="182" t="s">
        <v>128</v>
      </c>
      <c r="E20" s="226" t="s">
        <v>129</v>
      </c>
      <c r="F20" s="193" t="s">
        <v>130</v>
      </c>
      <c r="G20" s="199" t="s">
        <v>61</v>
      </c>
      <c r="H20" s="201">
        <v>1.2</v>
      </c>
      <c r="I20" s="184" t="s">
        <v>99</v>
      </c>
      <c r="J20" s="196">
        <v>1707113.5</v>
      </c>
      <c r="K20" s="185">
        <f>ROUNDDOWN(J20*M20,2)</f>
        <v>853556.75</v>
      </c>
      <c r="L20" s="179">
        <f t="shared" si="7"/>
        <v>853556.75</v>
      </c>
      <c r="M20" s="221">
        <v>0.5</v>
      </c>
      <c r="N20" s="176"/>
      <c r="O20" s="176"/>
      <c r="P20" s="177"/>
      <c r="Q20" s="177"/>
      <c r="R20" s="177"/>
      <c r="S20" s="179">
        <f>K20</f>
        <v>853556.75</v>
      </c>
      <c r="T20" s="178"/>
      <c r="U20" s="178"/>
      <c r="V20" s="216"/>
      <c r="W20" s="216"/>
      <c r="X20" s="216"/>
      <c r="Y20" s="216"/>
      <c r="Z20" s="238" t="b">
        <f t="shared" si="2"/>
        <v>1</v>
      </c>
      <c r="AA20" s="261">
        <f t="shared" si="3"/>
        <v>0.5</v>
      </c>
      <c r="AB20" s="262" t="b">
        <f t="shared" si="4"/>
        <v>1</v>
      </c>
      <c r="AC20" s="262" t="b">
        <f t="shared" si="5"/>
        <v>1</v>
      </c>
    </row>
    <row r="21" spans="1:29" ht="58.5" customHeight="1" x14ac:dyDescent="0.25">
      <c r="A21" s="186">
        <v>19</v>
      </c>
      <c r="B21" s="186" t="s">
        <v>131</v>
      </c>
      <c r="C21" s="202" t="s">
        <v>91</v>
      </c>
      <c r="D21" s="188" t="s">
        <v>132</v>
      </c>
      <c r="E21" s="169" t="s">
        <v>133</v>
      </c>
      <c r="F21" s="186" t="s">
        <v>134</v>
      </c>
      <c r="G21" s="198" t="s">
        <v>55</v>
      </c>
      <c r="H21" s="200">
        <v>0.64600000000000002</v>
      </c>
      <c r="I21" s="190" t="s">
        <v>135</v>
      </c>
      <c r="J21" s="197">
        <v>14361467.380000001</v>
      </c>
      <c r="K21" s="191">
        <f>ROUNDDOWN(J21*M21,2)</f>
        <v>11489173.9</v>
      </c>
      <c r="L21" s="178">
        <f t="shared" si="7"/>
        <v>2872293.4800000004</v>
      </c>
      <c r="M21" s="222">
        <v>0.8</v>
      </c>
      <c r="N21" s="176"/>
      <c r="O21" s="176"/>
      <c r="P21" s="177"/>
      <c r="Q21" s="177"/>
      <c r="R21" s="177"/>
      <c r="S21" s="178">
        <v>4472000</v>
      </c>
      <c r="T21" s="178">
        <v>7017173.9000000004</v>
      </c>
      <c r="U21" s="178"/>
      <c r="V21" s="216"/>
      <c r="W21" s="216"/>
      <c r="X21" s="216"/>
      <c r="Y21" s="216"/>
      <c r="Z21" s="238" t="b">
        <f t="shared" si="2"/>
        <v>1</v>
      </c>
      <c r="AA21" s="261">
        <f t="shared" si="3"/>
        <v>0.8</v>
      </c>
      <c r="AB21" s="262" t="b">
        <f t="shared" si="4"/>
        <v>1</v>
      </c>
      <c r="AC21" s="262" t="b">
        <f t="shared" si="5"/>
        <v>1</v>
      </c>
    </row>
    <row r="22" spans="1:29" ht="30" customHeight="1" x14ac:dyDescent="0.25">
      <c r="A22" s="180">
        <v>20</v>
      </c>
      <c r="B22" s="180" t="s">
        <v>136</v>
      </c>
      <c r="C22" s="225" t="s">
        <v>85</v>
      </c>
      <c r="D22" s="271" t="s">
        <v>137</v>
      </c>
      <c r="E22" s="272" t="s">
        <v>138</v>
      </c>
      <c r="F22" s="273" t="s">
        <v>139</v>
      </c>
      <c r="G22" s="199" t="s">
        <v>55</v>
      </c>
      <c r="H22" s="201">
        <v>1.8919999999999999</v>
      </c>
      <c r="I22" s="184" t="s">
        <v>140</v>
      </c>
      <c r="J22" s="274">
        <v>1714738.47</v>
      </c>
      <c r="K22" s="185">
        <f>ROUNDDOWN(J22*M22,2)</f>
        <v>1371790.77</v>
      </c>
      <c r="L22" s="179">
        <f t="shared" si="7"/>
        <v>342947.69999999995</v>
      </c>
      <c r="M22" s="221">
        <v>0.8</v>
      </c>
      <c r="N22" s="176"/>
      <c r="O22" s="176"/>
      <c r="P22" s="177"/>
      <c r="Q22" s="177"/>
      <c r="R22" s="177"/>
      <c r="S22" s="179">
        <f>K22</f>
        <v>1371790.77</v>
      </c>
      <c r="T22" s="178"/>
      <c r="U22" s="178"/>
      <c r="V22" s="216"/>
      <c r="W22" s="216"/>
      <c r="X22" s="216"/>
      <c r="Y22" s="216"/>
      <c r="Z22" s="238" t="b">
        <f t="shared" si="2"/>
        <v>1</v>
      </c>
      <c r="AA22" s="261">
        <f t="shared" si="3"/>
        <v>0.8</v>
      </c>
      <c r="AB22" s="262" t="b">
        <f t="shared" si="4"/>
        <v>1</v>
      </c>
      <c r="AC22" s="262" t="b">
        <f t="shared" si="5"/>
        <v>1</v>
      </c>
    </row>
    <row r="23" spans="1:29" ht="51" customHeight="1" x14ac:dyDescent="0.25">
      <c r="A23" s="180">
        <v>21</v>
      </c>
      <c r="B23" s="180" t="s">
        <v>141</v>
      </c>
      <c r="C23" s="225" t="s">
        <v>85</v>
      </c>
      <c r="D23" s="182" t="s">
        <v>142</v>
      </c>
      <c r="E23" s="226" t="s">
        <v>143</v>
      </c>
      <c r="F23" s="180" t="s">
        <v>144</v>
      </c>
      <c r="G23" s="199" t="s">
        <v>55</v>
      </c>
      <c r="H23" s="201">
        <v>2.23</v>
      </c>
      <c r="I23" s="184" t="s">
        <v>145</v>
      </c>
      <c r="J23" s="195">
        <v>2651897</v>
      </c>
      <c r="K23" s="185">
        <v>1591138.2</v>
      </c>
      <c r="L23" s="179">
        <v>1060758.8</v>
      </c>
      <c r="M23" s="221">
        <v>0.6</v>
      </c>
      <c r="N23" s="176"/>
      <c r="O23" s="176"/>
      <c r="P23" s="177"/>
      <c r="Q23" s="177"/>
      <c r="R23" s="177"/>
      <c r="S23" s="179">
        <v>1591138.2</v>
      </c>
      <c r="T23" s="178"/>
      <c r="U23" s="178"/>
      <c r="V23" s="216"/>
      <c r="W23" s="216"/>
      <c r="X23" s="216"/>
      <c r="Y23" s="216"/>
      <c r="Z23" s="238" t="b">
        <f t="shared" si="2"/>
        <v>1</v>
      </c>
      <c r="AA23" s="261">
        <f t="shared" si="3"/>
        <v>0.6</v>
      </c>
      <c r="AB23" s="262" t="b">
        <f t="shared" si="4"/>
        <v>1</v>
      </c>
      <c r="AC23" s="262" t="b">
        <f t="shared" si="5"/>
        <v>1</v>
      </c>
    </row>
    <row r="24" spans="1:29" ht="30" customHeight="1" x14ac:dyDescent="0.25">
      <c r="A24" s="180">
        <v>22</v>
      </c>
      <c r="B24" s="180" t="s">
        <v>146</v>
      </c>
      <c r="C24" s="225" t="s">
        <v>85</v>
      </c>
      <c r="D24" s="182" t="s">
        <v>147</v>
      </c>
      <c r="E24" s="226" t="s">
        <v>148</v>
      </c>
      <c r="F24" s="180" t="s">
        <v>884</v>
      </c>
      <c r="G24" s="199" t="s">
        <v>61</v>
      </c>
      <c r="H24" s="201">
        <v>1.88</v>
      </c>
      <c r="I24" s="184" t="s">
        <v>108</v>
      </c>
      <c r="J24" s="195">
        <v>3535740.64</v>
      </c>
      <c r="K24" s="185">
        <f>ROUNDDOWN(J24*M24,2)</f>
        <v>2828592.51</v>
      </c>
      <c r="L24" s="179">
        <f t="shared" ref="L24:L30" si="9">J24-K24</f>
        <v>707148.13000000035</v>
      </c>
      <c r="M24" s="221">
        <v>0.8</v>
      </c>
      <c r="N24" s="176"/>
      <c r="O24" s="176"/>
      <c r="P24" s="177"/>
      <c r="Q24" s="177"/>
      <c r="R24" s="177"/>
      <c r="S24" s="179">
        <f>K24</f>
        <v>2828592.51</v>
      </c>
      <c r="T24" s="178"/>
      <c r="U24" s="178"/>
      <c r="V24" s="216"/>
      <c r="W24" s="216"/>
      <c r="X24" s="216"/>
      <c r="Y24" s="216"/>
      <c r="Z24" s="238" t="b">
        <f t="shared" si="2"/>
        <v>1</v>
      </c>
      <c r="AA24" s="261">
        <f t="shared" si="3"/>
        <v>0.8</v>
      </c>
      <c r="AB24" s="262" t="b">
        <f t="shared" si="4"/>
        <v>1</v>
      </c>
      <c r="AC24" s="262" t="b">
        <f t="shared" si="5"/>
        <v>1</v>
      </c>
    </row>
    <row r="25" spans="1:29" ht="30" customHeight="1" x14ac:dyDescent="0.25">
      <c r="A25" s="180">
        <v>23</v>
      </c>
      <c r="B25" s="180" t="s">
        <v>149</v>
      </c>
      <c r="C25" s="225" t="s">
        <v>85</v>
      </c>
      <c r="D25" s="182" t="s">
        <v>150</v>
      </c>
      <c r="E25" s="226" t="s">
        <v>151</v>
      </c>
      <c r="F25" s="180" t="s">
        <v>152</v>
      </c>
      <c r="G25" s="199" t="s">
        <v>55</v>
      </c>
      <c r="H25" s="201">
        <v>0.78200000000000003</v>
      </c>
      <c r="I25" s="184" t="s">
        <v>89</v>
      </c>
      <c r="J25" s="195">
        <v>7932199.0700000003</v>
      </c>
      <c r="K25" s="185">
        <f>ROUNDDOWN(J25*M25,2)</f>
        <v>4759319.4400000004</v>
      </c>
      <c r="L25" s="179">
        <f t="shared" si="9"/>
        <v>3172879.63</v>
      </c>
      <c r="M25" s="221">
        <v>0.6</v>
      </c>
      <c r="N25" s="176"/>
      <c r="O25" s="176"/>
      <c r="P25" s="177"/>
      <c r="Q25" s="177"/>
      <c r="R25" s="177"/>
      <c r="S25" s="179">
        <v>4759319.4400000004</v>
      </c>
      <c r="T25" s="178"/>
      <c r="U25" s="178"/>
      <c r="V25" s="216"/>
      <c r="W25" s="216"/>
      <c r="X25" s="216"/>
      <c r="Y25" s="216"/>
      <c r="Z25" s="238" t="b">
        <f t="shared" si="2"/>
        <v>1</v>
      </c>
      <c r="AA25" s="261">
        <f t="shared" si="3"/>
        <v>0.6</v>
      </c>
      <c r="AB25" s="262" t="b">
        <f t="shared" si="4"/>
        <v>1</v>
      </c>
      <c r="AC25" s="262" t="b">
        <f t="shared" si="5"/>
        <v>1</v>
      </c>
    </row>
    <row r="26" spans="1:29" ht="60.75" customHeight="1" x14ac:dyDescent="0.25">
      <c r="A26" s="186">
        <v>24</v>
      </c>
      <c r="B26" s="186" t="s">
        <v>153</v>
      </c>
      <c r="C26" s="202" t="s">
        <v>91</v>
      </c>
      <c r="D26" s="188" t="s">
        <v>69</v>
      </c>
      <c r="E26" s="169" t="s">
        <v>70</v>
      </c>
      <c r="F26" s="186" t="s">
        <v>154</v>
      </c>
      <c r="G26" s="198" t="s">
        <v>82</v>
      </c>
      <c r="H26" s="200">
        <v>1.96</v>
      </c>
      <c r="I26" s="190" t="s">
        <v>155</v>
      </c>
      <c r="J26" s="197">
        <v>14133736</v>
      </c>
      <c r="K26" s="191">
        <v>6400692.5</v>
      </c>
      <c r="L26" s="178">
        <f t="shared" si="9"/>
        <v>7733043.5</v>
      </c>
      <c r="M26" s="222">
        <v>0.5</v>
      </c>
      <c r="N26" s="176"/>
      <c r="O26" s="176"/>
      <c r="P26" s="177"/>
      <c r="Q26" s="177"/>
      <c r="R26" s="177"/>
      <c r="S26" s="178">
        <v>1920208</v>
      </c>
      <c r="T26" s="178">
        <v>4480484.5</v>
      </c>
      <c r="U26" s="178"/>
      <c r="V26" s="216"/>
      <c r="W26" s="216"/>
      <c r="X26" s="216"/>
      <c r="Y26" s="216"/>
      <c r="Z26" s="238" t="b">
        <f t="shared" si="2"/>
        <v>1</v>
      </c>
      <c r="AA26" s="261">
        <f t="shared" si="3"/>
        <v>0.45290000000000002</v>
      </c>
      <c r="AB26" s="262" t="b">
        <f t="shared" si="4"/>
        <v>0</v>
      </c>
      <c r="AC26" s="262" t="b">
        <f t="shared" si="5"/>
        <v>1</v>
      </c>
    </row>
    <row r="27" spans="1:29" ht="30" customHeight="1" x14ac:dyDescent="0.25">
      <c r="A27" s="186">
        <v>25</v>
      </c>
      <c r="B27" s="186" t="s">
        <v>156</v>
      </c>
      <c r="C27" s="202" t="s">
        <v>91</v>
      </c>
      <c r="D27" s="188" t="s">
        <v>157</v>
      </c>
      <c r="E27" s="169" t="s">
        <v>158</v>
      </c>
      <c r="F27" s="186" t="s">
        <v>159</v>
      </c>
      <c r="G27" s="198" t="s">
        <v>55</v>
      </c>
      <c r="H27" s="200">
        <v>1.54</v>
      </c>
      <c r="I27" s="190" t="s">
        <v>160</v>
      </c>
      <c r="J27" s="197">
        <v>3000648.95</v>
      </c>
      <c r="K27" s="191">
        <v>1500324.47</v>
      </c>
      <c r="L27" s="178">
        <f t="shared" si="9"/>
        <v>1500324.4800000002</v>
      </c>
      <c r="M27" s="222">
        <v>0.5</v>
      </c>
      <c r="N27" s="176"/>
      <c r="O27" s="176"/>
      <c r="P27" s="177"/>
      <c r="Q27" s="177"/>
      <c r="R27" s="177"/>
      <c r="S27" s="178">
        <v>92250</v>
      </c>
      <c r="T27" s="178">
        <f>K27-S27</f>
        <v>1408074.47</v>
      </c>
      <c r="U27" s="178"/>
      <c r="V27" s="216"/>
      <c r="W27" s="216"/>
      <c r="X27" s="216"/>
      <c r="Y27" s="216"/>
      <c r="Z27" s="238" t="b">
        <f t="shared" si="2"/>
        <v>1</v>
      </c>
      <c r="AA27" s="261">
        <f t="shared" si="3"/>
        <v>0.5</v>
      </c>
      <c r="AB27" s="262" t="b">
        <f t="shared" si="4"/>
        <v>1</v>
      </c>
      <c r="AC27" s="262" t="b">
        <f t="shared" si="5"/>
        <v>1</v>
      </c>
    </row>
    <row r="28" spans="1:29" ht="30" customHeight="1" x14ac:dyDescent="0.25">
      <c r="A28" s="257">
        <v>26</v>
      </c>
      <c r="B28" s="186" t="s">
        <v>161</v>
      </c>
      <c r="C28" s="202" t="s">
        <v>91</v>
      </c>
      <c r="D28" s="188" t="s">
        <v>52</v>
      </c>
      <c r="E28" s="169" t="s">
        <v>53</v>
      </c>
      <c r="F28" s="186" t="s">
        <v>162</v>
      </c>
      <c r="G28" s="198" t="s">
        <v>55</v>
      </c>
      <c r="H28" s="200">
        <v>1.964</v>
      </c>
      <c r="I28" s="190" t="s">
        <v>163</v>
      </c>
      <c r="J28" s="197">
        <v>4477533.8899999997</v>
      </c>
      <c r="K28" s="191">
        <f t="shared" ref="K28:K29" si="10">ROUNDDOWN(J28*M28,2)</f>
        <v>3582027.11</v>
      </c>
      <c r="L28" s="178">
        <f>J28-K28</f>
        <v>895506.7799999998</v>
      </c>
      <c r="M28" s="222">
        <v>0.8</v>
      </c>
      <c r="N28" s="176"/>
      <c r="O28" s="176"/>
      <c r="P28" s="177"/>
      <c r="Q28" s="177"/>
      <c r="R28" s="177"/>
      <c r="S28" s="178">
        <v>727952</v>
      </c>
      <c r="T28" s="178">
        <v>2854075.11</v>
      </c>
      <c r="U28" s="178"/>
      <c r="V28" s="216"/>
      <c r="W28" s="216"/>
      <c r="X28" s="216"/>
      <c r="Y28" s="216"/>
      <c r="Z28" s="238" t="b">
        <f>K28=SUM(N28:Y28)</f>
        <v>1</v>
      </c>
      <c r="AA28" s="261">
        <f>ROUND(K28/J28,4)</f>
        <v>0.8</v>
      </c>
      <c r="AB28" s="262" t="b">
        <f t="shared" si="4"/>
        <v>1</v>
      </c>
      <c r="AC28" s="262" t="b">
        <f>J28=K28+L28</f>
        <v>1</v>
      </c>
    </row>
    <row r="29" spans="1:29" ht="30" customHeight="1" x14ac:dyDescent="0.25">
      <c r="A29" s="186">
        <v>27</v>
      </c>
      <c r="B29" s="186" t="s">
        <v>164</v>
      </c>
      <c r="C29" s="202" t="s">
        <v>91</v>
      </c>
      <c r="D29" s="188" t="s">
        <v>79</v>
      </c>
      <c r="E29" s="169" t="s">
        <v>80</v>
      </c>
      <c r="F29" s="186" t="s">
        <v>165</v>
      </c>
      <c r="G29" s="198" t="s">
        <v>55</v>
      </c>
      <c r="H29" s="200">
        <v>1.56</v>
      </c>
      <c r="I29" s="190" t="s">
        <v>166</v>
      </c>
      <c r="J29" s="197">
        <v>5912994.7699999996</v>
      </c>
      <c r="K29" s="191">
        <f t="shared" si="10"/>
        <v>3843446.6</v>
      </c>
      <c r="L29" s="178">
        <f>J29-K29</f>
        <v>2069548.1699999995</v>
      </c>
      <c r="M29" s="280">
        <v>0.65</v>
      </c>
      <c r="N29" s="176"/>
      <c r="O29" s="176"/>
      <c r="P29" s="177"/>
      <c r="Q29" s="177"/>
      <c r="R29" s="177"/>
      <c r="S29" s="178">
        <v>3843446.6</v>
      </c>
      <c r="T29" s="220">
        <v>0</v>
      </c>
      <c r="U29" s="178"/>
      <c r="V29" s="216"/>
      <c r="W29" s="216"/>
      <c r="X29" s="216"/>
      <c r="Y29" s="216"/>
      <c r="Z29" s="238" t="b">
        <f>K29=SUM(N29:Y29)</f>
        <v>1</v>
      </c>
      <c r="AA29" s="261">
        <f>ROUND(K29/J29,4)</f>
        <v>0.65</v>
      </c>
      <c r="AB29" s="262" t="b">
        <f t="shared" si="4"/>
        <v>1</v>
      </c>
      <c r="AC29" s="262" t="b">
        <f>J29=K29+L29</f>
        <v>1</v>
      </c>
    </row>
    <row r="30" spans="1:29" ht="30" customHeight="1" x14ac:dyDescent="0.25">
      <c r="A30" s="180">
        <v>28</v>
      </c>
      <c r="B30" s="180" t="s">
        <v>167</v>
      </c>
      <c r="C30" s="225" t="s">
        <v>85</v>
      </c>
      <c r="D30" s="182" t="s">
        <v>168</v>
      </c>
      <c r="E30" s="226" t="s">
        <v>169</v>
      </c>
      <c r="F30" s="180" t="s">
        <v>170</v>
      </c>
      <c r="G30" s="199" t="s">
        <v>61</v>
      </c>
      <c r="H30" s="201">
        <v>1.8</v>
      </c>
      <c r="I30" s="184" t="s">
        <v>171</v>
      </c>
      <c r="J30" s="195">
        <v>1491867</v>
      </c>
      <c r="K30" s="185">
        <f>ROUNDDOWN(J30*M30,2)</f>
        <v>745933.5</v>
      </c>
      <c r="L30" s="179">
        <f t="shared" si="9"/>
        <v>745933.5</v>
      </c>
      <c r="M30" s="223">
        <v>0.5</v>
      </c>
      <c r="N30" s="176"/>
      <c r="O30" s="176"/>
      <c r="P30" s="177"/>
      <c r="Q30" s="177"/>
      <c r="R30" s="177"/>
      <c r="S30" s="179">
        <f>K30</f>
        <v>745933.5</v>
      </c>
      <c r="T30" s="178"/>
      <c r="U30" s="178"/>
      <c r="V30" s="216"/>
      <c r="W30" s="216"/>
      <c r="X30" s="216"/>
      <c r="Y30" s="216"/>
      <c r="Z30" s="238" t="b">
        <f t="shared" si="2"/>
        <v>1</v>
      </c>
      <c r="AA30" s="261">
        <f t="shared" si="3"/>
        <v>0.5</v>
      </c>
      <c r="AB30" s="262" t="b">
        <f t="shared" si="4"/>
        <v>1</v>
      </c>
      <c r="AC30" s="262" t="b">
        <f t="shared" si="5"/>
        <v>1</v>
      </c>
    </row>
    <row r="31" spans="1:29" ht="57" customHeight="1" x14ac:dyDescent="0.25">
      <c r="A31" s="180">
        <v>29</v>
      </c>
      <c r="B31" s="180" t="s">
        <v>172</v>
      </c>
      <c r="C31" s="225" t="s">
        <v>85</v>
      </c>
      <c r="D31" s="182" t="s">
        <v>142</v>
      </c>
      <c r="E31" s="226" t="s">
        <v>143</v>
      </c>
      <c r="F31" s="180" t="s">
        <v>173</v>
      </c>
      <c r="G31" s="199" t="s">
        <v>55</v>
      </c>
      <c r="H31" s="201">
        <v>1.0449999999999999</v>
      </c>
      <c r="I31" s="184" t="s">
        <v>145</v>
      </c>
      <c r="J31" s="195">
        <v>3633792</v>
      </c>
      <c r="K31" s="185">
        <f t="shared" ref="K31:K32" si="11">ROUNDDOWN(J31*M31,2)</f>
        <v>2180275.2000000002</v>
      </c>
      <c r="L31" s="179">
        <v>1453516.7999999998</v>
      </c>
      <c r="M31" s="223">
        <v>0.6</v>
      </c>
      <c r="N31" s="176"/>
      <c r="O31" s="176"/>
      <c r="P31" s="177"/>
      <c r="Q31" s="177"/>
      <c r="R31" s="177"/>
      <c r="S31" s="179">
        <v>2180275.2000000002</v>
      </c>
      <c r="T31" s="178"/>
      <c r="U31" s="178"/>
      <c r="V31" s="216"/>
      <c r="W31" s="216"/>
      <c r="X31" s="216"/>
      <c r="Y31" s="216"/>
      <c r="Z31" s="238" t="b">
        <f t="shared" si="2"/>
        <v>1</v>
      </c>
      <c r="AA31" s="261">
        <f t="shared" si="3"/>
        <v>0.6</v>
      </c>
      <c r="AB31" s="262" t="b">
        <f t="shared" si="4"/>
        <v>1</v>
      </c>
      <c r="AC31" s="262" t="b">
        <f t="shared" si="5"/>
        <v>1</v>
      </c>
    </row>
    <row r="32" spans="1:29" ht="44.25" customHeight="1" x14ac:dyDescent="0.25">
      <c r="A32" s="257">
        <v>30</v>
      </c>
      <c r="B32" s="186" t="s">
        <v>174</v>
      </c>
      <c r="C32" s="202" t="s">
        <v>91</v>
      </c>
      <c r="D32" s="188" t="s">
        <v>175</v>
      </c>
      <c r="E32" s="169" t="s">
        <v>176</v>
      </c>
      <c r="F32" s="186" t="s">
        <v>177</v>
      </c>
      <c r="G32" s="198" t="s">
        <v>61</v>
      </c>
      <c r="H32" s="200">
        <v>5.9770000000000003</v>
      </c>
      <c r="I32" s="190" t="s">
        <v>178</v>
      </c>
      <c r="J32" s="197">
        <v>5809824</v>
      </c>
      <c r="K32" s="191">
        <f t="shared" si="11"/>
        <v>2904912</v>
      </c>
      <c r="L32" s="178">
        <f>J32-K32</f>
        <v>2904912</v>
      </c>
      <c r="M32" s="280">
        <v>0.5</v>
      </c>
      <c r="N32" s="176"/>
      <c r="O32" s="176"/>
      <c r="P32" s="177"/>
      <c r="Q32" s="177"/>
      <c r="R32" s="177"/>
      <c r="S32" s="178">
        <v>1722269</v>
      </c>
      <c r="T32" s="178">
        <v>1182643</v>
      </c>
      <c r="U32" s="178"/>
      <c r="V32" s="216"/>
      <c r="W32" s="216"/>
      <c r="X32" s="216"/>
      <c r="Y32" s="216"/>
      <c r="Z32" s="238" t="b">
        <f t="shared" si="2"/>
        <v>1</v>
      </c>
      <c r="AA32" s="261">
        <f t="shared" si="3"/>
        <v>0.5</v>
      </c>
      <c r="AB32" s="262" t="b">
        <f t="shared" si="4"/>
        <v>1</v>
      </c>
      <c r="AC32" s="262" t="b">
        <f t="shared" si="5"/>
        <v>1</v>
      </c>
    </row>
    <row r="33" spans="1:29" ht="30" customHeight="1" x14ac:dyDescent="0.25">
      <c r="A33" s="180">
        <v>31</v>
      </c>
      <c r="B33" s="180" t="s">
        <v>179</v>
      </c>
      <c r="C33" s="225" t="s">
        <v>85</v>
      </c>
      <c r="D33" s="182" t="s">
        <v>106</v>
      </c>
      <c r="E33" s="226" t="s">
        <v>65</v>
      </c>
      <c r="F33" s="180" t="s">
        <v>180</v>
      </c>
      <c r="G33" s="199" t="s">
        <v>55</v>
      </c>
      <c r="H33" s="201">
        <v>4.851</v>
      </c>
      <c r="I33" s="184" t="s">
        <v>181</v>
      </c>
      <c r="J33" s="195">
        <v>8141863</v>
      </c>
      <c r="K33" s="185">
        <v>5699304.0999999996</v>
      </c>
      <c r="L33" s="179">
        <v>2442558.9000000004</v>
      </c>
      <c r="M33" s="223">
        <v>0.7</v>
      </c>
      <c r="N33" s="176"/>
      <c r="O33" s="176"/>
      <c r="P33" s="177"/>
      <c r="Q33" s="177"/>
      <c r="R33" s="177"/>
      <c r="S33" s="179">
        <v>5699304.0999999996</v>
      </c>
      <c r="T33" s="178"/>
      <c r="U33" s="178"/>
      <c r="V33" s="216"/>
      <c r="W33" s="216"/>
      <c r="X33" s="216"/>
      <c r="Y33" s="216"/>
      <c r="Z33" s="238" t="b">
        <f t="shared" si="2"/>
        <v>1</v>
      </c>
      <c r="AA33" s="261">
        <f t="shared" si="3"/>
        <v>0.7</v>
      </c>
      <c r="AB33" s="262" t="b">
        <f t="shared" si="4"/>
        <v>1</v>
      </c>
      <c r="AC33" s="262" t="b">
        <f t="shared" si="5"/>
        <v>1</v>
      </c>
    </row>
    <row r="34" spans="1:29" ht="30" customHeight="1" x14ac:dyDescent="0.25">
      <c r="A34" s="180">
        <v>32</v>
      </c>
      <c r="B34" s="180" t="s">
        <v>182</v>
      </c>
      <c r="C34" s="225" t="s">
        <v>85</v>
      </c>
      <c r="D34" s="182" t="s">
        <v>183</v>
      </c>
      <c r="E34" s="226" t="s">
        <v>184</v>
      </c>
      <c r="F34" s="180" t="s">
        <v>185</v>
      </c>
      <c r="G34" s="199" t="s">
        <v>55</v>
      </c>
      <c r="H34" s="201">
        <v>1.2130000000000001</v>
      </c>
      <c r="I34" s="184" t="s">
        <v>186</v>
      </c>
      <c r="J34" s="195">
        <v>1230853.94</v>
      </c>
      <c r="K34" s="185">
        <f>ROUNDDOWN(J34*M34,2)</f>
        <v>615426.97</v>
      </c>
      <c r="L34" s="179">
        <f>J34-K34</f>
        <v>615426.97</v>
      </c>
      <c r="M34" s="223">
        <v>0.5</v>
      </c>
      <c r="N34" s="176"/>
      <c r="O34" s="176"/>
      <c r="P34" s="177"/>
      <c r="Q34" s="177"/>
      <c r="R34" s="177"/>
      <c r="S34" s="179">
        <f>K34</f>
        <v>615426.97</v>
      </c>
      <c r="T34" s="178"/>
      <c r="U34" s="178"/>
      <c r="V34" s="216"/>
      <c r="W34" s="216"/>
      <c r="X34" s="216"/>
      <c r="Y34" s="216"/>
      <c r="Z34" s="238" t="b">
        <f t="shared" si="2"/>
        <v>1</v>
      </c>
      <c r="AA34" s="261">
        <f t="shared" si="3"/>
        <v>0.5</v>
      </c>
      <c r="AB34" s="262" t="b">
        <f t="shared" si="4"/>
        <v>1</v>
      </c>
      <c r="AC34" s="262" t="b">
        <f t="shared" si="5"/>
        <v>1</v>
      </c>
    </row>
    <row r="35" spans="1:29" ht="30" customHeight="1" x14ac:dyDescent="0.25">
      <c r="A35" s="180">
        <v>33</v>
      </c>
      <c r="B35" s="180" t="s">
        <v>187</v>
      </c>
      <c r="C35" s="225" t="s">
        <v>85</v>
      </c>
      <c r="D35" s="182" t="s">
        <v>137</v>
      </c>
      <c r="E35" s="226" t="s">
        <v>138</v>
      </c>
      <c r="F35" s="180" t="s">
        <v>188</v>
      </c>
      <c r="G35" s="199" t="s">
        <v>55</v>
      </c>
      <c r="H35" s="201">
        <v>2.1589999999999998</v>
      </c>
      <c r="I35" s="184" t="s">
        <v>140</v>
      </c>
      <c r="J35" s="195">
        <v>2134934.6</v>
      </c>
      <c r="K35" s="185">
        <f>ROUNDDOWN(J35*M35,2)</f>
        <v>1707947.68</v>
      </c>
      <c r="L35" s="179">
        <f>J35-K35</f>
        <v>426986.92000000016</v>
      </c>
      <c r="M35" s="223">
        <v>0.8</v>
      </c>
      <c r="N35" s="176"/>
      <c r="O35" s="176"/>
      <c r="P35" s="177"/>
      <c r="Q35" s="177"/>
      <c r="R35" s="177"/>
      <c r="S35" s="179">
        <f>K35</f>
        <v>1707947.68</v>
      </c>
      <c r="T35" s="178"/>
      <c r="U35" s="178"/>
      <c r="V35" s="216"/>
      <c r="W35" s="216"/>
      <c r="X35" s="216"/>
      <c r="Y35" s="216"/>
      <c r="Z35" s="238" t="b">
        <f t="shared" si="2"/>
        <v>1</v>
      </c>
      <c r="AA35" s="261">
        <f t="shared" si="3"/>
        <v>0.8</v>
      </c>
      <c r="AB35" s="262" t="b">
        <f t="shared" si="4"/>
        <v>1</v>
      </c>
      <c r="AC35" s="262" t="b">
        <f t="shared" si="5"/>
        <v>1</v>
      </c>
    </row>
    <row r="36" spans="1:29" ht="75.75" customHeight="1" x14ac:dyDescent="0.25">
      <c r="A36" s="275">
        <v>34</v>
      </c>
      <c r="B36" s="180" t="s">
        <v>302</v>
      </c>
      <c r="C36" s="225" t="s">
        <v>85</v>
      </c>
      <c r="D36" s="182" t="s">
        <v>168</v>
      </c>
      <c r="E36" s="182" t="s">
        <v>169</v>
      </c>
      <c r="F36" s="180" t="s">
        <v>893</v>
      </c>
      <c r="G36" s="228" t="s">
        <v>55</v>
      </c>
      <c r="H36" s="229">
        <v>0.44600000000000001</v>
      </c>
      <c r="I36" s="184" t="s">
        <v>303</v>
      </c>
      <c r="J36" s="195">
        <v>1487685</v>
      </c>
      <c r="K36" s="185">
        <f>ROUNDDOWN(J36*M36,2)</f>
        <v>1190148</v>
      </c>
      <c r="L36" s="179">
        <f>J36-K36</f>
        <v>297537</v>
      </c>
      <c r="M36" s="224">
        <v>0.8</v>
      </c>
      <c r="N36" s="276"/>
      <c r="O36" s="276"/>
      <c r="P36" s="242"/>
      <c r="Q36" s="242"/>
      <c r="R36" s="242"/>
      <c r="S36" s="179">
        <f>K36</f>
        <v>1190148</v>
      </c>
      <c r="T36" s="178"/>
      <c r="U36" s="242"/>
      <c r="V36" s="242"/>
      <c r="W36" s="242"/>
      <c r="X36" s="242"/>
      <c r="Y36" s="242"/>
      <c r="Z36" s="238" t="b">
        <f t="shared" si="2"/>
        <v>1</v>
      </c>
      <c r="AA36" s="261">
        <f t="shared" si="3"/>
        <v>0.8</v>
      </c>
      <c r="AB36" s="262" t="b">
        <f t="shared" si="4"/>
        <v>1</v>
      </c>
      <c r="AC36" s="262" t="b">
        <f t="shared" si="5"/>
        <v>1</v>
      </c>
    </row>
    <row r="37" spans="1:29" ht="55.5" customHeight="1" x14ac:dyDescent="0.25">
      <c r="A37" s="257">
        <v>35</v>
      </c>
      <c r="B37" s="186" t="s">
        <v>189</v>
      </c>
      <c r="C37" s="202" t="s">
        <v>91</v>
      </c>
      <c r="D37" s="188" t="s">
        <v>74</v>
      </c>
      <c r="E37" s="188" t="s">
        <v>75</v>
      </c>
      <c r="F37" s="186" t="s">
        <v>190</v>
      </c>
      <c r="G37" s="168" t="s">
        <v>61</v>
      </c>
      <c r="H37" s="171">
        <v>19.504999999999999</v>
      </c>
      <c r="I37" s="190" t="s">
        <v>191</v>
      </c>
      <c r="J37" s="197">
        <v>60000000</v>
      </c>
      <c r="K37" s="191">
        <v>30000000</v>
      </c>
      <c r="L37" s="178">
        <v>30000000</v>
      </c>
      <c r="M37" s="175">
        <v>0.7</v>
      </c>
      <c r="N37" s="255"/>
      <c r="O37" s="255"/>
      <c r="P37" s="256"/>
      <c r="Q37" s="256"/>
      <c r="R37" s="256"/>
      <c r="S37" s="178">
        <v>4814974.03</v>
      </c>
      <c r="T37" s="220">
        <v>0</v>
      </c>
      <c r="U37" s="256">
        <v>7000000</v>
      </c>
      <c r="V37" s="256">
        <v>7000000</v>
      </c>
      <c r="W37" s="256">
        <v>7000000</v>
      </c>
      <c r="X37" s="256">
        <v>4185025.97</v>
      </c>
      <c r="Y37" s="242"/>
      <c r="Z37" s="238" t="b">
        <f t="shared" si="2"/>
        <v>1</v>
      </c>
      <c r="AA37" s="261">
        <f t="shared" si="3"/>
        <v>0.5</v>
      </c>
      <c r="AB37" s="262" t="b">
        <f t="shared" si="4"/>
        <v>0</v>
      </c>
      <c r="AC37" s="262" t="b">
        <f t="shared" si="5"/>
        <v>1</v>
      </c>
    </row>
    <row r="38" spans="1:29" ht="55.5" customHeight="1" x14ac:dyDescent="0.25">
      <c r="A38" s="275">
        <v>36</v>
      </c>
      <c r="B38" s="180" t="s">
        <v>283</v>
      </c>
      <c r="C38" s="225" t="s">
        <v>85</v>
      </c>
      <c r="D38" s="182" t="s">
        <v>284</v>
      </c>
      <c r="E38" s="182" t="s">
        <v>285</v>
      </c>
      <c r="F38" s="180" t="s">
        <v>286</v>
      </c>
      <c r="G38" s="228" t="s">
        <v>61</v>
      </c>
      <c r="H38" s="229">
        <v>2.06</v>
      </c>
      <c r="I38" s="184" t="s">
        <v>186</v>
      </c>
      <c r="J38" s="195">
        <v>1309625.8799999999</v>
      </c>
      <c r="K38" s="185">
        <f t="shared" ref="K38:K39" si="12">ROUNDDOWN(J38*M38,2)</f>
        <v>916738.11</v>
      </c>
      <c r="L38" s="179">
        <f>J38-K38</f>
        <v>392887.7699999999</v>
      </c>
      <c r="M38" s="224">
        <v>0.7</v>
      </c>
      <c r="N38" s="276"/>
      <c r="O38" s="276"/>
      <c r="P38" s="242"/>
      <c r="Q38" s="242"/>
      <c r="R38" s="242"/>
      <c r="S38" s="179">
        <f>K38</f>
        <v>916738.11</v>
      </c>
      <c r="T38" s="179"/>
      <c r="U38" s="242"/>
      <c r="V38" s="256"/>
      <c r="W38" s="256"/>
      <c r="X38" s="256"/>
      <c r="Y38" s="242"/>
      <c r="Z38" s="238" t="b">
        <f t="shared" si="2"/>
        <v>1</v>
      </c>
      <c r="AA38" s="261">
        <f t="shared" si="3"/>
        <v>0.7</v>
      </c>
      <c r="AB38" s="262" t="b">
        <f t="shared" si="4"/>
        <v>1</v>
      </c>
      <c r="AC38" s="262" t="b">
        <f t="shared" si="5"/>
        <v>1</v>
      </c>
    </row>
    <row r="39" spans="1:29" ht="55.5" customHeight="1" x14ac:dyDescent="0.25">
      <c r="A39" s="275">
        <v>37</v>
      </c>
      <c r="B39" s="180" t="s">
        <v>287</v>
      </c>
      <c r="C39" s="225" t="s">
        <v>85</v>
      </c>
      <c r="D39" s="182" t="s">
        <v>288</v>
      </c>
      <c r="E39" s="182" t="s">
        <v>289</v>
      </c>
      <c r="F39" s="180" t="s">
        <v>290</v>
      </c>
      <c r="G39" s="228" t="s">
        <v>55</v>
      </c>
      <c r="H39" s="229">
        <v>0.435</v>
      </c>
      <c r="I39" s="184" t="s">
        <v>89</v>
      </c>
      <c r="J39" s="195">
        <v>3757306.75</v>
      </c>
      <c r="K39" s="185">
        <f t="shared" si="12"/>
        <v>3005845.4</v>
      </c>
      <c r="L39" s="179">
        <f>J39-K39</f>
        <v>751461.35000000009</v>
      </c>
      <c r="M39" s="224">
        <v>0.8</v>
      </c>
      <c r="N39" s="276"/>
      <c r="O39" s="276"/>
      <c r="P39" s="242"/>
      <c r="Q39" s="242"/>
      <c r="R39" s="242"/>
      <c r="S39" s="179">
        <f>K39</f>
        <v>3005845.4</v>
      </c>
      <c r="T39" s="179"/>
      <c r="U39" s="242"/>
      <c r="V39" s="256"/>
      <c r="W39" s="256"/>
      <c r="X39" s="256"/>
      <c r="Y39" s="242"/>
      <c r="Z39" s="238" t="b">
        <f t="shared" si="2"/>
        <v>1</v>
      </c>
      <c r="AA39" s="261">
        <f t="shared" si="3"/>
        <v>0.8</v>
      </c>
      <c r="AB39" s="262" t="b">
        <f t="shared" si="4"/>
        <v>1</v>
      </c>
      <c r="AC39" s="262" t="b">
        <f t="shared" si="5"/>
        <v>1</v>
      </c>
    </row>
    <row r="40" spans="1:29" ht="39.75" customHeight="1" x14ac:dyDescent="0.25">
      <c r="A40" s="257">
        <v>38</v>
      </c>
      <c r="B40" s="186" t="s">
        <v>903</v>
      </c>
      <c r="C40" s="202"/>
      <c r="D40" s="188" t="s">
        <v>69</v>
      </c>
      <c r="E40" s="188" t="s">
        <v>70</v>
      </c>
      <c r="F40" s="186" t="s">
        <v>291</v>
      </c>
      <c r="G40" s="168" t="s">
        <v>55</v>
      </c>
      <c r="H40" s="171">
        <v>0</v>
      </c>
      <c r="I40" s="190" t="s">
        <v>292</v>
      </c>
      <c r="J40" s="197"/>
      <c r="K40" s="191"/>
      <c r="L40" s="178"/>
      <c r="M40" s="175">
        <v>0.5</v>
      </c>
      <c r="N40" s="255"/>
      <c r="O40" s="255"/>
      <c r="P40" s="256"/>
      <c r="Q40" s="256"/>
      <c r="R40" s="256"/>
      <c r="S40" s="178"/>
      <c r="T40" s="178"/>
      <c r="U40" s="242"/>
      <c r="V40" s="256"/>
      <c r="W40" s="256"/>
      <c r="X40" s="256"/>
      <c r="Y40" s="242"/>
      <c r="Z40" s="238" t="b">
        <f t="shared" si="2"/>
        <v>1</v>
      </c>
      <c r="AA40" s="261" t="e">
        <f t="shared" si="3"/>
        <v>#DIV/0!</v>
      </c>
      <c r="AB40" s="262" t="e">
        <f t="shared" si="4"/>
        <v>#DIV/0!</v>
      </c>
      <c r="AC40" s="262" t="b">
        <f t="shared" si="5"/>
        <v>1</v>
      </c>
    </row>
    <row r="41" spans="1:29" ht="39.75" customHeight="1" x14ac:dyDescent="0.25">
      <c r="A41" s="275">
        <v>39</v>
      </c>
      <c r="B41" s="180" t="s">
        <v>293</v>
      </c>
      <c r="C41" s="225" t="s">
        <v>85</v>
      </c>
      <c r="D41" s="182" t="s">
        <v>288</v>
      </c>
      <c r="E41" s="182" t="s">
        <v>289</v>
      </c>
      <c r="F41" s="180" t="s">
        <v>906</v>
      </c>
      <c r="G41" s="228" t="s">
        <v>55</v>
      </c>
      <c r="H41" s="229">
        <v>2.87</v>
      </c>
      <c r="I41" s="184" t="s">
        <v>89</v>
      </c>
      <c r="J41" s="195">
        <v>5317624</v>
      </c>
      <c r="K41" s="185">
        <f>J41*M41</f>
        <v>4254099.2</v>
      </c>
      <c r="L41" s="179">
        <f>J41-K41</f>
        <v>1063524.7999999998</v>
      </c>
      <c r="M41" s="224">
        <v>0.8</v>
      </c>
      <c r="N41" s="276"/>
      <c r="O41" s="276"/>
      <c r="P41" s="242"/>
      <c r="Q41" s="242"/>
      <c r="R41" s="242"/>
      <c r="S41" s="179">
        <f>K41</f>
        <v>4254099.2</v>
      </c>
      <c r="T41" s="178"/>
      <c r="U41" s="242"/>
      <c r="V41" s="256"/>
      <c r="W41" s="256"/>
      <c r="X41" s="256"/>
      <c r="Y41" s="242"/>
      <c r="Z41" s="238" t="b">
        <f t="shared" si="2"/>
        <v>1</v>
      </c>
      <c r="AA41" s="261">
        <f t="shared" si="3"/>
        <v>0.8</v>
      </c>
      <c r="AB41" s="262" t="b">
        <f t="shared" si="4"/>
        <v>1</v>
      </c>
      <c r="AC41" s="262" t="b">
        <f t="shared" si="5"/>
        <v>1</v>
      </c>
    </row>
    <row r="42" spans="1:29" s="269" customFormat="1" ht="39.75" customHeight="1" x14ac:dyDescent="0.25">
      <c r="A42" s="275">
        <v>40</v>
      </c>
      <c r="B42" s="180" t="s">
        <v>915</v>
      </c>
      <c r="C42" s="225" t="s">
        <v>85</v>
      </c>
      <c r="D42" s="182" t="s">
        <v>175</v>
      </c>
      <c r="E42" s="182" t="s">
        <v>176</v>
      </c>
      <c r="F42" s="180" t="s">
        <v>294</v>
      </c>
      <c r="G42" s="228" t="s">
        <v>55</v>
      </c>
      <c r="H42" s="229">
        <v>0</v>
      </c>
      <c r="I42" s="184" t="s">
        <v>108</v>
      </c>
      <c r="J42" s="195"/>
      <c r="K42" s="185"/>
      <c r="L42" s="179"/>
      <c r="M42" s="224">
        <v>0.5</v>
      </c>
      <c r="N42" s="276"/>
      <c r="O42" s="276"/>
      <c r="P42" s="242"/>
      <c r="Q42" s="242"/>
      <c r="R42" s="242"/>
      <c r="S42" s="179"/>
      <c r="T42" s="179"/>
      <c r="U42" s="242"/>
      <c r="V42" s="242"/>
      <c r="W42" s="242"/>
      <c r="X42" s="242"/>
      <c r="Y42" s="242"/>
      <c r="Z42" s="238" t="b">
        <f t="shared" si="2"/>
        <v>1</v>
      </c>
      <c r="AA42" s="261" t="e">
        <f t="shared" si="3"/>
        <v>#DIV/0!</v>
      </c>
      <c r="AB42" s="262" t="e">
        <f t="shared" si="4"/>
        <v>#DIV/0!</v>
      </c>
      <c r="AC42" s="262" t="b">
        <f t="shared" si="5"/>
        <v>1</v>
      </c>
    </row>
    <row r="43" spans="1:29" s="269" customFormat="1" ht="39.75" customHeight="1" x14ac:dyDescent="0.25">
      <c r="A43" s="257">
        <v>41</v>
      </c>
      <c r="B43" s="186" t="s">
        <v>916</v>
      </c>
      <c r="C43" s="202" t="s">
        <v>91</v>
      </c>
      <c r="D43" s="188" t="s">
        <v>110</v>
      </c>
      <c r="E43" s="188" t="s">
        <v>111</v>
      </c>
      <c r="F43" s="186" t="s">
        <v>295</v>
      </c>
      <c r="G43" s="168" t="s">
        <v>55</v>
      </c>
      <c r="H43" s="171">
        <v>0</v>
      </c>
      <c r="I43" s="190" t="s">
        <v>178</v>
      </c>
      <c r="J43" s="197"/>
      <c r="K43" s="191"/>
      <c r="L43" s="178"/>
      <c r="M43" s="175">
        <v>0.5</v>
      </c>
      <c r="N43" s="276"/>
      <c r="O43" s="276"/>
      <c r="P43" s="242"/>
      <c r="Q43" s="242"/>
      <c r="R43" s="242"/>
      <c r="S43" s="179"/>
      <c r="T43" s="179"/>
      <c r="U43" s="242"/>
      <c r="V43" s="242"/>
      <c r="W43" s="242"/>
      <c r="X43" s="242"/>
      <c r="Y43" s="242"/>
      <c r="Z43" s="238" t="b">
        <f t="shared" si="2"/>
        <v>1</v>
      </c>
      <c r="AA43" s="261" t="e">
        <f t="shared" si="3"/>
        <v>#DIV/0!</v>
      </c>
      <c r="AB43" s="262" t="e">
        <f t="shared" si="4"/>
        <v>#DIV/0!</v>
      </c>
      <c r="AC43" s="262" t="b">
        <f t="shared" si="5"/>
        <v>1</v>
      </c>
    </row>
    <row r="44" spans="1:29" s="269" customFormat="1" ht="39.75" customHeight="1" x14ac:dyDescent="0.25">
      <c r="A44" s="275">
        <v>42</v>
      </c>
      <c r="B44" s="180" t="s">
        <v>917</v>
      </c>
      <c r="C44" s="225" t="s">
        <v>85</v>
      </c>
      <c r="D44" s="182" t="s">
        <v>284</v>
      </c>
      <c r="E44" s="182" t="s">
        <v>285</v>
      </c>
      <c r="F44" s="180" t="s">
        <v>296</v>
      </c>
      <c r="G44" s="228" t="s">
        <v>55</v>
      </c>
      <c r="H44" s="229">
        <v>0</v>
      </c>
      <c r="I44" s="184" t="s">
        <v>297</v>
      </c>
      <c r="J44" s="195"/>
      <c r="K44" s="185"/>
      <c r="L44" s="179"/>
      <c r="M44" s="224">
        <v>0.7</v>
      </c>
      <c r="N44" s="276"/>
      <c r="O44" s="276"/>
      <c r="P44" s="242"/>
      <c r="Q44" s="242"/>
      <c r="R44" s="242"/>
      <c r="S44" s="179"/>
      <c r="T44" s="179"/>
      <c r="U44" s="242"/>
      <c r="V44" s="242"/>
      <c r="W44" s="242"/>
      <c r="X44" s="242"/>
      <c r="Y44" s="242"/>
      <c r="Z44" s="238" t="b">
        <f t="shared" si="2"/>
        <v>1</v>
      </c>
      <c r="AA44" s="261" t="e">
        <f t="shared" si="3"/>
        <v>#DIV/0!</v>
      </c>
      <c r="AB44" s="262" t="e">
        <f t="shared" si="4"/>
        <v>#DIV/0!</v>
      </c>
      <c r="AC44" s="262" t="b">
        <f t="shared" si="5"/>
        <v>1</v>
      </c>
    </row>
    <row r="45" spans="1:29" s="279" customFormat="1" ht="32.25" customHeight="1" x14ac:dyDescent="0.25">
      <c r="A45" s="275">
        <v>43</v>
      </c>
      <c r="B45" s="180" t="s">
        <v>918</v>
      </c>
      <c r="C45" s="225" t="s">
        <v>85</v>
      </c>
      <c r="D45" s="182" t="s">
        <v>298</v>
      </c>
      <c r="E45" s="182" t="s">
        <v>299</v>
      </c>
      <c r="F45" s="180" t="s">
        <v>300</v>
      </c>
      <c r="G45" s="228" t="s">
        <v>55</v>
      </c>
      <c r="H45" s="229">
        <v>0</v>
      </c>
      <c r="I45" s="184" t="s">
        <v>301</v>
      </c>
      <c r="J45" s="195"/>
      <c r="K45" s="185"/>
      <c r="L45" s="179"/>
      <c r="M45" s="224">
        <v>0.5</v>
      </c>
      <c r="N45" s="255"/>
      <c r="O45" s="255"/>
      <c r="P45" s="256"/>
      <c r="Q45" s="256"/>
      <c r="R45" s="256"/>
      <c r="S45" s="178"/>
      <c r="T45" s="178"/>
      <c r="U45" s="178"/>
      <c r="V45" s="178"/>
      <c r="W45" s="178"/>
      <c r="X45" s="178"/>
      <c r="Y45" s="248"/>
      <c r="Z45" s="238" t="b">
        <f t="shared" si="2"/>
        <v>1</v>
      </c>
      <c r="AA45" s="261" t="e">
        <f t="shared" si="3"/>
        <v>#DIV/0!</v>
      </c>
      <c r="AB45" s="262" t="e">
        <f t="shared" si="4"/>
        <v>#DIV/0!</v>
      </c>
      <c r="AC45" s="262" t="b">
        <f t="shared" si="5"/>
        <v>1</v>
      </c>
    </row>
    <row r="46" spans="1:29" ht="20.100000000000001" customHeight="1" x14ac:dyDescent="0.25">
      <c r="A46" s="306" t="s">
        <v>45</v>
      </c>
      <c r="B46" s="306"/>
      <c r="C46" s="306"/>
      <c r="D46" s="306"/>
      <c r="E46" s="306"/>
      <c r="F46" s="306"/>
      <c r="G46" s="306"/>
      <c r="H46" s="48">
        <f>SUM(H3:H45)</f>
        <v>82.305000000000007</v>
      </c>
      <c r="I46" s="232" t="s">
        <v>14</v>
      </c>
      <c r="J46" s="233">
        <f>SUM(J3:J45)</f>
        <v>227986744.33999994</v>
      </c>
      <c r="K46" s="233">
        <f>SUM(K3:K45)</f>
        <v>135340089.502</v>
      </c>
      <c r="L46" s="233">
        <f>SUM(L3:L45)</f>
        <v>92646654.837999985</v>
      </c>
      <c r="M46" s="52" t="s">
        <v>14</v>
      </c>
      <c r="N46" s="233">
        <f t="shared" ref="N46:Y46" si="13">SUM(N3:N45)</f>
        <v>0</v>
      </c>
      <c r="O46" s="233">
        <f t="shared" si="13"/>
        <v>0</v>
      </c>
      <c r="P46" s="212">
        <f t="shared" si="13"/>
        <v>0</v>
      </c>
      <c r="Q46" s="212">
        <f t="shared" si="13"/>
        <v>0</v>
      </c>
      <c r="R46" s="212">
        <f t="shared" si="13"/>
        <v>7444540.8200000003</v>
      </c>
      <c r="S46" s="212">
        <f t="shared" si="13"/>
        <v>74065301.071999997</v>
      </c>
      <c r="T46" s="212">
        <f t="shared" si="13"/>
        <v>25324661.640000001</v>
      </c>
      <c r="U46" s="212">
        <f t="shared" si="13"/>
        <v>10320560</v>
      </c>
      <c r="V46" s="212">
        <f t="shared" si="13"/>
        <v>7000000</v>
      </c>
      <c r="W46" s="212">
        <f t="shared" si="13"/>
        <v>7000000</v>
      </c>
      <c r="X46" s="212">
        <f t="shared" si="13"/>
        <v>4185025.97</v>
      </c>
      <c r="Y46" s="212">
        <f t="shared" si="13"/>
        <v>0</v>
      </c>
      <c r="Z46" s="238" t="b">
        <f>K47=SUM(N47:Y47)</f>
        <v>1</v>
      </c>
      <c r="AA46" s="261">
        <f t="shared" ref="AA46" si="14">ROUND(K47/J47,4)</f>
        <v>0.52310000000000001</v>
      </c>
      <c r="AB46" s="262" t="s">
        <v>14</v>
      </c>
      <c r="AC46" s="262" t="b">
        <f t="shared" ref="AC46" si="15">J47=K47+L47</f>
        <v>1</v>
      </c>
    </row>
    <row r="47" spans="1:29" ht="20.100000000000001" customHeight="1" x14ac:dyDescent="0.25">
      <c r="A47" s="305" t="s">
        <v>38</v>
      </c>
      <c r="B47" s="305"/>
      <c r="C47" s="305"/>
      <c r="D47" s="305"/>
      <c r="E47" s="305"/>
      <c r="F47" s="305"/>
      <c r="G47" s="305"/>
      <c r="H47" s="53">
        <f>SUMIF($C$3:$C$45,"K",H3:H45)</f>
        <v>10.699</v>
      </c>
      <c r="I47" s="254" t="s">
        <v>14</v>
      </c>
      <c r="J47" s="235">
        <f>SUMIF($C$3:$C$45,"K",J3:J45)</f>
        <v>37529570.329999998</v>
      </c>
      <c r="K47" s="235">
        <f>SUMIF($C$3:$C$45,"K",K3:K45)</f>
        <v>19632660.359999999</v>
      </c>
      <c r="L47" s="235">
        <f>SUMIF($C$3:$C$45,"K",L3:L45)</f>
        <v>17896909.969999999</v>
      </c>
      <c r="M47" s="57" t="s">
        <v>14</v>
      </c>
      <c r="N47" s="235">
        <f t="shared" ref="N47:Y47" si="16">SUMIF($C$3:$C$45,"K",N3:N45)</f>
        <v>0</v>
      </c>
      <c r="O47" s="235">
        <f t="shared" si="16"/>
        <v>0</v>
      </c>
      <c r="P47" s="213">
        <f t="shared" si="16"/>
        <v>0</v>
      </c>
      <c r="Q47" s="213">
        <f t="shared" si="16"/>
        <v>0</v>
      </c>
      <c r="R47" s="213">
        <f t="shared" si="16"/>
        <v>7444540.8200000003</v>
      </c>
      <c r="S47" s="213">
        <f t="shared" si="16"/>
        <v>10317067.039999999</v>
      </c>
      <c r="T47" s="213">
        <f t="shared" si="16"/>
        <v>1871052.5</v>
      </c>
      <c r="U47" s="213">
        <f t="shared" si="16"/>
        <v>0</v>
      </c>
      <c r="V47" s="213">
        <f t="shared" si="16"/>
        <v>0</v>
      </c>
      <c r="W47" s="213">
        <f t="shared" si="16"/>
        <v>0</v>
      </c>
      <c r="X47" s="213">
        <f t="shared" si="16"/>
        <v>0</v>
      </c>
      <c r="Y47" s="213">
        <f t="shared" si="16"/>
        <v>0</v>
      </c>
      <c r="Z47" s="238" t="b">
        <f>K48=SUM(N48:Y48)</f>
        <v>1</v>
      </c>
      <c r="AA47" s="261">
        <f>ROUND(K48/J48,4)</f>
        <v>0.65249999999999997</v>
      </c>
      <c r="AB47" s="262" t="s">
        <v>14</v>
      </c>
      <c r="AC47" s="262" t="b">
        <f>J48=K48+L48</f>
        <v>1</v>
      </c>
    </row>
    <row r="48" spans="1:29" ht="20.100000000000001" customHeight="1" x14ac:dyDescent="0.25">
      <c r="A48" s="306" t="s">
        <v>39</v>
      </c>
      <c r="B48" s="306"/>
      <c r="C48" s="306"/>
      <c r="D48" s="306"/>
      <c r="E48" s="306"/>
      <c r="F48" s="306"/>
      <c r="G48" s="306"/>
      <c r="H48" s="48">
        <f>SUMIF($C$3:$C$45,"N",H3:H45)</f>
        <v>34.704000000000001</v>
      </c>
      <c r="I48" s="232" t="s">
        <v>14</v>
      </c>
      <c r="J48" s="233">
        <f>SUMIF($C$3:$C$45,"N",J3:J45)</f>
        <v>69284418.310000002</v>
      </c>
      <c r="K48" s="233">
        <f>SUMIF($C$3:$C$45,"N",K3:K45)</f>
        <v>45205612.002000004</v>
      </c>
      <c r="L48" s="233">
        <f>SUMIF($C$3:$C$45,"N",L3:L45)</f>
        <v>24078806.308000006</v>
      </c>
      <c r="M48" s="52" t="s">
        <v>14</v>
      </c>
      <c r="N48" s="233">
        <f t="shared" ref="N48:Y48" si="17">SUMIF($C$3:$C$45,"N",N3:N45)</f>
        <v>0</v>
      </c>
      <c r="O48" s="233">
        <f t="shared" si="17"/>
        <v>0</v>
      </c>
      <c r="P48" s="212">
        <f t="shared" si="17"/>
        <v>0</v>
      </c>
      <c r="Q48" s="212">
        <f t="shared" si="17"/>
        <v>0</v>
      </c>
      <c r="R48" s="212">
        <f t="shared" si="17"/>
        <v>0</v>
      </c>
      <c r="S48" s="212">
        <f t="shared" si="17"/>
        <v>45205612.002000004</v>
      </c>
      <c r="T48" s="212">
        <f t="shared" si="17"/>
        <v>0</v>
      </c>
      <c r="U48" s="212">
        <f t="shared" si="17"/>
        <v>0</v>
      </c>
      <c r="V48" s="212">
        <f t="shared" si="17"/>
        <v>0</v>
      </c>
      <c r="W48" s="212">
        <f t="shared" si="17"/>
        <v>0</v>
      </c>
      <c r="X48" s="212">
        <f t="shared" si="17"/>
        <v>0</v>
      </c>
      <c r="Y48" s="212">
        <f t="shared" si="17"/>
        <v>0</v>
      </c>
      <c r="Z48" s="238" t="b">
        <f>K49=SUM(N49:Y49)</f>
        <v>1</v>
      </c>
      <c r="AA48" s="261">
        <f t="shared" ref="AA48" si="18">ROUND(K49/J49,4)</f>
        <v>0.58179999999999998</v>
      </c>
      <c r="AB48" s="262" t="s">
        <v>14</v>
      </c>
      <c r="AC48" s="262" t="b">
        <f t="shared" ref="AC48" si="19">J49=K49+L49</f>
        <v>1</v>
      </c>
    </row>
    <row r="49" spans="1:29" x14ac:dyDescent="0.25">
      <c r="A49" s="305" t="s">
        <v>40</v>
      </c>
      <c r="B49" s="305"/>
      <c r="C49" s="305"/>
      <c r="D49" s="305"/>
      <c r="E49" s="305"/>
      <c r="F49" s="305"/>
      <c r="G49" s="305"/>
      <c r="H49" s="53">
        <f>SUMIF($C$3:$C$45,"W",H3:H45)</f>
        <v>36.902000000000001</v>
      </c>
      <c r="I49" s="254" t="s">
        <v>14</v>
      </c>
      <c r="J49" s="235">
        <f>SUMIF($C$3:$C$45,"W",J3:J45)</f>
        <v>121172755.7</v>
      </c>
      <c r="K49" s="235">
        <f>SUMIF($C$3:$C$45,"W",K3:K45)</f>
        <v>70501817.140000001</v>
      </c>
      <c r="L49" s="235">
        <f>SUMIF($C$3:$C$45,"W",L3:L45)</f>
        <v>50670938.560000002</v>
      </c>
      <c r="M49" s="57" t="s">
        <v>14</v>
      </c>
      <c r="N49" s="235">
        <f t="shared" ref="N49:Y49" si="20">SUMIF($C$3:$C$45,"W",N3:N45)</f>
        <v>0</v>
      </c>
      <c r="O49" s="235">
        <f t="shared" si="20"/>
        <v>0</v>
      </c>
      <c r="P49" s="213">
        <f t="shared" si="20"/>
        <v>0</v>
      </c>
      <c r="Q49" s="213">
        <f t="shared" si="20"/>
        <v>0</v>
      </c>
      <c r="R49" s="213">
        <f t="shared" si="20"/>
        <v>0</v>
      </c>
      <c r="S49" s="213">
        <f t="shared" si="20"/>
        <v>18542622.030000001</v>
      </c>
      <c r="T49" s="213">
        <f t="shared" si="20"/>
        <v>23453609.140000001</v>
      </c>
      <c r="U49" s="213">
        <f t="shared" si="20"/>
        <v>10320560</v>
      </c>
      <c r="V49" s="213">
        <f t="shared" si="20"/>
        <v>7000000</v>
      </c>
      <c r="W49" s="213">
        <f t="shared" si="20"/>
        <v>7000000</v>
      </c>
      <c r="X49" s="213">
        <f t="shared" si="20"/>
        <v>4185025.97</v>
      </c>
      <c r="Y49" s="213">
        <f t="shared" si="20"/>
        <v>0</v>
      </c>
    </row>
    <row r="50" spans="1:29" x14ac:dyDescent="0.25">
      <c r="A50" s="243"/>
      <c r="B50" s="243"/>
      <c r="C50" s="243"/>
      <c r="D50" s="243"/>
      <c r="E50" s="243"/>
      <c r="F50" s="243"/>
      <c r="G50" s="243"/>
      <c r="M50" s="210"/>
      <c r="N50" s="238"/>
      <c r="S50" s="258"/>
      <c r="T50" s="258"/>
      <c r="Z50" s="238"/>
      <c r="AC50" s="262"/>
    </row>
    <row r="51" spans="1:29" x14ac:dyDescent="0.25">
      <c r="A51" s="239" t="s">
        <v>25</v>
      </c>
      <c r="B51" s="239"/>
      <c r="C51" s="239"/>
      <c r="D51" s="239"/>
      <c r="E51" s="239"/>
      <c r="F51" s="239"/>
      <c r="G51" s="239"/>
      <c r="H51" s="217"/>
      <c r="I51" s="217"/>
      <c r="J51" s="244"/>
      <c r="K51" s="217"/>
      <c r="L51" s="217"/>
      <c r="M51" s="217"/>
      <c r="N51" s="238"/>
      <c r="O51" s="217"/>
      <c r="P51" s="217"/>
      <c r="Q51" s="217"/>
      <c r="R51" s="217"/>
      <c r="S51" s="246"/>
      <c r="T51" s="246"/>
      <c r="U51" s="217"/>
      <c r="V51" s="217"/>
      <c r="W51" s="217"/>
      <c r="X51" s="217"/>
      <c r="Y51" s="217"/>
      <c r="Z51" s="238"/>
    </row>
    <row r="52" spans="1:29" x14ac:dyDescent="0.25">
      <c r="A52" s="240" t="s">
        <v>26</v>
      </c>
      <c r="B52" s="240"/>
      <c r="C52" s="240"/>
      <c r="D52" s="240"/>
      <c r="E52" s="240"/>
      <c r="F52" s="240"/>
      <c r="G52" s="240"/>
      <c r="H52" s="217"/>
      <c r="I52" s="217"/>
      <c r="J52" s="245"/>
      <c r="K52" s="217"/>
      <c r="L52" s="217"/>
      <c r="M52" s="246"/>
      <c r="N52" s="238"/>
      <c r="O52" s="217"/>
      <c r="P52" s="217"/>
      <c r="Q52" s="217"/>
      <c r="R52" s="217"/>
      <c r="S52" s="217"/>
      <c r="T52" s="246"/>
      <c r="U52" s="217"/>
      <c r="V52" s="217"/>
      <c r="W52" s="217"/>
      <c r="X52" s="217"/>
      <c r="Y52" s="217"/>
    </row>
    <row r="53" spans="1:29" x14ac:dyDescent="0.25">
      <c r="A53" s="239" t="s">
        <v>43</v>
      </c>
      <c r="B53" s="243"/>
      <c r="C53" s="243"/>
      <c r="D53" s="243"/>
      <c r="E53" s="243"/>
      <c r="F53" s="243"/>
      <c r="G53" s="243"/>
      <c r="J53" s="247"/>
      <c r="M53" s="258"/>
      <c r="N53" s="262"/>
      <c r="S53" s="258"/>
    </row>
    <row r="54" spans="1:29" x14ac:dyDescent="0.25">
      <c r="A54" s="241" t="s">
        <v>47</v>
      </c>
      <c r="B54" s="241"/>
      <c r="C54" s="241"/>
      <c r="D54" s="241"/>
      <c r="E54" s="241"/>
      <c r="F54" s="241"/>
      <c r="G54" s="241"/>
      <c r="J54" s="247"/>
    </row>
  </sheetData>
  <autoFilter ref="A2:AC49" xr:uid="{00000000-0009-0000-0000-000001000000}"/>
  <mergeCells count="18">
    <mergeCell ref="H1:H2"/>
    <mergeCell ref="I1:I2"/>
    <mergeCell ref="J1:J2"/>
    <mergeCell ref="K1:K2"/>
    <mergeCell ref="N1:Y1"/>
    <mergeCell ref="L1:L2"/>
    <mergeCell ref="M1:M2"/>
    <mergeCell ref="D1:D2"/>
    <mergeCell ref="A49:G49"/>
    <mergeCell ref="A48:G48"/>
    <mergeCell ref="E1:E2"/>
    <mergeCell ref="A46:G46"/>
    <mergeCell ref="A1:A2"/>
    <mergeCell ref="B1:B2"/>
    <mergeCell ref="C1:C2"/>
    <mergeCell ref="F1:F2"/>
    <mergeCell ref="G1:G2"/>
    <mergeCell ref="A47:G47"/>
  </mergeCells>
  <conditionalFormatting sqref="Z3:Z48 AA3:AC46">
    <cfRule type="cellIs" dxfId="47" priority="15" operator="equal">
      <formula>FALSE</formula>
    </cfRule>
  </conditionalFormatting>
  <conditionalFormatting sqref="Z3:AB3 Z4:Z48 AA4:AB46">
    <cfRule type="containsText" dxfId="46" priority="13" operator="containsText" text="fałsz">
      <formula>NOT(ISERROR(SEARCH("fałsz",Z3)))</formula>
    </cfRule>
  </conditionalFormatting>
  <conditionalFormatting sqref="AC50">
    <cfRule type="cellIs" dxfId="45" priority="12" operator="equal">
      <formula>FALSE</formula>
    </cfRule>
  </conditionalFormatting>
  <conditionalFormatting sqref="AC50">
    <cfRule type="cellIs" dxfId="44" priority="11" operator="equal">
      <formula>FALSE</formula>
    </cfRule>
  </conditionalFormatting>
  <conditionalFormatting sqref="AA48:AB48">
    <cfRule type="cellIs" dxfId="43" priority="10" operator="equal">
      <formula>FALSE</formula>
    </cfRule>
  </conditionalFormatting>
  <conditionalFormatting sqref="AA48:AB48">
    <cfRule type="containsText" dxfId="42" priority="8" operator="containsText" text="fałsz">
      <formula>NOT(ISERROR(SEARCH("fałsz",AA48)))</formula>
    </cfRule>
  </conditionalFormatting>
  <conditionalFormatting sqref="AC48">
    <cfRule type="cellIs" dxfId="41" priority="7" operator="equal">
      <formula>FALSE</formula>
    </cfRule>
  </conditionalFormatting>
  <conditionalFormatting sqref="AC48">
    <cfRule type="cellIs" dxfId="40" priority="6" operator="equal">
      <formula>FALSE</formula>
    </cfRule>
  </conditionalFormatting>
  <conditionalFormatting sqref="AA47:AB47">
    <cfRule type="cellIs" dxfId="39" priority="5" operator="equal">
      <formula>FALSE</formula>
    </cfRule>
  </conditionalFormatting>
  <conditionalFormatting sqref="AA47:AB47">
    <cfRule type="containsText" dxfId="38" priority="3" operator="containsText" text="fałsz">
      <formula>NOT(ISERROR(SEARCH("fałsz",AA47)))</formula>
    </cfRule>
  </conditionalFormatting>
  <conditionalFormatting sqref="AC47">
    <cfRule type="cellIs" dxfId="37" priority="2" operator="equal">
      <formula>FALSE</formula>
    </cfRule>
  </conditionalFormatting>
  <conditionalFormatting sqref="AC47">
    <cfRule type="cellIs" dxfId="36" priority="1" operator="equal">
      <formula>FALSE</formula>
    </cfRule>
  </conditionalFormatting>
  <dataValidations count="4">
    <dataValidation type="list" operator="equal" allowBlank="1" showInputMessage="1" showErrorMessage="1" sqref="C3:C8" xr:uid="{00000000-0002-0000-0100-000000000000}">
      <formula1>"N,K,W"</formula1>
    </dataValidation>
    <dataValidation type="list" operator="equal" allowBlank="1" showInputMessage="1" showErrorMessage="1" sqref="G3:G8" xr:uid="{00000000-0002-0000-0100-000001000000}">
      <formula1>"B,P,R"</formula1>
      <formula2>0</formula2>
    </dataValidation>
    <dataValidation type="list" allowBlank="1" showInputMessage="1" showErrorMessage="1" sqref="C9:C45" xr:uid="{00000000-0002-0000-0100-000002000000}">
      <formula1>"N,K,W"</formula1>
    </dataValidation>
    <dataValidation type="list" allowBlank="1" showInputMessage="1" showErrorMessage="1" sqref="G9:G45" xr:uid="{00000000-0002-0000-0100-000003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headerFooter>
    <oddHeader>&amp;LWojewództwo dolnośląskie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45"/>
  <sheetViews>
    <sheetView showGridLines="0" tabSelected="1" topLeftCell="I124" zoomScaleNormal="100" zoomScaleSheetLayoutView="85" workbookViewId="0">
      <selection activeCell="U132" sqref="U132"/>
    </sheetView>
  </sheetViews>
  <sheetFormatPr defaultColWidth="9.140625" defaultRowHeight="15" x14ac:dyDescent="0.25"/>
  <cols>
    <col min="1" max="1" width="7.7109375" style="210" customWidth="1"/>
    <col min="2" max="2" width="12.85546875" style="210" customWidth="1"/>
    <col min="3" max="3" width="10.7109375" style="210" customWidth="1"/>
    <col min="4" max="4" width="17" style="210" customWidth="1"/>
    <col min="5" max="5" width="13.42578125" style="210" customWidth="1"/>
    <col min="6" max="6" width="15.7109375" style="210" customWidth="1"/>
    <col min="7" max="7" width="41.42578125" style="210" customWidth="1"/>
    <col min="8" max="8" width="11.140625" style="210" customWidth="1"/>
    <col min="9" max="9" width="13.7109375" style="210" customWidth="1"/>
    <col min="10" max="11" width="15.7109375" style="210" customWidth="1"/>
    <col min="12" max="12" width="17.28515625" style="210" customWidth="1"/>
    <col min="13" max="13" width="15.7109375" style="210" customWidth="1"/>
    <col min="14" max="14" width="15.7109375" style="238" customWidth="1"/>
    <col min="15" max="18" width="15.7109375" style="210" hidden="1" customWidth="1"/>
    <col min="19" max="26" width="15.7109375" style="210" customWidth="1"/>
    <col min="27" max="29" width="15.7109375" style="217" customWidth="1"/>
    <col min="30" max="30" width="15.7109375" style="210" customWidth="1"/>
    <col min="31" max="16384" width="9.140625" style="210"/>
  </cols>
  <sheetData>
    <row r="1" spans="1:30" ht="20.100000000000001" customHeight="1" x14ac:dyDescent="0.25">
      <c r="A1" s="307" t="s">
        <v>4</v>
      </c>
      <c r="B1" s="307" t="s">
        <v>5</v>
      </c>
      <c r="C1" s="308" t="s">
        <v>44</v>
      </c>
      <c r="D1" s="303" t="s">
        <v>6</v>
      </c>
      <c r="E1" s="307" t="s">
        <v>33</v>
      </c>
      <c r="F1" s="303" t="s">
        <v>15</v>
      </c>
      <c r="G1" s="307" t="s">
        <v>7</v>
      </c>
      <c r="H1" s="307" t="s">
        <v>27</v>
      </c>
      <c r="I1" s="307" t="s">
        <v>8</v>
      </c>
      <c r="J1" s="307" t="s">
        <v>28</v>
      </c>
      <c r="K1" s="307" t="s">
        <v>9</v>
      </c>
      <c r="L1" s="307" t="s">
        <v>17</v>
      </c>
      <c r="M1" s="303" t="s">
        <v>13</v>
      </c>
      <c r="N1" s="307" t="s">
        <v>11</v>
      </c>
      <c r="O1" s="309" t="s">
        <v>12</v>
      </c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</row>
    <row r="2" spans="1:30" ht="20.100000000000001" customHeight="1" x14ac:dyDescent="0.25">
      <c r="A2" s="307"/>
      <c r="B2" s="307"/>
      <c r="C2" s="309"/>
      <c r="D2" s="304"/>
      <c r="E2" s="307"/>
      <c r="F2" s="304"/>
      <c r="G2" s="307"/>
      <c r="H2" s="307"/>
      <c r="I2" s="307"/>
      <c r="J2" s="307"/>
      <c r="K2" s="307"/>
      <c r="L2" s="307"/>
      <c r="M2" s="304"/>
      <c r="N2" s="307"/>
      <c r="O2" s="253">
        <v>2019</v>
      </c>
      <c r="P2" s="253">
        <v>2020</v>
      </c>
      <c r="Q2" s="253">
        <v>2021</v>
      </c>
      <c r="R2" s="253">
        <v>2022</v>
      </c>
      <c r="S2" s="253">
        <v>2023</v>
      </c>
      <c r="T2" s="253">
        <v>2024</v>
      </c>
      <c r="U2" s="253">
        <v>2025</v>
      </c>
      <c r="V2" s="253">
        <v>2026</v>
      </c>
      <c r="W2" s="253">
        <v>2027</v>
      </c>
      <c r="X2" s="253">
        <v>2028</v>
      </c>
      <c r="Y2" s="253">
        <v>2029</v>
      </c>
      <c r="Z2" s="253">
        <v>2030</v>
      </c>
      <c r="AA2" s="238" t="s">
        <v>29</v>
      </c>
      <c r="AB2" s="238" t="s">
        <v>30</v>
      </c>
      <c r="AC2" s="238" t="s">
        <v>31</v>
      </c>
      <c r="AD2" s="260" t="s">
        <v>32</v>
      </c>
    </row>
    <row r="3" spans="1:30" ht="36.75" customHeight="1" x14ac:dyDescent="0.25">
      <c r="A3" s="219">
        <v>1</v>
      </c>
      <c r="B3" s="168" t="s">
        <v>192</v>
      </c>
      <c r="C3" s="202" t="s">
        <v>51</v>
      </c>
      <c r="D3" s="188" t="s">
        <v>193</v>
      </c>
      <c r="E3" s="169" t="s">
        <v>194</v>
      </c>
      <c r="F3" s="168" t="s">
        <v>195</v>
      </c>
      <c r="G3" s="170" t="s">
        <v>196</v>
      </c>
      <c r="H3" s="168" t="s">
        <v>82</v>
      </c>
      <c r="I3" s="171">
        <v>0.97899999999999998</v>
      </c>
      <c r="J3" s="168" t="s">
        <v>197</v>
      </c>
      <c r="K3" s="197">
        <v>11110603.439999999</v>
      </c>
      <c r="L3" s="197">
        <v>4150000</v>
      </c>
      <c r="M3" s="178">
        <v>6960603.4399999995</v>
      </c>
      <c r="N3" s="175">
        <v>0.5</v>
      </c>
      <c r="O3" s="203"/>
      <c r="P3" s="203"/>
      <c r="Q3" s="204"/>
      <c r="R3" s="204">
        <v>650000</v>
      </c>
      <c r="S3" s="204">
        <v>2000000</v>
      </c>
      <c r="T3" s="204">
        <v>1500000</v>
      </c>
      <c r="U3" s="204"/>
      <c r="V3" s="204"/>
      <c r="W3" s="208"/>
      <c r="X3" s="208"/>
      <c r="Y3" s="209"/>
      <c r="Z3" s="209"/>
      <c r="AA3" s="238" t="b">
        <f>L3=SUM(O3:Z3)</f>
        <v>1</v>
      </c>
      <c r="AB3" s="261">
        <f t="shared" ref="AB3:AB135" si="0">ROUND(L3/K3,4)</f>
        <v>0.3735</v>
      </c>
      <c r="AC3" s="262" t="b">
        <f t="shared" ref="AC3:AC101" si="1">AB3=N3</f>
        <v>0</v>
      </c>
      <c r="AD3" s="262" t="b">
        <f t="shared" ref="AD3:AD135" si="2">K3=L3+M3</f>
        <v>1</v>
      </c>
    </row>
    <row r="4" spans="1:30" ht="30" customHeight="1" x14ac:dyDescent="0.25">
      <c r="A4" s="219">
        <v>2</v>
      </c>
      <c r="B4" s="168" t="s">
        <v>198</v>
      </c>
      <c r="C4" s="202" t="s">
        <v>51</v>
      </c>
      <c r="D4" s="188" t="s">
        <v>199</v>
      </c>
      <c r="E4" s="169" t="s">
        <v>200</v>
      </c>
      <c r="F4" s="168" t="s">
        <v>201</v>
      </c>
      <c r="G4" s="205" t="s">
        <v>202</v>
      </c>
      <c r="H4" s="168" t="s">
        <v>82</v>
      </c>
      <c r="I4" s="171">
        <v>1.0940000000000001</v>
      </c>
      <c r="J4" s="172" t="s">
        <v>67</v>
      </c>
      <c r="K4" s="197">
        <v>5720555.8300000001</v>
      </c>
      <c r="L4" s="197">
        <v>4012392.42</v>
      </c>
      <c r="M4" s="178">
        <v>1708163.4100000001</v>
      </c>
      <c r="N4" s="175">
        <v>0.8</v>
      </c>
      <c r="O4" s="176"/>
      <c r="P4" s="176"/>
      <c r="Q4" s="177"/>
      <c r="R4" s="177"/>
      <c r="S4" s="177">
        <v>1560000</v>
      </c>
      <c r="T4" s="176">
        <v>2452392.42</v>
      </c>
      <c r="U4" s="176"/>
      <c r="V4" s="176"/>
      <c r="W4" s="208"/>
      <c r="X4" s="208"/>
      <c r="Y4" s="209"/>
      <c r="Z4" s="209"/>
      <c r="AA4" s="238" t="b">
        <f t="shared" ref="AA4:AA67" si="3">L4=SUM(O4:Z4)</f>
        <v>1</v>
      </c>
      <c r="AB4" s="261">
        <f t="shared" si="0"/>
        <v>0.70140000000000002</v>
      </c>
      <c r="AC4" s="262" t="b">
        <f t="shared" si="1"/>
        <v>0</v>
      </c>
      <c r="AD4" s="262" t="b">
        <f t="shared" si="2"/>
        <v>1</v>
      </c>
    </row>
    <row r="5" spans="1:30" ht="50.25" customHeight="1" x14ac:dyDescent="0.25">
      <c r="A5" s="219">
        <v>3</v>
      </c>
      <c r="B5" s="168" t="s">
        <v>203</v>
      </c>
      <c r="C5" s="202" t="s">
        <v>51</v>
      </c>
      <c r="D5" s="188" t="s">
        <v>204</v>
      </c>
      <c r="E5" s="169" t="s">
        <v>205</v>
      </c>
      <c r="F5" s="168" t="s">
        <v>206</v>
      </c>
      <c r="G5" s="205" t="s">
        <v>207</v>
      </c>
      <c r="H5" s="168" t="s">
        <v>55</v>
      </c>
      <c r="I5" s="171">
        <v>0.34499999999999997</v>
      </c>
      <c r="J5" s="172" t="s">
        <v>208</v>
      </c>
      <c r="K5" s="197">
        <v>4495749.83</v>
      </c>
      <c r="L5" s="197">
        <v>3596599.86</v>
      </c>
      <c r="M5" s="178">
        <v>899149.9700000002</v>
      </c>
      <c r="N5" s="175">
        <v>0.8</v>
      </c>
      <c r="O5" s="176"/>
      <c r="P5" s="176"/>
      <c r="Q5" s="177"/>
      <c r="R5" s="177"/>
      <c r="S5" s="177">
        <v>86592</v>
      </c>
      <c r="T5" s="176">
        <v>3510007.86</v>
      </c>
      <c r="U5" s="176"/>
      <c r="V5" s="176"/>
      <c r="W5" s="208"/>
      <c r="X5" s="208"/>
      <c r="Y5" s="209"/>
      <c r="Z5" s="209"/>
      <c r="AA5" s="238" t="b">
        <f t="shared" si="3"/>
        <v>1</v>
      </c>
      <c r="AB5" s="261">
        <f t="shared" si="0"/>
        <v>0.8</v>
      </c>
      <c r="AC5" s="262" t="b">
        <f t="shared" si="1"/>
        <v>1</v>
      </c>
      <c r="AD5" s="262" t="b">
        <f t="shared" si="2"/>
        <v>1</v>
      </c>
    </row>
    <row r="6" spans="1:30" ht="40.5" customHeight="1" x14ac:dyDescent="0.25">
      <c r="A6" s="219">
        <v>4</v>
      </c>
      <c r="B6" s="168" t="s">
        <v>209</v>
      </c>
      <c r="C6" s="202" t="s">
        <v>51</v>
      </c>
      <c r="D6" s="188" t="s">
        <v>210</v>
      </c>
      <c r="E6" s="169" t="s">
        <v>211</v>
      </c>
      <c r="F6" s="168" t="s">
        <v>212</v>
      </c>
      <c r="G6" s="205" t="s">
        <v>213</v>
      </c>
      <c r="H6" s="168" t="s">
        <v>82</v>
      </c>
      <c r="I6" s="171">
        <v>0.70099999999999996</v>
      </c>
      <c r="J6" s="172" t="s">
        <v>214</v>
      </c>
      <c r="K6" s="197">
        <v>6210962.1699999999</v>
      </c>
      <c r="L6" s="197">
        <v>3196408.8000000003</v>
      </c>
      <c r="M6" s="178">
        <v>3014553.3699999996</v>
      </c>
      <c r="N6" s="175">
        <v>0.8</v>
      </c>
      <c r="O6" s="176"/>
      <c r="P6" s="176"/>
      <c r="Q6" s="177"/>
      <c r="R6" s="177"/>
      <c r="S6" s="177">
        <v>1600000</v>
      </c>
      <c r="T6" s="176">
        <v>1596408.8</v>
      </c>
      <c r="U6" s="176"/>
      <c r="V6" s="176"/>
      <c r="W6" s="208"/>
      <c r="X6" s="208"/>
      <c r="Y6" s="209"/>
      <c r="Z6" s="209"/>
      <c r="AA6" s="238" t="b">
        <f t="shared" si="3"/>
        <v>1</v>
      </c>
      <c r="AB6" s="261">
        <f t="shared" si="0"/>
        <v>0.51459999999999995</v>
      </c>
      <c r="AC6" s="262" t="b">
        <f t="shared" si="1"/>
        <v>0</v>
      </c>
      <c r="AD6" s="262" t="b">
        <f t="shared" si="2"/>
        <v>1</v>
      </c>
    </row>
    <row r="7" spans="1:30" ht="30" customHeight="1" x14ac:dyDescent="0.25">
      <c r="A7" s="219">
        <v>5</v>
      </c>
      <c r="B7" s="168" t="s">
        <v>907</v>
      </c>
      <c r="C7" s="202"/>
      <c r="D7" s="188" t="s">
        <v>215</v>
      </c>
      <c r="E7" s="169" t="s">
        <v>216</v>
      </c>
      <c r="F7" s="168" t="s">
        <v>201</v>
      </c>
      <c r="G7" s="205" t="s">
        <v>217</v>
      </c>
      <c r="H7" s="168" t="s">
        <v>55</v>
      </c>
      <c r="I7" s="171">
        <v>0</v>
      </c>
      <c r="J7" s="172" t="s">
        <v>218</v>
      </c>
      <c r="K7" s="197"/>
      <c r="L7" s="197"/>
      <c r="M7" s="178"/>
      <c r="N7" s="175">
        <v>0.6</v>
      </c>
      <c r="O7" s="176"/>
      <c r="P7" s="176"/>
      <c r="Q7" s="177"/>
      <c r="R7" s="177"/>
      <c r="S7" s="177"/>
      <c r="T7" s="176"/>
      <c r="U7" s="176"/>
      <c r="V7" s="176"/>
      <c r="W7" s="208"/>
      <c r="X7" s="208"/>
      <c r="Y7" s="209"/>
      <c r="Z7" s="209"/>
      <c r="AA7" s="238" t="b">
        <f t="shared" si="3"/>
        <v>1</v>
      </c>
      <c r="AB7" s="261" t="e">
        <f t="shared" si="0"/>
        <v>#DIV/0!</v>
      </c>
      <c r="AC7" s="262" t="e">
        <f t="shared" si="1"/>
        <v>#DIV/0!</v>
      </c>
      <c r="AD7" s="262" t="b">
        <f t="shared" si="2"/>
        <v>1</v>
      </c>
    </row>
    <row r="8" spans="1:30" ht="30" customHeight="1" x14ac:dyDescent="0.25">
      <c r="A8" s="219">
        <v>6</v>
      </c>
      <c r="B8" s="168" t="s">
        <v>219</v>
      </c>
      <c r="C8" s="202" t="s">
        <v>51</v>
      </c>
      <c r="D8" s="188" t="s">
        <v>220</v>
      </c>
      <c r="E8" s="169" t="s">
        <v>221</v>
      </c>
      <c r="F8" s="168" t="s">
        <v>206</v>
      </c>
      <c r="G8" s="205" t="s">
        <v>222</v>
      </c>
      <c r="H8" s="168" t="s">
        <v>55</v>
      </c>
      <c r="I8" s="171">
        <v>0.92</v>
      </c>
      <c r="J8" s="172" t="s">
        <v>223</v>
      </c>
      <c r="K8" s="197">
        <v>987169</v>
      </c>
      <c r="L8" s="197">
        <v>788100.22</v>
      </c>
      <c r="M8" s="178">
        <f>K8-L8</f>
        <v>199068.78000000003</v>
      </c>
      <c r="N8" s="175">
        <v>0.8</v>
      </c>
      <c r="O8" s="176"/>
      <c r="P8" s="176"/>
      <c r="Q8" s="177"/>
      <c r="R8" s="177"/>
      <c r="S8" s="177">
        <v>580520.80000000005</v>
      </c>
      <c r="T8" s="176">
        <v>207579.42</v>
      </c>
      <c r="U8" s="176"/>
      <c r="V8" s="176"/>
      <c r="W8" s="208"/>
      <c r="X8" s="208"/>
      <c r="Y8" s="209"/>
      <c r="Z8" s="209"/>
      <c r="AA8" s="238" t="b">
        <f t="shared" si="3"/>
        <v>1</v>
      </c>
      <c r="AB8" s="261">
        <f t="shared" si="0"/>
        <v>0.79830000000000001</v>
      </c>
      <c r="AC8" s="262" t="b">
        <f t="shared" si="1"/>
        <v>0</v>
      </c>
      <c r="AD8" s="262" t="b">
        <f t="shared" si="2"/>
        <v>1</v>
      </c>
    </row>
    <row r="9" spans="1:30" ht="30" customHeight="1" x14ac:dyDescent="0.25">
      <c r="A9" s="219">
        <v>7</v>
      </c>
      <c r="B9" s="168" t="s">
        <v>224</v>
      </c>
      <c r="C9" s="202" t="s">
        <v>51</v>
      </c>
      <c r="D9" s="188" t="s">
        <v>225</v>
      </c>
      <c r="E9" s="169" t="s">
        <v>226</v>
      </c>
      <c r="F9" s="168" t="s">
        <v>212</v>
      </c>
      <c r="G9" s="205" t="s">
        <v>227</v>
      </c>
      <c r="H9" s="168" t="s">
        <v>55</v>
      </c>
      <c r="I9" s="171">
        <v>0.90800000000000003</v>
      </c>
      <c r="J9" s="172" t="s">
        <v>228</v>
      </c>
      <c r="K9" s="197">
        <v>2229778</v>
      </c>
      <c r="L9" s="197">
        <v>1061085.2</v>
      </c>
      <c r="M9" s="178">
        <v>1168692.8</v>
      </c>
      <c r="N9" s="175">
        <v>0.7</v>
      </c>
      <c r="O9" s="176"/>
      <c r="P9" s="176"/>
      <c r="Q9" s="177"/>
      <c r="R9" s="177"/>
      <c r="S9" s="177">
        <v>318325.7</v>
      </c>
      <c r="T9" s="176">
        <v>742759.5</v>
      </c>
      <c r="U9" s="176"/>
      <c r="V9" s="176"/>
      <c r="W9" s="208"/>
      <c r="X9" s="208"/>
      <c r="Y9" s="209"/>
      <c r="Z9" s="209"/>
      <c r="AA9" s="238" t="b">
        <f t="shared" si="3"/>
        <v>1</v>
      </c>
      <c r="AB9" s="261">
        <f t="shared" si="0"/>
        <v>0.47589999999999999</v>
      </c>
      <c r="AC9" s="262" t="b">
        <f t="shared" si="1"/>
        <v>0</v>
      </c>
      <c r="AD9" s="262" t="b">
        <f t="shared" si="2"/>
        <v>1</v>
      </c>
    </row>
    <row r="10" spans="1:30" ht="30" customHeight="1" x14ac:dyDescent="0.25">
      <c r="A10" s="219">
        <v>8</v>
      </c>
      <c r="B10" s="168" t="s">
        <v>229</v>
      </c>
      <c r="C10" s="202" t="s">
        <v>51</v>
      </c>
      <c r="D10" s="188" t="s">
        <v>230</v>
      </c>
      <c r="E10" s="169" t="s">
        <v>231</v>
      </c>
      <c r="F10" s="168" t="s">
        <v>195</v>
      </c>
      <c r="G10" s="205" t="s">
        <v>232</v>
      </c>
      <c r="H10" s="168" t="s">
        <v>55</v>
      </c>
      <c r="I10" s="171">
        <v>0.45400000000000001</v>
      </c>
      <c r="J10" s="172" t="s">
        <v>233</v>
      </c>
      <c r="K10" s="197">
        <v>3029444.97</v>
      </c>
      <c r="L10" s="197">
        <v>1514722.48</v>
      </c>
      <c r="M10" s="178">
        <v>1514722.4900000002</v>
      </c>
      <c r="N10" s="175">
        <v>0.5</v>
      </c>
      <c r="O10" s="176"/>
      <c r="P10" s="176"/>
      <c r="Q10" s="177"/>
      <c r="R10" s="177"/>
      <c r="S10" s="177">
        <v>500000</v>
      </c>
      <c r="T10" s="176">
        <v>1014722.48</v>
      </c>
      <c r="U10" s="176"/>
      <c r="V10" s="176"/>
      <c r="W10" s="208"/>
      <c r="X10" s="208"/>
      <c r="Y10" s="209"/>
      <c r="Z10" s="209"/>
      <c r="AA10" s="238" t="b">
        <f t="shared" si="3"/>
        <v>1</v>
      </c>
      <c r="AB10" s="261">
        <f t="shared" si="0"/>
        <v>0.5</v>
      </c>
      <c r="AC10" s="262" t="b">
        <f t="shared" si="1"/>
        <v>1</v>
      </c>
      <c r="AD10" s="262" t="b">
        <f t="shared" si="2"/>
        <v>1</v>
      </c>
    </row>
    <row r="11" spans="1:30" ht="64.5" customHeight="1" x14ac:dyDescent="0.25">
      <c r="A11" s="219">
        <v>9</v>
      </c>
      <c r="B11" s="168" t="s">
        <v>234</v>
      </c>
      <c r="C11" s="202" t="s">
        <v>51</v>
      </c>
      <c r="D11" s="188" t="s">
        <v>210</v>
      </c>
      <c r="E11" s="169" t="s">
        <v>211</v>
      </c>
      <c r="F11" s="168" t="s">
        <v>212</v>
      </c>
      <c r="G11" s="205" t="s">
        <v>235</v>
      </c>
      <c r="H11" s="168" t="s">
        <v>55</v>
      </c>
      <c r="I11" s="171">
        <v>0.79700000000000004</v>
      </c>
      <c r="J11" s="172" t="s">
        <v>223</v>
      </c>
      <c r="K11" s="197">
        <v>7589519.96</v>
      </c>
      <c r="L11" s="197">
        <v>3184640</v>
      </c>
      <c r="M11" s="178">
        <v>4404879.96</v>
      </c>
      <c r="N11" s="175">
        <v>0.8</v>
      </c>
      <c r="O11" s="176"/>
      <c r="P11" s="176"/>
      <c r="Q11" s="177"/>
      <c r="R11" s="177"/>
      <c r="S11" s="177">
        <v>1600000</v>
      </c>
      <c r="T11" s="176">
        <v>1584640</v>
      </c>
      <c r="U11" s="176"/>
      <c r="V11" s="176"/>
      <c r="W11" s="208"/>
      <c r="X11" s="208"/>
      <c r="Y11" s="209"/>
      <c r="Z11" s="209"/>
      <c r="AA11" s="238" t="b">
        <f t="shared" si="3"/>
        <v>1</v>
      </c>
      <c r="AB11" s="261">
        <f t="shared" si="0"/>
        <v>0.41959999999999997</v>
      </c>
      <c r="AC11" s="262" t="b">
        <f t="shared" si="1"/>
        <v>0</v>
      </c>
      <c r="AD11" s="262" t="b">
        <f t="shared" si="2"/>
        <v>1</v>
      </c>
    </row>
    <row r="12" spans="1:30" ht="40.5" customHeight="1" x14ac:dyDescent="0.25">
      <c r="A12" s="219">
        <v>10</v>
      </c>
      <c r="B12" s="168" t="s">
        <v>236</v>
      </c>
      <c r="C12" s="202" t="s">
        <v>51</v>
      </c>
      <c r="D12" s="188" t="s">
        <v>237</v>
      </c>
      <c r="E12" s="169" t="s">
        <v>238</v>
      </c>
      <c r="F12" s="168" t="s">
        <v>239</v>
      </c>
      <c r="G12" s="205" t="s">
        <v>240</v>
      </c>
      <c r="H12" s="168" t="s">
        <v>55</v>
      </c>
      <c r="I12" s="171">
        <v>0.49</v>
      </c>
      <c r="J12" s="172" t="s">
        <v>241</v>
      </c>
      <c r="K12" s="197">
        <v>5788028.71</v>
      </c>
      <c r="L12" s="197">
        <v>1986500</v>
      </c>
      <c r="M12" s="178">
        <v>3801528.71</v>
      </c>
      <c r="N12" s="175">
        <v>0.5</v>
      </c>
      <c r="O12" s="176"/>
      <c r="P12" s="176"/>
      <c r="Q12" s="177"/>
      <c r="R12" s="177"/>
      <c r="S12" s="177">
        <v>750000</v>
      </c>
      <c r="T12" s="176">
        <v>1236500</v>
      </c>
      <c r="U12" s="176"/>
      <c r="V12" s="176"/>
      <c r="W12" s="208"/>
      <c r="X12" s="208"/>
      <c r="Y12" s="209"/>
      <c r="Z12" s="209"/>
      <c r="AA12" s="238" t="b">
        <f t="shared" si="3"/>
        <v>1</v>
      </c>
      <c r="AB12" s="261">
        <f t="shared" si="0"/>
        <v>0.34320000000000001</v>
      </c>
      <c r="AC12" s="262" t="b">
        <f t="shared" si="1"/>
        <v>0</v>
      </c>
      <c r="AD12" s="262" t="b">
        <f t="shared" si="2"/>
        <v>1</v>
      </c>
    </row>
    <row r="13" spans="1:30" ht="30" customHeight="1" x14ac:dyDescent="0.25">
      <c r="A13" s="219">
        <v>11</v>
      </c>
      <c r="B13" s="168" t="s">
        <v>242</v>
      </c>
      <c r="C13" s="202" t="s">
        <v>51</v>
      </c>
      <c r="D13" s="188" t="s">
        <v>230</v>
      </c>
      <c r="E13" s="169" t="s">
        <v>231</v>
      </c>
      <c r="F13" s="168" t="s">
        <v>195</v>
      </c>
      <c r="G13" s="205" t="s">
        <v>243</v>
      </c>
      <c r="H13" s="168" t="s">
        <v>55</v>
      </c>
      <c r="I13" s="171">
        <v>0.441</v>
      </c>
      <c r="J13" s="172" t="s">
        <v>233</v>
      </c>
      <c r="K13" s="197">
        <v>4142501.65</v>
      </c>
      <c r="L13" s="197">
        <v>2071250.82</v>
      </c>
      <c r="M13" s="178">
        <f>K13-L13</f>
        <v>2071250.8299999998</v>
      </c>
      <c r="N13" s="175">
        <v>0.5</v>
      </c>
      <c r="O13" s="176"/>
      <c r="P13" s="176"/>
      <c r="Q13" s="177"/>
      <c r="R13" s="177"/>
      <c r="S13" s="177">
        <v>500000</v>
      </c>
      <c r="T13" s="176">
        <v>1571250.82</v>
      </c>
      <c r="U13" s="176"/>
      <c r="V13" s="176"/>
      <c r="W13" s="208"/>
      <c r="X13" s="208"/>
      <c r="Y13" s="209"/>
      <c r="Z13" s="209"/>
      <c r="AA13" s="238" t="b">
        <f t="shared" si="3"/>
        <v>1</v>
      </c>
      <c r="AB13" s="261">
        <f t="shared" si="0"/>
        <v>0.5</v>
      </c>
      <c r="AC13" s="262" t="b">
        <f t="shared" si="1"/>
        <v>1</v>
      </c>
      <c r="AD13" s="262" t="b">
        <f t="shared" si="2"/>
        <v>1</v>
      </c>
    </row>
    <row r="14" spans="1:30" ht="30" customHeight="1" x14ac:dyDescent="0.25">
      <c r="A14" s="219">
        <v>12</v>
      </c>
      <c r="B14" s="168" t="s">
        <v>244</v>
      </c>
      <c r="C14" s="202" t="s">
        <v>51</v>
      </c>
      <c r="D14" s="188" t="s">
        <v>245</v>
      </c>
      <c r="E14" s="169" t="s">
        <v>246</v>
      </c>
      <c r="F14" s="168" t="s">
        <v>195</v>
      </c>
      <c r="G14" s="205" t="s">
        <v>247</v>
      </c>
      <c r="H14" s="168" t="s">
        <v>55</v>
      </c>
      <c r="I14" s="171">
        <v>1.0640000000000001</v>
      </c>
      <c r="J14" s="172" t="s">
        <v>83</v>
      </c>
      <c r="K14" s="197">
        <v>7515949.6699999999</v>
      </c>
      <c r="L14" s="197">
        <v>3757974.83</v>
      </c>
      <c r="M14" s="178">
        <v>3757974.84</v>
      </c>
      <c r="N14" s="175">
        <v>0.5</v>
      </c>
      <c r="O14" s="176"/>
      <c r="P14" s="176"/>
      <c r="Q14" s="177"/>
      <c r="R14" s="177"/>
      <c r="S14" s="177">
        <v>1506633.93</v>
      </c>
      <c r="T14" s="176">
        <v>2251340.9</v>
      </c>
      <c r="U14" s="176"/>
      <c r="V14" s="176"/>
      <c r="W14" s="208"/>
      <c r="X14" s="208"/>
      <c r="Y14" s="209"/>
      <c r="Z14" s="209"/>
      <c r="AA14" s="238" t="b">
        <f t="shared" si="3"/>
        <v>1</v>
      </c>
      <c r="AB14" s="261">
        <f t="shared" si="0"/>
        <v>0.5</v>
      </c>
      <c r="AC14" s="262" t="b">
        <f t="shared" si="1"/>
        <v>1</v>
      </c>
      <c r="AD14" s="262" t="b">
        <f t="shared" si="2"/>
        <v>1</v>
      </c>
    </row>
    <row r="15" spans="1:30" ht="30" customHeight="1" x14ac:dyDescent="0.25">
      <c r="A15" s="219">
        <v>13</v>
      </c>
      <c r="B15" s="168" t="s">
        <v>248</v>
      </c>
      <c r="C15" s="202" t="s">
        <v>51</v>
      </c>
      <c r="D15" s="188" t="s">
        <v>249</v>
      </c>
      <c r="E15" s="169" t="s">
        <v>250</v>
      </c>
      <c r="F15" s="168" t="s">
        <v>212</v>
      </c>
      <c r="G15" s="205" t="s">
        <v>251</v>
      </c>
      <c r="H15" s="168" t="s">
        <v>55</v>
      </c>
      <c r="I15" s="171">
        <v>2.25</v>
      </c>
      <c r="J15" s="172" t="s">
        <v>252</v>
      </c>
      <c r="K15" s="197">
        <v>4426770</v>
      </c>
      <c r="L15" s="197">
        <v>2800000</v>
      </c>
      <c r="M15" s="178">
        <v>1626770</v>
      </c>
      <c r="N15" s="175">
        <v>0.7</v>
      </c>
      <c r="O15" s="176"/>
      <c r="P15" s="176"/>
      <c r="Q15" s="177"/>
      <c r="R15" s="177"/>
      <c r="S15" s="177">
        <v>1260000</v>
      </c>
      <c r="T15" s="176">
        <v>1540000</v>
      </c>
      <c r="U15" s="176"/>
      <c r="V15" s="176"/>
      <c r="W15" s="208"/>
      <c r="X15" s="208"/>
      <c r="Y15" s="209"/>
      <c r="Z15" s="209"/>
      <c r="AA15" s="238" t="b">
        <f t="shared" si="3"/>
        <v>1</v>
      </c>
      <c r="AB15" s="261">
        <f t="shared" si="0"/>
        <v>0.63249999999999995</v>
      </c>
      <c r="AC15" s="262" t="b">
        <f t="shared" si="1"/>
        <v>0</v>
      </c>
      <c r="AD15" s="262" t="b">
        <f t="shared" si="2"/>
        <v>1</v>
      </c>
    </row>
    <row r="16" spans="1:30" ht="30" customHeight="1" x14ac:dyDescent="0.25">
      <c r="A16" s="219">
        <v>14</v>
      </c>
      <c r="B16" s="168" t="s">
        <v>253</v>
      </c>
      <c r="C16" s="202" t="s">
        <v>51</v>
      </c>
      <c r="D16" s="188" t="s">
        <v>254</v>
      </c>
      <c r="E16" s="169" t="s">
        <v>255</v>
      </c>
      <c r="F16" s="168" t="s">
        <v>256</v>
      </c>
      <c r="G16" s="205" t="s">
        <v>257</v>
      </c>
      <c r="H16" s="168" t="s">
        <v>82</v>
      </c>
      <c r="I16" s="171">
        <v>1.6339999999999999</v>
      </c>
      <c r="J16" s="172" t="s">
        <v>258</v>
      </c>
      <c r="K16" s="197">
        <v>4506296.99</v>
      </c>
      <c r="L16" s="197">
        <v>3104578.4</v>
      </c>
      <c r="M16" s="178">
        <v>1401718.5900000003</v>
      </c>
      <c r="N16" s="175">
        <v>0.7</v>
      </c>
      <c r="O16" s="176"/>
      <c r="P16" s="176"/>
      <c r="Q16" s="177"/>
      <c r="R16" s="177"/>
      <c r="S16" s="177">
        <v>1744373.4</v>
      </c>
      <c r="T16" s="176">
        <v>1360205</v>
      </c>
      <c r="U16" s="176"/>
      <c r="V16" s="176"/>
      <c r="W16" s="208"/>
      <c r="X16" s="208"/>
      <c r="Y16" s="209"/>
      <c r="Z16" s="209"/>
      <c r="AA16" s="238" t="b">
        <f t="shared" si="3"/>
        <v>1</v>
      </c>
      <c r="AB16" s="261">
        <f t="shared" si="0"/>
        <v>0.68889999999999996</v>
      </c>
      <c r="AC16" s="262" t="b">
        <f t="shared" si="1"/>
        <v>0</v>
      </c>
      <c r="AD16" s="262" t="b">
        <f t="shared" si="2"/>
        <v>1</v>
      </c>
    </row>
    <row r="17" spans="1:30" ht="30" customHeight="1" x14ac:dyDescent="0.25">
      <c r="A17" s="219">
        <v>15</v>
      </c>
      <c r="B17" s="168" t="s">
        <v>908</v>
      </c>
      <c r="C17" s="202"/>
      <c r="D17" s="188" t="s">
        <v>259</v>
      </c>
      <c r="E17" s="169" t="s">
        <v>260</v>
      </c>
      <c r="F17" s="168" t="s">
        <v>256</v>
      </c>
      <c r="G17" s="205" t="s">
        <v>261</v>
      </c>
      <c r="H17" s="168" t="s">
        <v>55</v>
      </c>
      <c r="I17" s="171">
        <v>0</v>
      </c>
      <c r="J17" s="172" t="s">
        <v>67</v>
      </c>
      <c r="K17" s="197"/>
      <c r="L17" s="197"/>
      <c r="M17" s="178"/>
      <c r="N17" s="175">
        <v>0.7</v>
      </c>
      <c r="O17" s="176"/>
      <c r="P17" s="176"/>
      <c r="Q17" s="177"/>
      <c r="R17" s="177"/>
      <c r="S17" s="177"/>
      <c r="T17" s="176"/>
      <c r="U17" s="176"/>
      <c r="V17" s="176"/>
      <c r="W17" s="208"/>
      <c r="X17" s="208"/>
      <c r="Y17" s="209"/>
      <c r="Z17" s="209"/>
      <c r="AA17" s="238" t="b">
        <f t="shared" si="3"/>
        <v>1</v>
      </c>
      <c r="AB17" s="261" t="e">
        <f t="shared" si="0"/>
        <v>#DIV/0!</v>
      </c>
      <c r="AC17" s="262" t="e">
        <f t="shared" si="1"/>
        <v>#DIV/0!</v>
      </c>
      <c r="AD17" s="262" t="b">
        <f t="shared" si="2"/>
        <v>1</v>
      </c>
    </row>
    <row r="18" spans="1:30" ht="30" customHeight="1" x14ac:dyDescent="0.25">
      <c r="A18" s="219">
        <v>16</v>
      </c>
      <c r="B18" s="168" t="s">
        <v>262</v>
      </c>
      <c r="C18" s="202" t="s">
        <v>51</v>
      </c>
      <c r="D18" s="188" t="s">
        <v>245</v>
      </c>
      <c r="E18" s="169" t="s">
        <v>246</v>
      </c>
      <c r="F18" s="169" t="s">
        <v>195</v>
      </c>
      <c r="G18" s="205" t="s">
        <v>263</v>
      </c>
      <c r="H18" s="168" t="s">
        <v>55</v>
      </c>
      <c r="I18" s="171">
        <v>0.72599999999999998</v>
      </c>
      <c r="J18" s="172" t="s">
        <v>264</v>
      </c>
      <c r="K18" s="197">
        <v>7049862.4900000002</v>
      </c>
      <c r="L18" s="197">
        <v>4229917.49</v>
      </c>
      <c r="M18" s="197">
        <v>2819945</v>
      </c>
      <c r="N18" s="175">
        <v>0.6</v>
      </c>
      <c r="O18" s="206"/>
      <c r="P18" s="206"/>
      <c r="Q18" s="207"/>
      <c r="R18" s="207"/>
      <c r="S18" s="177">
        <v>4229917.49</v>
      </c>
      <c r="T18" s="176">
        <v>0</v>
      </c>
      <c r="U18" s="176"/>
      <c r="V18" s="206"/>
      <c r="W18" s="208"/>
      <c r="X18" s="208"/>
      <c r="Y18" s="209"/>
      <c r="Z18" s="209"/>
      <c r="AA18" s="238" t="b">
        <f t="shared" si="3"/>
        <v>1</v>
      </c>
      <c r="AB18" s="261">
        <f t="shared" si="0"/>
        <v>0.6</v>
      </c>
      <c r="AC18" s="262" t="b">
        <f t="shared" si="1"/>
        <v>1</v>
      </c>
      <c r="AD18" s="262" t="b">
        <f t="shared" si="2"/>
        <v>1</v>
      </c>
    </row>
    <row r="19" spans="1:30" ht="48" customHeight="1" x14ac:dyDescent="0.25">
      <c r="A19" s="219">
        <v>17</v>
      </c>
      <c r="B19" s="168" t="s">
        <v>265</v>
      </c>
      <c r="C19" s="202" t="s">
        <v>51</v>
      </c>
      <c r="D19" s="188" t="s">
        <v>266</v>
      </c>
      <c r="E19" s="169" t="s">
        <v>267</v>
      </c>
      <c r="F19" s="168" t="s">
        <v>268</v>
      </c>
      <c r="G19" s="205" t="s">
        <v>269</v>
      </c>
      <c r="H19" s="168" t="s">
        <v>55</v>
      </c>
      <c r="I19" s="171">
        <v>1.1000000000000001</v>
      </c>
      <c r="J19" s="172" t="s">
        <v>270</v>
      </c>
      <c r="K19" s="197">
        <v>3954782.34</v>
      </c>
      <c r="L19" s="197">
        <v>1977391.17</v>
      </c>
      <c r="M19" s="178">
        <v>1977391.17</v>
      </c>
      <c r="N19" s="175">
        <v>0.5</v>
      </c>
      <c r="O19" s="176"/>
      <c r="P19" s="176"/>
      <c r="Q19" s="177"/>
      <c r="R19" s="177"/>
      <c r="S19" s="177">
        <v>100000</v>
      </c>
      <c r="T19" s="176">
        <v>750000</v>
      </c>
      <c r="U19" s="176">
        <v>1127391.17</v>
      </c>
      <c r="V19" s="207"/>
      <c r="W19" s="208"/>
      <c r="X19" s="208"/>
      <c r="Y19" s="209"/>
      <c r="Z19" s="209"/>
      <c r="AA19" s="238" t="b">
        <f t="shared" si="3"/>
        <v>1</v>
      </c>
      <c r="AB19" s="261">
        <f t="shared" si="0"/>
        <v>0.5</v>
      </c>
      <c r="AC19" s="262" t="b">
        <f t="shared" si="1"/>
        <v>1</v>
      </c>
      <c r="AD19" s="262" t="b">
        <f t="shared" si="2"/>
        <v>1</v>
      </c>
    </row>
    <row r="20" spans="1:30" ht="45" customHeight="1" x14ac:dyDescent="0.25">
      <c r="A20" s="219">
        <v>18</v>
      </c>
      <c r="B20" s="168" t="s">
        <v>271</v>
      </c>
      <c r="C20" s="202" t="s">
        <v>51</v>
      </c>
      <c r="D20" s="188" t="s">
        <v>272</v>
      </c>
      <c r="E20" s="169" t="s">
        <v>273</v>
      </c>
      <c r="F20" s="168" t="s">
        <v>274</v>
      </c>
      <c r="G20" s="205" t="s">
        <v>275</v>
      </c>
      <c r="H20" s="168" t="s">
        <v>55</v>
      </c>
      <c r="I20" s="171">
        <v>0.90500000000000003</v>
      </c>
      <c r="J20" s="172" t="s">
        <v>276</v>
      </c>
      <c r="K20" s="197">
        <v>6345572.9900000002</v>
      </c>
      <c r="L20" s="197">
        <v>2998533</v>
      </c>
      <c r="M20" s="178">
        <v>3347039.99</v>
      </c>
      <c r="N20" s="175">
        <v>0.5</v>
      </c>
      <c r="O20" s="176"/>
      <c r="P20" s="176"/>
      <c r="Q20" s="177"/>
      <c r="R20" s="177"/>
      <c r="S20" s="177">
        <v>1799120</v>
      </c>
      <c r="T20" s="177">
        <v>1199413</v>
      </c>
      <c r="U20" s="177"/>
      <c r="V20" s="207"/>
      <c r="W20" s="208"/>
      <c r="X20" s="208"/>
      <c r="Y20" s="209"/>
      <c r="Z20" s="209"/>
      <c r="AA20" s="238" t="b">
        <f t="shared" si="3"/>
        <v>1</v>
      </c>
      <c r="AB20" s="261">
        <f t="shared" si="0"/>
        <v>0.47249999999999998</v>
      </c>
      <c r="AC20" s="262" t="b">
        <f t="shared" si="1"/>
        <v>0</v>
      </c>
      <c r="AD20" s="262" t="b">
        <f t="shared" si="2"/>
        <v>1</v>
      </c>
    </row>
    <row r="21" spans="1:30" ht="30" customHeight="1" x14ac:dyDescent="0.25">
      <c r="A21" s="219">
        <v>19</v>
      </c>
      <c r="B21" s="168" t="s">
        <v>277</v>
      </c>
      <c r="C21" s="202" t="s">
        <v>51</v>
      </c>
      <c r="D21" s="188" t="s">
        <v>278</v>
      </c>
      <c r="E21" s="169" t="s">
        <v>279</v>
      </c>
      <c r="F21" s="168" t="s">
        <v>280</v>
      </c>
      <c r="G21" s="205" t="s">
        <v>281</v>
      </c>
      <c r="H21" s="168" t="s">
        <v>55</v>
      </c>
      <c r="I21" s="171">
        <v>0.755</v>
      </c>
      <c r="J21" s="172" t="s">
        <v>282</v>
      </c>
      <c r="K21" s="197">
        <v>2304996.66</v>
      </c>
      <c r="L21" s="197">
        <v>1382997.99</v>
      </c>
      <c r="M21" s="178">
        <v>921998.67000000016</v>
      </c>
      <c r="N21" s="175">
        <v>0.6</v>
      </c>
      <c r="O21" s="176"/>
      <c r="P21" s="176"/>
      <c r="Q21" s="177"/>
      <c r="R21" s="177"/>
      <c r="S21" s="177">
        <v>1198335.6000000001</v>
      </c>
      <c r="T21" s="177">
        <v>184662.39</v>
      </c>
      <c r="U21" s="177"/>
      <c r="V21" s="207"/>
      <c r="W21" s="208"/>
      <c r="X21" s="208"/>
      <c r="Y21" s="209"/>
      <c r="Z21" s="209"/>
      <c r="AA21" s="238" t="b">
        <f t="shared" si="3"/>
        <v>1</v>
      </c>
      <c r="AB21" s="261">
        <f t="shared" si="0"/>
        <v>0.6</v>
      </c>
      <c r="AC21" s="262" t="b">
        <f t="shared" si="1"/>
        <v>1</v>
      </c>
      <c r="AD21" s="262" t="b">
        <f t="shared" si="2"/>
        <v>1</v>
      </c>
    </row>
    <row r="22" spans="1:30" ht="30" customHeight="1" x14ac:dyDescent="0.25">
      <c r="A22" s="208">
        <v>20</v>
      </c>
      <c r="B22" s="180" t="s">
        <v>304</v>
      </c>
      <c r="C22" s="225" t="s">
        <v>85</v>
      </c>
      <c r="D22" s="182" t="s">
        <v>305</v>
      </c>
      <c r="E22" s="226" t="s">
        <v>306</v>
      </c>
      <c r="F22" s="228" t="s">
        <v>201</v>
      </c>
      <c r="G22" s="180" t="s">
        <v>307</v>
      </c>
      <c r="H22" s="228" t="s">
        <v>55</v>
      </c>
      <c r="I22" s="229">
        <v>0.46</v>
      </c>
      <c r="J22" s="184" t="s">
        <v>308</v>
      </c>
      <c r="K22" s="195">
        <v>2160137.23</v>
      </c>
      <c r="L22" s="185">
        <f>ROUNDDOWN(K22*N22,2)</f>
        <v>1728109.78</v>
      </c>
      <c r="M22" s="179">
        <f>K22-L22</f>
        <v>432027.44999999995</v>
      </c>
      <c r="N22" s="224">
        <v>0.8</v>
      </c>
      <c r="O22" s="185"/>
      <c r="P22" s="185"/>
      <c r="Q22" s="209"/>
      <c r="R22" s="208"/>
      <c r="S22" s="208"/>
      <c r="T22" s="185">
        <f>L22</f>
        <v>1728109.78</v>
      </c>
      <c r="U22" s="277"/>
      <c r="V22" s="176"/>
      <c r="W22" s="208"/>
      <c r="X22" s="208"/>
      <c r="Y22" s="209"/>
      <c r="Z22" s="209"/>
      <c r="AA22" s="238" t="b">
        <f t="shared" si="3"/>
        <v>1</v>
      </c>
      <c r="AB22" s="261">
        <f t="shared" si="0"/>
        <v>0.8</v>
      </c>
      <c r="AC22" s="262" t="b">
        <f t="shared" si="1"/>
        <v>1</v>
      </c>
      <c r="AD22" s="262" t="b">
        <f t="shared" si="2"/>
        <v>1</v>
      </c>
    </row>
    <row r="23" spans="1:30" ht="30" customHeight="1" x14ac:dyDescent="0.25">
      <c r="A23" s="208">
        <v>21</v>
      </c>
      <c r="B23" s="180" t="s">
        <v>309</v>
      </c>
      <c r="C23" s="225" t="s">
        <v>85</v>
      </c>
      <c r="D23" s="182" t="s">
        <v>210</v>
      </c>
      <c r="E23" s="226" t="s">
        <v>211</v>
      </c>
      <c r="F23" s="228" t="s">
        <v>212</v>
      </c>
      <c r="G23" s="180" t="s">
        <v>310</v>
      </c>
      <c r="H23" s="228" t="s">
        <v>55</v>
      </c>
      <c r="I23" s="229">
        <v>0.43</v>
      </c>
      <c r="J23" s="184" t="s">
        <v>311</v>
      </c>
      <c r="K23" s="195">
        <v>8252703.4500000002</v>
      </c>
      <c r="L23" s="185">
        <v>4457857.5999999996</v>
      </c>
      <c r="M23" s="179">
        <f>K23-L23</f>
        <v>3794845.8500000006</v>
      </c>
      <c r="N23" s="224">
        <v>0.8</v>
      </c>
      <c r="O23" s="185"/>
      <c r="P23" s="185"/>
      <c r="Q23" s="209"/>
      <c r="R23" s="208"/>
      <c r="S23" s="208"/>
      <c r="T23" s="185">
        <v>4457857.5999999996</v>
      </c>
      <c r="U23" s="176"/>
      <c r="V23" s="176"/>
      <c r="W23" s="208"/>
      <c r="X23" s="208"/>
      <c r="Y23" s="209"/>
      <c r="Z23" s="209"/>
      <c r="AA23" s="238" t="b">
        <f t="shared" si="3"/>
        <v>1</v>
      </c>
      <c r="AB23" s="261">
        <f t="shared" si="0"/>
        <v>0.54020000000000001</v>
      </c>
      <c r="AC23" s="262" t="b">
        <f t="shared" si="1"/>
        <v>0</v>
      </c>
      <c r="AD23" s="262" t="b">
        <f t="shared" si="2"/>
        <v>1</v>
      </c>
    </row>
    <row r="24" spans="1:30" ht="30" customHeight="1" x14ac:dyDescent="0.25">
      <c r="A24" s="219">
        <v>22</v>
      </c>
      <c r="B24" s="186" t="s">
        <v>312</v>
      </c>
      <c r="C24" s="202" t="s">
        <v>91</v>
      </c>
      <c r="D24" s="188" t="s">
        <v>313</v>
      </c>
      <c r="E24" s="169" t="s">
        <v>314</v>
      </c>
      <c r="F24" s="168" t="s">
        <v>195</v>
      </c>
      <c r="G24" s="186" t="s">
        <v>315</v>
      </c>
      <c r="H24" s="168" t="s">
        <v>55</v>
      </c>
      <c r="I24" s="171">
        <v>0.52500000000000002</v>
      </c>
      <c r="J24" s="190" t="s">
        <v>316</v>
      </c>
      <c r="K24" s="197">
        <v>1801260</v>
      </c>
      <c r="L24" s="191">
        <f>ROUNDDOWN(K24*N24,2)</f>
        <v>1441008</v>
      </c>
      <c r="M24" s="178">
        <f>K24-L24</f>
        <v>360252</v>
      </c>
      <c r="N24" s="175">
        <v>0.8</v>
      </c>
      <c r="O24" s="185"/>
      <c r="P24" s="185"/>
      <c r="Q24" s="209"/>
      <c r="R24" s="208"/>
      <c r="S24" s="208"/>
      <c r="T24" s="191">
        <v>272026.06</v>
      </c>
      <c r="U24" s="176">
        <v>1168981.94</v>
      </c>
      <c r="V24" s="176"/>
      <c r="W24" s="208"/>
      <c r="X24" s="208"/>
      <c r="Y24" s="209"/>
      <c r="Z24" s="209"/>
      <c r="AA24" s="238" t="b">
        <f t="shared" si="3"/>
        <v>1</v>
      </c>
      <c r="AB24" s="261">
        <f t="shared" si="0"/>
        <v>0.8</v>
      </c>
      <c r="AC24" s="262" t="b">
        <f t="shared" si="1"/>
        <v>1</v>
      </c>
      <c r="AD24" s="262" t="b">
        <f t="shared" si="2"/>
        <v>1</v>
      </c>
    </row>
    <row r="25" spans="1:30" ht="30" customHeight="1" x14ac:dyDescent="0.25">
      <c r="A25" s="208">
        <v>23</v>
      </c>
      <c r="B25" s="180" t="s">
        <v>317</v>
      </c>
      <c r="C25" s="225" t="s">
        <v>85</v>
      </c>
      <c r="D25" s="182" t="s">
        <v>318</v>
      </c>
      <c r="E25" s="226" t="s">
        <v>319</v>
      </c>
      <c r="F25" s="228" t="s">
        <v>201</v>
      </c>
      <c r="G25" s="180" t="s">
        <v>320</v>
      </c>
      <c r="H25" s="228" t="s">
        <v>55</v>
      </c>
      <c r="I25" s="229">
        <v>0.995</v>
      </c>
      <c r="J25" s="184" t="s">
        <v>113</v>
      </c>
      <c r="K25" s="195">
        <v>655809.88</v>
      </c>
      <c r="L25" s="185">
        <f>ROUNDDOWN(K25*N25,2)</f>
        <v>459066.91</v>
      </c>
      <c r="M25" s="179">
        <f>K25-L25</f>
        <v>196742.97000000003</v>
      </c>
      <c r="N25" s="224">
        <v>0.7</v>
      </c>
      <c r="O25" s="185"/>
      <c r="P25" s="185"/>
      <c r="Q25" s="209"/>
      <c r="R25" s="208"/>
      <c r="S25" s="208"/>
      <c r="T25" s="185">
        <f>L25</f>
        <v>459066.91</v>
      </c>
      <c r="U25" s="206"/>
      <c r="V25" s="176"/>
      <c r="W25" s="208"/>
      <c r="X25" s="208"/>
      <c r="Y25" s="209"/>
      <c r="Z25" s="209"/>
      <c r="AA25" s="238" t="b">
        <f t="shared" si="3"/>
        <v>1</v>
      </c>
      <c r="AB25" s="261">
        <f t="shared" si="0"/>
        <v>0.7</v>
      </c>
      <c r="AC25" s="262" t="b">
        <f t="shared" si="1"/>
        <v>1</v>
      </c>
      <c r="AD25" s="262" t="b">
        <f t="shared" si="2"/>
        <v>1</v>
      </c>
    </row>
    <row r="26" spans="1:30" ht="51.75" customHeight="1" x14ac:dyDescent="0.25">
      <c r="A26" s="208">
        <v>24</v>
      </c>
      <c r="B26" s="180" t="s">
        <v>321</v>
      </c>
      <c r="C26" s="225" t="s">
        <v>85</v>
      </c>
      <c r="D26" s="182" t="s">
        <v>322</v>
      </c>
      <c r="E26" s="226" t="s">
        <v>323</v>
      </c>
      <c r="F26" s="228" t="s">
        <v>324</v>
      </c>
      <c r="G26" s="180" t="s">
        <v>325</v>
      </c>
      <c r="H26" s="228" t="s">
        <v>55</v>
      </c>
      <c r="I26" s="229">
        <v>0.62</v>
      </c>
      <c r="J26" s="184" t="s">
        <v>326</v>
      </c>
      <c r="K26" s="195">
        <v>1240356.8</v>
      </c>
      <c r="L26" s="185">
        <f>K26*N26</f>
        <v>992285.44000000006</v>
      </c>
      <c r="M26" s="179">
        <f>K26-L26</f>
        <v>248071.36</v>
      </c>
      <c r="N26" s="224">
        <v>0.8</v>
      </c>
      <c r="O26" s="185"/>
      <c r="P26" s="185"/>
      <c r="Q26" s="209"/>
      <c r="R26" s="208"/>
      <c r="S26" s="208"/>
      <c r="T26" s="185">
        <f>L26</f>
        <v>992285.44000000006</v>
      </c>
      <c r="U26" s="206"/>
      <c r="V26" s="208"/>
      <c r="W26" s="208"/>
      <c r="X26" s="208"/>
      <c r="Y26" s="209"/>
      <c r="Z26" s="209"/>
      <c r="AA26" s="238" t="b">
        <f t="shared" si="3"/>
        <v>1</v>
      </c>
      <c r="AB26" s="261">
        <f t="shared" si="0"/>
        <v>0.8</v>
      </c>
      <c r="AC26" s="262" t="b">
        <f t="shared" si="1"/>
        <v>1</v>
      </c>
      <c r="AD26" s="262" t="b">
        <f t="shared" si="2"/>
        <v>1</v>
      </c>
    </row>
    <row r="27" spans="1:30" ht="30" customHeight="1" x14ac:dyDescent="0.25">
      <c r="A27" s="208">
        <v>25</v>
      </c>
      <c r="B27" s="180" t="s">
        <v>912</v>
      </c>
      <c r="C27" s="225"/>
      <c r="D27" s="182" t="s">
        <v>199</v>
      </c>
      <c r="E27" s="226" t="s">
        <v>200</v>
      </c>
      <c r="F27" s="228" t="s">
        <v>201</v>
      </c>
      <c r="G27" s="180" t="s">
        <v>327</v>
      </c>
      <c r="H27" s="228" t="s">
        <v>82</v>
      </c>
      <c r="I27" s="229">
        <v>0</v>
      </c>
      <c r="J27" s="184" t="s">
        <v>113</v>
      </c>
      <c r="K27" s="195"/>
      <c r="L27" s="185"/>
      <c r="M27" s="179"/>
      <c r="N27" s="224">
        <v>0.8</v>
      </c>
      <c r="O27" s="185"/>
      <c r="P27" s="185"/>
      <c r="Q27" s="209"/>
      <c r="R27" s="208"/>
      <c r="S27" s="208"/>
      <c r="T27" s="185"/>
      <c r="U27" s="206"/>
      <c r="V27" s="176"/>
      <c r="W27" s="208"/>
      <c r="X27" s="208"/>
      <c r="Y27" s="209"/>
      <c r="Z27" s="209"/>
      <c r="AA27" s="238" t="b">
        <f t="shared" si="3"/>
        <v>1</v>
      </c>
      <c r="AB27" s="261" t="e">
        <f t="shared" si="0"/>
        <v>#DIV/0!</v>
      </c>
      <c r="AC27" s="262" t="e">
        <f t="shared" si="1"/>
        <v>#DIV/0!</v>
      </c>
      <c r="AD27" s="262" t="b">
        <f t="shared" si="2"/>
        <v>1</v>
      </c>
    </row>
    <row r="28" spans="1:30" ht="49.5" customHeight="1" x14ac:dyDescent="0.25">
      <c r="A28" s="208">
        <v>26</v>
      </c>
      <c r="B28" s="180" t="s">
        <v>328</v>
      </c>
      <c r="C28" s="225" t="s">
        <v>85</v>
      </c>
      <c r="D28" s="182" t="s">
        <v>225</v>
      </c>
      <c r="E28" s="226" t="s">
        <v>329</v>
      </c>
      <c r="F28" s="228" t="s">
        <v>212</v>
      </c>
      <c r="G28" s="180" t="s">
        <v>330</v>
      </c>
      <c r="H28" s="228" t="s">
        <v>55</v>
      </c>
      <c r="I28" s="229">
        <v>0.878</v>
      </c>
      <c r="J28" s="184" t="s">
        <v>331</v>
      </c>
      <c r="K28" s="195">
        <v>4434834.6399999997</v>
      </c>
      <c r="L28" s="185">
        <f t="shared" ref="L28:L30" si="4">ROUNDDOWN(K28*N28,2)</f>
        <v>3547867.71</v>
      </c>
      <c r="M28" s="179">
        <f t="shared" ref="M28:M35" si="5">K28-L28</f>
        <v>886966.9299999997</v>
      </c>
      <c r="N28" s="224">
        <v>0.8</v>
      </c>
      <c r="O28" s="185"/>
      <c r="P28" s="185"/>
      <c r="Q28" s="209"/>
      <c r="R28" s="208"/>
      <c r="S28" s="208"/>
      <c r="T28" s="185">
        <f>L28</f>
        <v>3547867.71</v>
      </c>
      <c r="U28" s="206"/>
      <c r="V28" s="208"/>
      <c r="W28" s="208"/>
      <c r="X28" s="208"/>
      <c r="Y28" s="209"/>
      <c r="Z28" s="209"/>
      <c r="AA28" s="238" t="b">
        <f t="shared" si="3"/>
        <v>1</v>
      </c>
      <c r="AB28" s="261">
        <f t="shared" si="0"/>
        <v>0.8</v>
      </c>
      <c r="AC28" s="262" t="b">
        <f t="shared" si="1"/>
        <v>1</v>
      </c>
      <c r="AD28" s="262" t="b">
        <f t="shared" si="2"/>
        <v>1</v>
      </c>
    </row>
    <row r="29" spans="1:30" ht="30" customHeight="1" x14ac:dyDescent="0.25">
      <c r="A29" s="208">
        <v>27</v>
      </c>
      <c r="B29" s="180" t="s">
        <v>332</v>
      </c>
      <c r="C29" s="225" t="s">
        <v>85</v>
      </c>
      <c r="D29" s="182" t="s">
        <v>333</v>
      </c>
      <c r="E29" s="226" t="s">
        <v>334</v>
      </c>
      <c r="F29" s="228" t="s">
        <v>201</v>
      </c>
      <c r="G29" s="180" t="s">
        <v>335</v>
      </c>
      <c r="H29" s="228" t="s">
        <v>55</v>
      </c>
      <c r="I29" s="229">
        <v>1.2</v>
      </c>
      <c r="J29" s="184" t="s">
        <v>108</v>
      </c>
      <c r="K29" s="195">
        <v>2715248.2</v>
      </c>
      <c r="L29" s="185">
        <v>1961309.6</v>
      </c>
      <c r="M29" s="179">
        <f t="shared" si="5"/>
        <v>753938.60000000009</v>
      </c>
      <c r="N29" s="224">
        <v>0.8</v>
      </c>
      <c r="O29" s="185"/>
      <c r="P29" s="185"/>
      <c r="Q29" s="209"/>
      <c r="R29" s="208"/>
      <c r="S29" s="208"/>
      <c r="T29" s="185">
        <v>1961309.6</v>
      </c>
      <c r="U29" s="176"/>
      <c r="V29" s="176"/>
      <c r="W29" s="208"/>
      <c r="X29" s="208"/>
      <c r="Y29" s="209"/>
      <c r="Z29" s="209"/>
      <c r="AA29" s="238" t="b">
        <f t="shared" si="3"/>
        <v>1</v>
      </c>
      <c r="AB29" s="261">
        <f t="shared" si="0"/>
        <v>0.72230000000000005</v>
      </c>
      <c r="AC29" s="262" t="b">
        <f t="shared" si="1"/>
        <v>0</v>
      </c>
      <c r="AD29" s="262" t="b">
        <f t="shared" si="2"/>
        <v>1</v>
      </c>
    </row>
    <row r="30" spans="1:30" ht="30" customHeight="1" x14ac:dyDescent="0.25">
      <c r="A30" s="208">
        <v>28</v>
      </c>
      <c r="B30" s="180" t="s">
        <v>336</v>
      </c>
      <c r="C30" s="225" t="s">
        <v>85</v>
      </c>
      <c r="D30" s="182" t="s">
        <v>337</v>
      </c>
      <c r="E30" s="226" t="s">
        <v>865</v>
      </c>
      <c r="F30" s="228" t="s">
        <v>212</v>
      </c>
      <c r="G30" s="180" t="s">
        <v>338</v>
      </c>
      <c r="H30" s="228" t="s">
        <v>55</v>
      </c>
      <c r="I30" s="229">
        <v>1.244</v>
      </c>
      <c r="J30" s="184" t="s">
        <v>89</v>
      </c>
      <c r="K30" s="195">
        <v>2006685.68</v>
      </c>
      <c r="L30" s="185">
        <f t="shared" si="4"/>
        <v>1404679.97</v>
      </c>
      <c r="M30" s="179">
        <f t="shared" si="5"/>
        <v>602005.71</v>
      </c>
      <c r="N30" s="224">
        <v>0.7</v>
      </c>
      <c r="O30" s="185"/>
      <c r="P30" s="185"/>
      <c r="Q30" s="209"/>
      <c r="R30" s="208"/>
      <c r="S30" s="208"/>
      <c r="T30" s="185">
        <f>L30</f>
        <v>1404679.97</v>
      </c>
      <c r="U30" s="176"/>
      <c r="V30" s="176"/>
      <c r="W30" s="208"/>
      <c r="X30" s="208"/>
      <c r="Y30" s="209"/>
      <c r="Z30" s="209"/>
      <c r="AA30" s="238" t="b">
        <f t="shared" si="3"/>
        <v>1</v>
      </c>
      <c r="AB30" s="261">
        <f t="shared" si="0"/>
        <v>0.7</v>
      </c>
      <c r="AC30" s="262" t="b">
        <f t="shared" si="1"/>
        <v>1</v>
      </c>
      <c r="AD30" s="262" t="b">
        <f t="shared" si="2"/>
        <v>1</v>
      </c>
    </row>
    <row r="31" spans="1:30" ht="39" customHeight="1" x14ac:dyDescent="0.25">
      <c r="A31" s="208">
        <v>29</v>
      </c>
      <c r="B31" s="180" t="s">
        <v>339</v>
      </c>
      <c r="C31" s="225" t="s">
        <v>85</v>
      </c>
      <c r="D31" s="182" t="s">
        <v>340</v>
      </c>
      <c r="E31" s="226" t="s">
        <v>867</v>
      </c>
      <c r="F31" s="228" t="s">
        <v>341</v>
      </c>
      <c r="G31" s="180" t="s">
        <v>342</v>
      </c>
      <c r="H31" s="228" t="s">
        <v>61</v>
      </c>
      <c r="I31" s="229">
        <v>0.95599999999999996</v>
      </c>
      <c r="J31" s="184" t="s">
        <v>343</v>
      </c>
      <c r="K31" s="195">
        <v>3550160</v>
      </c>
      <c r="L31" s="185">
        <v>1327945</v>
      </c>
      <c r="M31" s="179">
        <f t="shared" si="5"/>
        <v>2222215</v>
      </c>
      <c r="N31" s="224">
        <v>0.5</v>
      </c>
      <c r="O31" s="185"/>
      <c r="P31" s="185"/>
      <c r="Q31" s="209"/>
      <c r="R31" s="208"/>
      <c r="S31" s="208"/>
      <c r="T31" s="185">
        <f>L31</f>
        <v>1327945</v>
      </c>
      <c r="U31" s="176"/>
      <c r="V31" s="176"/>
      <c r="W31" s="208"/>
      <c r="X31" s="208"/>
      <c r="Y31" s="209"/>
      <c r="Z31" s="209"/>
      <c r="AA31" s="238" t="b">
        <f t="shared" si="3"/>
        <v>1</v>
      </c>
      <c r="AB31" s="261">
        <f t="shared" si="0"/>
        <v>0.37409999999999999</v>
      </c>
      <c r="AC31" s="262" t="b">
        <f t="shared" si="1"/>
        <v>0</v>
      </c>
      <c r="AD31" s="262" t="b">
        <f t="shared" si="2"/>
        <v>1</v>
      </c>
    </row>
    <row r="32" spans="1:30" ht="30" customHeight="1" x14ac:dyDescent="0.25">
      <c r="A32" s="208">
        <v>30</v>
      </c>
      <c r="B32" s="180" t="s">
        <v>344</v>
      </c>
      <c r="C32" s="225" t="s">
        <v>85</v>
      </c>
      <c r="D32" s="182" t="s">
        <v>345</v>
      </c>
      <c r="E32" s="226" t="s">
        <v>346</v>
      </c>
      <c r="F32" s="228" t="s">
        <v>347</v>
      </c>
      <c r="G32" s="180" t="s">
        <v>885</v>
      </c>
      <c r="H32" s="228" t="s">
        <v>55</v>
      </c>
      <c r="I32" s="229">
        <v>0.625</v>
      </c>
      <c r="J32" s="184" t="s">
        <v>348</v>
      </c>
      <c r="K32" s="195">
        <v>3507187.35</v>
      </c>
      <c r="L32" s="185">
        <v>2392035.2000000002</v>
      </c>
      <c r="M32" s="179">
        <f t="shared" si="5"/>
        <v>1115152.1499999999</v>
      </c>
      <c r="N32" s="224">
        <v>0.8</v>
      </c>
      <c r="O32" s="185"/>
      <c r="P32" s="185"/>
      <c r="Q32" s="209"/>
      <c r="R32" s="208"/>
      <c r="S32" s="208"/>
      <c r="T32" s="185">
        <v>2392035.2000000002</v>
      </c>
      <c r="U32" s="176"/>
      <c r="V32" s="176"/>
      <c r="W32" s="208"/>
      <c r="X32" s="208"/>
      <c r="Y32" s="209"/>
      <c r="Z32" s="209"/>
      <c r="AA32" s="238" t="b">
        <f t="shared" si="3"/>
        <v>1</v>
      </c>
      <c r="AB32" s="261">
        <f t="shared" si="0"/>
        <v>0.68200000000000005</v>
      </c>
      <c r="AC32" s="262" t="b">
        <f t="shared" si="1"/>
        <v>0</v>
      </c>
      <c r="AD32" s="262" t="b">
        <f t="shared" si="2"/>
        <v>1</v>
      </c>
    </row>
    <row r="33" spans="1:30" ht="30" customHeight="1" x14ac:dyDescent="0.25">
      <c r="A33" s="208">
        <v>31</v>
      </c>
      <c r="B33" s="180" t="s">
        <v>349</v>
      </c>
      <c r="C33" s="225" t="s">
        <v>85</v>
      </c>
      <c r="D33" s="182" t="s">
        <v>350</v>
      </c>
      <c r="E33" s="226" t="s">
        <v>351</v>
      </c>
      <c r="F33" s="228" t="s">
        <v>212</v>
      </c>
      <c r="G33" s="180" t="s">
        <v>352</v>
      </c>
      <c r="H33" s="228" t="s">
        <v>55</v>
      </c>
      <c r="I33" s="229">
        <v>0.64100000000000001</v>
      </c>
      <c r="J33" s="184" t="s">
        <v>181</v>
      </c>
      <c r="K33" s="195">
        <v>2758021.1</v>
      </c>
      <c r="L33" s="185">
        <f t="shared" ref="L33" si="6">ROUNDDOWN(K33*N33,2)</f>
        <v>2206416.88</v>
      </c>
      <c r="M33" s="179">
        <f t="shared" si="5"/>
        <v>551604.2200000002</v>
      </c>
      <c r="N33" s="224">
        <v>0.8</v>
      </c>
      <c r="O33" s="185"/>
      <c r="P33" s="185"/>
      <c r="Q33" s="209"/>
      <c r="R33" s="208"/>
      <c r="S33" s="208"/>
      <c r="T33" s="185">
        <v>2206416.88</v>
      </c>
      <c r="U33" s="176"/>
      <c r="V33" s="176"/>
      <c r="W33" s="208"/>
      <c r="X33" s="208"/>
      <c r="Y33" s="209"/>
      <c r="Z33" s="209"/>
      <c r="AA33" s="238" t="b">
        <f t="shared" si="3"/>
        <v>1</v>
      </c>
      <c r="AB33" s="261">
        <f t="shared" si="0"/>
        <v>0.8</v>
      </c>
      <c r="AC33" s="262" t="b">
        <f t="shared" si="1"/>
        <v>1</v>
      </c>
      <c r="AD33" s="262" t="b">
        <f t="shared" si="2"/>
        <v>1</v>
      </c>
    </row>
    <row r="34" spans="1:30" ht="30" customHeight="1" x14ac:dyDescent="0.25">
      <c r="A34" s="208">
        <v>32</v>
      </c>
      <c r="B34" s="180" t="s">
        <v>353</v>
      </c>
      <c r="C34" s="225" t="s">
        <v>85</v>
      </c>
      <c r="D34" s="182" t="s">
        <v>354</v>
      </c>
      <c r="E34" s="226" t="s">
        <v>355</v>
      </c>
      <c r="F34" s="228" t="s">
        <v>201</v>
      </c>
      <c r="G34" s="180" t="s">
        <v>895</v>
      </c>
      <c r="H34" s="228" t="s">
        <v>55</v>
      </c>
      <c r="I34" s="229">
        <v>0.55600000000000005</v>
      </c>
      <c r="J34" s="184" t="s">
        <v>356</v>
      </c>
      <c r="K34" s="195">
        <v>1636335.06</v>
      </c>
      <c r="L34" s="185">
        <v>851776.1</v>
      </c>
      <c r="M34" s="179">
        <f t="shared" si="5"/>
        <v>784558.96000000008</v>
      </c>
      <c r="N34" s="224">
        <v>0.7</v>
      </c>
      <c r="O34" s="185"/>
      <c r="P34" s="185"/>
      <c r="Q34" s="209"/>
      <c r="R34" s="208"/>
      <c r="S34" s="208"/>
      <c r="T34" s="185">
        <v>851776.1</v>
      </c>
      <c r="U34" s="206"/>
      <c r="V34" s="208"/>
      <c r="W34" s="208"/>
      <c r="X34" s="208"/>
      <c r="Y34" s="209"/>
      <c r="Z34" s="209"/>
      <c r="AA34" s="238" t="b">
        <f t="shared" si="3"/>
        <v>1</v>
      </c>
      <c r="AB34" s="261">
        <f t="shared" si="0"/>
        <v>0.52049999999999996</v>
      </c>
      <c r="AC34" s="262" t="b">
        <f t="shared" si="1"/>
        <v>0</v>
      </c>
      <c r="AD34" s="262" t="b">
        <f t="shared" si="2"/>
        <v>1</v>
      </c>
    </row>
    <row r="35" spans="1:30" ht="30" customHeight="1" x14ac:dyDescent="0.25">
      <c r="A35" s="208">
        <v>33</v>
      </c>
      <c r="B35" s="180" t="s">
        <v>357</v>
      </c>
      <c r="C35" s="225" t="s">
        <v>85</v>
      </c>
      <c r="D35" s="182" t="s">
        <v>358</v>
      </c>
      <c r="E35" s="226" t="s">
        <v>221</v>
      </c>
      <c r="F35" s="228" t="s">
        <v>206</v>
      </c>
      <c r="G35" s="180" t="s">
        <v>883</v>
      </c>
      <c r="H35" s="228" t="s">
        <v>55</v>
      </c>
      <c r="I35" s="229">
        <v>0.74</v>
      </c>
      <c r="J35" s="184" t="s">
        <v>108</v>
      </c>
      <c r="K35" s="195">
        <v>951163.81</v>
      </c>
      <c r="L35" s="185">
        <v>676764.8</v>
      </c>
      <c r="M35" s="179">
        <f t="shared" si="5"/>
        <v>274399.01</v>
      </c>
      <c r="N35" s="224">
        <v>0.8</v>
      </c>
      <c r="O35" s="185"/>
      <c r="P35" s="185"/>
      <c r="Q35" s="209"/>
      <c r="R35" s="208"/>
      <c r="S35" s="208"/>
      <c r="T35" s="185">
        <v>676764.8</v>
      </c>
      <c r="U35" s="176"/>
      <c r="V35" s="176"/>
      <c r="W35" s="208"/>
      <c r="X35" s="208"/>
      <c r="Y35" s="209"/>
      <c r="Z35" s="209"/>
      <c r="AA35" s="238" t="b">
        <f t="shared" si="3"/>
        <v>1</v>
      </c>
      <c r="AB35" s="261">
        <f t="shared" si="0"/>
        <v>0.71150000000000002</v>
      </c>
      <c r="AC35" s="262" t="b">
        <f t="shared" si="1"/>
        <v>0</v>
      </c>
      <c r="AD35" s="262" t="b">
        <f t="shared" si="2"/>
        <v>1</v>
      </c>
    </row>
    <row r="36" spans="1:30" ht="30" customHeight="1" x14ac:dyDescent="0.25">
      <c r="A36" s="208">
        <v>34</v>
      </c>
      <c r="B36" s="180" t="s">
        <v>359</v>
      </c>
      <c r="C36" s="225" t="s">
        <v>85</v>
      </c>
      <c r="D36" s="182" t="s">
        <v>360</v>
      </c>
      <c r="E36" s="226" t="s">
        <v>361</v>
      </c>
      <c r="F36" s="228" t="s">
        <v>362</v>
      </c>
      <c r="G36" s="180" t="s">
        <v>363</v>
      </c>
      <c r="H36" s="228" t="s">
        <v>61</v>
      </c>
      <c r="I36" s="229">
        <v>0.84199999999999997</v>
      </c>
      <c r="J36" s="184" t="s">
        <v>308</v>
      </c>
      <c r="K36" s="195">
        <v>897261.38</v>
      </c>
      <c r="L36" s="185">
        <f t="shared" ref="L36" si="7">ROUNDDOWN(K36*N36,2)</f>
        <v>717809.1</v>
      </c>
      <c r="M36" s="179">
        <f t="shared" ref="M36:M41" si="8">K36-L36</f>
        <v>179452.28000000003</v>
      </c>
      <c r="N36" s="224">
        <v>0.8</v>
      </c>
      <c r="O36" s="185"/>
      <c r="P36" s="185"/>
      <c r="Q36" s="209"/>
      <c r="R36" s="208"/>
      <c r="S36" s="208"/>
      <c r="T36" s="185">
        <f t="shared" ref="T36:T41" si="9">L36</f>
        <v>717809.1</v>
      </c>
      <c r="U36" s="176"/>
      <c r="V36" s="176"/>
      <c r="W36" s="208"/>
      <c r="X36" s="208"/>
      <c r="Y36" s="209"/>
      <c r="Z36" s="209"/>
      <c r="AA36" s="238" t="b">
        <f t="shared" si="3"/>
        <v>1</v>
      </c>
      <c r="AB36" s="261">
        <f t="shared" si="0"/>
        <v>0.8</v>
      </c>
      <c r="AC36" s="262" t="b">
        <f t="shared" si="1"/>
        <v>1</v>
      </c>
      <c r="AD36" s="262" t="b">
        <f t="shared" si="2"/>
        <v>1</v>
      </c>
    </row>
    <row r="37" spans="1:30" ht="30" customHeight="1" x14ac:dyDescent="0.25">
      <c r="A37" s="208">
        <v>35</v>
      </c>
      <c r="B37" s="180" t="s">
        <v>364</v>
      </c>
      <c r="C37" s="225" t="s">
        <v>85</v>
      </c>
      <c r="D37" s="182" t="s">
        <v>365</v>
      </c>
      <c r="E37" s="226" t="s">
        <v>366</v>
      </c>
      <c r="F37" s="228" t="s">
        <v>201</v>
      </c>
      <c r="G37" s="180" t="s">
        <v>367</v>
      </c>
      <c r="H37" s="228" t="s">
        <v>55</v>
      </c>
      <c r="I37" s="229">
        <v>0.30099999999999999</v>
      </c>
      <c r="J37" s="184" t="s">
        <v>368</v>
      </c>
      <c r="K37" s="195">
        <v>804480.2</v>
      </c>
      <c r="L37" s="185">
        <f>ROUNDDOWN(K37*N37,2)</f>
        <v>563136.14</v>
      </c>
      <c r="M37" s="179">
        <f t="shared" si="8"/>
        <v>241344.05999999994</v>
      </c>
      <c r="N37" s="224">
        <v>0.7</v>
      </c>
      <c r="O37" s="185"/>
      <c r="P37" s="185"/>
      <c r="Q37" s="209"/>
      <c r="R37" s="208"/>
      <c r="S37" s="208"/>
      <c r="T37" s="185">
        <f t="shared" si="9"/>
        <v>563136.14</v>
      </c>
      <c r="U37" s="176"/>
      <c r="V37" s="176"/>
      <c r="W37" s="208"/>
      <c r="X37" s="208"/>
      <c r="Y37" s="209"/>
      <c r="Z37" s="209"/>
      <c r="AA37" s="238" t="b">
        <f t="shared" si="3"/>
        <v>1</v>
      </c>
      <c r="AB37" s="261">
        <f t="shared" si="0"/>
        <v>0.7</v>
      </c>
      <c r="AC37" s="262" t="b">
        <f t="shared" si="1"/>
        <v>1</v>
      </c>
      <c r="AD37" s="262" t="b">
        <f t="shared" si="2"/>
        <v>1</v>
      </c>
    </row>
    <row r="38" spans="1:30" ht="30" customHeight="1" x14ac:dyDescent="0.25">
      <c r="A38" s="208">
        <v>36</v>
      </c>
      <c r="B38" s="180" t="s">
        <v>369</v>
      </c>
      <c r="C38" s="225" t="s">
        <v>85</v>
      </c>
      <c r="D38" s="182" t="s">
        <v>370</v>
      </c>
      <c r="E38" s="226" t="s">
        <v>868</v>
      </c>
      <c r="F38" s="228" t="s">
        <v>371</v>
      </c>
      <c r="G38" s="180" t="s">
        <v>372</v>
      </c>
      <c r="H38" s="228" t="s">
        <v>55</v>
      </c>
      <c r="I38" s="229">
        <v>0.33400000000000002</v>
      </c>
      <c r="J38" s="184" t="s">
        <v>373</v>
      </c>
      <c r="K38" s="195">
        <v>329475.45</v>
      </c>
      <c r="L38" s="185">
        <f>ROUNDDOWN(K38*N38,2)</f>
        <v>263580.36</v>
      </c>
      <c r="M38" s="179">
        <f t="shared" si="8"/>
        <v>65895.090000000026</v>
      </c>
      <c r="N38" s="224">
        <v>0.8</v>
      </c>
      <c r="O38" s="185"/>
      <c r="P38" s="185"/>
      <c r="Q38" s="209"/>
      <c r="R38" s="208"/>
      <c r="S38" s="208"/>
      <c r="T38" s="185">
        <f t="shared" si="9"/>
        <v>263580.36</v>
      </c>
      <c r="U38" s="197"/>
      <c r="V38" s="208"/>
      <c r="W38" s="208"/>
      <c r="X38" s="208"/>
      <c r="Y38" s="209"/>
      <c r="Z38" s="209"/>
      <c r="AA38" s="238" t="b">
        <f t="shared" si="3"/>
        <v>1</v>
      </c>
      <c r="AB38" s="261">
        <f t="shared" si="0"/>
        <v>0.8</v>
      </c>
      <c r="AC38" s="262" t="b">
        <f t="shared" si="1"/>
        <v>1</v>
      </c>
      <c r="AD38" s="262" t="b">
        <f t="shared" si="2"/>
        <v>1</v>
      </c>
    </row>
    <row r="39" spans="1:30" ht="30" customHeight="1" x14ac:dyDescent="0.25">
      <c r="A39" s="208">
        <v>37</v>
      </c>
      <c r="B39" s="180" t="s">
        <v>374</v>
      </c>
      <c r="C39" s="225" t="s">
        <v>85</v>
      </c>
      <c r="D39" s="182" t="s">
        <v>375</v>
      </c>
      <c r="E39" s="226" t="s">
        <v>376</v>
      </c>
      <c r="F39" s="228" t="s">
        <v>377</v>
      </c>
      <c r="G39" s="180" t="s">
        <v>896</v>
      </c>
      <c r="H39" s="228" t="s">
        <v>55</v>
      </c>
      <c r="I39" s="229">
        <v>0.75</v>
      </c>
      <c r="J39" s="184" t="s">
        <v>378</v>
      </c>
      <c r="K39" s="195">
        <v>2495325.9</v>
      </c>
      <c r="L39" s="185">
        <f>ROUNDDOWN(K39*N39,2)</f>
        <v>1996260.72</v>
      </c>
      <c r="M39" s="179">
        <f t="shared" si="8"/>
        <v>499065.17999999993</v>
      </c>
      <c r="N39" s="224">
        <v>0.8</v>
      </c>
      <c r="O39" s="185"/>
      <c r="P39" s="185"/>
      <c r="Q39" s="209"/>
      <c r="R39" s="208"/>
      <c r="S39" s="208"/>
      <c r="T39" s="185">
        <f t="shared" si="9"/>
        <v>1996260.72</v>
      </c>
      <c r="U39" s="206"/>
      <c r="V39" s="208"/>
      <c r="W39" s="208"/>
      <c r="X39" s="208"/>
      <c r="Y39" s="209"/>
      <c r="Z39" s="209"/>
      <c r="AA39" s="238" t="b">
        <f t="shared" si="3"/>
        <v>1</v>
      </c>
      <c r="AB39" s="261">
        <f t="shared" si="0"/>
        <v>0.8</v>
      </c>
      <c r="AC39" s="262" t="b">
        <f t="shared" si="1"/>
        <v>1</v>
      </c>
      <c r="AD39" s="262" t="b">
        <f t="shared" si="2"/>
        <v>1</v>
      </c>
    </row>
    <row r="40" spans="1:30" ht="51" customHeight="1" x14ac:dyDescent="0.25">
      <c r="A40" s="208">
        <v>38</v>
      </c>
      <c r="B40" s="266" t="s">
        <v>379</v>
      </c>
      <c r="C40" s="225" t="s">
        <v>85</v>
      </c>
      <c r="D40" s="182" t="s">
        <v>380</v>
      </c>
      <c r="E40" s="226" t="s">
        <v>381</v>
      </c>
      <c r="F40" s="228" t="s">
        <v>201</v>
      </c>
      <c r="G40" s="180" t="s">
        <v>382</v>
      </c>
      <c r="H40" s="228" t="s">
        <v>55</v>
      </c>
      <c r="I40" s="229">
        <v>0.69</v>
      </c>
      <c r="J40" s="184" t="s">
        <v>311</v>
      </c>
      <c r="K40" s="195">
        <v>4488108.07</v>
      </c>
      <c r="L40" s="185">
        <f>ROUNDDOWN(K40*N40,2)</f>
        <v>3590486.45</v>
      </c>
      <c r="M40" s="179">
        <f t="shared" si="8"/>
        <v>897621.62000000011</v>
      </c>
      <c r="N40" s="224">
        <v>0.8</v>
      </c>
      <c r="O40" s="185"/>
      <c r="P40" s="185"/>
      <c r="Q40" s="209"/>
      <c r="R40" s="208"/>
      <c r="S40" s="208"/>
      <c r="T40" s="185">
        <f t="shared" si="9"/>
        <v>3590486.45</v>
      </c>
      <c r="U40" s="176"/>
      <c r="V40" s="176"/>
      <c r="W40" s="208"/>
      <c r="X40" s="208"/>
      <c r="Y40" s="209"/>
      <c r="Z40" s="209"/>
      <c r="AA40" s="238" t="b">
        <f t="shared" si="3"/>
        <v>1</v>
      </c>
      <c r="AB40" s="261">
        <f t="shared" si="0"/>
        <v>0.8</v>
      </c>
      <c r="AC40" s="262" t="b">
        <f t="shared" si="1"/>
        <v>1</v>
      </c>
      <c r="AD40" s="262" t="b">
        <f t="shared" si="2"/>
        <v>1</v>
      </c>
    </row>
    <row r="41" spans="1:30" ht="43.5" customHeight="1" x14ac:dyDescent="0.25">
      <c r="A41" s="208">
        <v>39</v>
      </c>
      <c r="B41" s="180" t="s">
        <v>383</v>
      </c>
      <c r="C41" s="225" t="s">
        <v>85</v>
      </c>
      <c r="D41" s="182" t="s">
        <v>384</v>
      </c>
      <c r="E41" s="226" t="s">
        <v>385</v>
      </c>
      <c r="F41" s="228" t="s">
        <v>268</v>
      </c>
      <c r="G41" s="180" t="s">
        <v>386</v>
      </c>
      <c r="H41" s="228" t="s">
        <v>55</v>
      </c>
      <c r="I41" s="229">
        <v>0.36099999999999999</v>
      </c>
      <c r="J41" s="184" t="s">
        <v>387</v>
      </c>
      <c r="K41" s="195">
        <v>1177872.1399999999</v>
      </c>
      <c r="L41" s="185">
        <f>ROUNDDOWN(K41*N41,2)</f>
        <v>942297.71</v>
      </c>
      <c r="M41" s="179">
        <f t="shared" si="8"/>
        <v>235574.42999999993</v>
      </c>
      <c r="N41" s="224">
        <v>0.8</v>
      </c>
      <c r="O41" s="185"/>
      <c r="P41" s="185"/>
      <c r="Q41" s="209"/>
      <c r="R41" s="208"/>
      <c r="S41" s="208"/>
      <c r="T41" s="185">
        <f t="shared" si="9"/>
        <v>942297.71</v>
      </c>
      <c r="U41" s="206"/>
      <c r="V41" s="208"/>
      <c r="W41" s="208"/>
      <c r="X41" s="208"/>
      <c r="Y41" s="209"/>
      <c r="Z41" s="209"/>
      <c r="AA41" s="238" t="b">
        <f t="shared" si="3"/>
        <v>1</v>
      </c>
      <c r="AB41" s="261">
        <f t="shared" si="0"/>
        <v>0.8</v>
      </c>
      <c r="AC41" s="262" t="b">
        <f t="shared" si="1"/>
        <v>1</v>
      </c>
      <c r="AD41" s="262" t="b">
        <f t="shared" si="2"/>
        <v>1</v>
      </c>
    </row>
    <row r="42" spans="1:30" ht="30" customHeight="1" x14ac:dyDescent="0.25">
      <c r="A42" s="219">
        <v>40</v>
      </c>
      <c r="B42" s="186" t="s">
        <v>388</v>
      </c>
      <c r="C42" s="202" t="s">
        <v>91</v>
      </c>
      <c r="D42" s="188" t="s">
        <v>389</v>
      </c>
      <c r="E42" s="169" t="s">
        <v>866</v>
      </c>
      <c r="F42" s="168" t="s">
        <v>341</v>
      </c>
      <c r="G42" s="186" t="s">
        <v>886</v>
      </c>
      <c r="H42" s="168" t="s">
        <v>55</v>
      </c>
      <c r="I42" s="171">
        <v>0.80500000000000005</v>
      </c>
      <c r="J42" s="190" t="s">
        <v>390</v>
      </c>
      <c r="K42" s="197">
        <v>2902606</v>
      </c>
      <c r="L42" s="191">
        <v>1695400</v>
      </c>
      <c r="M42" s="178">
        <f>K42-L42</f>
        <v>1207206</v>
      </c>
      <c r="N42" s="175">
        <v>0.7</v>
      </c>
      <c r="O42" s="185"/>
      <c r="P42" s="185"/>
      <c r="Q42" s="209"/>
      <c r="R42" s="208"/>
      <c r="S42" s="208"/>
      <c r="T42" s="191">
        <v>340900</v>
      </c>
      <c r="U42" s="176">
        <v>1354500</v>
      </c>
      <c r="V42" s="176"/>
      <c r="W42" s="208"/>
      <c r="X42" s="208"/>
      <c r="Y42" s="209"/>
      <c r="Z42" s="209"/>
      <c r="AA42" s="238" t="b">
        <f t="shared" si="3"/>
        <v>1</v>
      </c>
      <c r="AB42" s="261">
        <f t="shared" si="0"/>
        <v>0.58409999999999995</v>
      </c>
      <c r="AC42" s="262" t="b">
        <f t="shared" si="1"/>
        <v>0</v>
      </c>
      <c r="AD42" s="262" t="b">
        <f t="shared" si="2"/>
        <v>1</v>
      </c>
    </row>
    <row r="43" spans="1:30" ht="38.25" customHeight="1" x14ac:dyDescent="0.25">
      <c r="A43" s="219">
        <v>41</v>
      </c>
      <c r="B43" s="186" t="s">
        <v>391</v>
      </c>
      <c r="C43" s="202" t="s">
        <v>91</v>
      </c>
      <c r="D43" s="188" t="s">
        <v>392</v>
      </c>
      <c r="E43" s="169" t="s">
        <v>393</v>
      </c>
      <c r="F43" s="168" t="s">
        <v>195</v>
      </c>
      <c r="G43" s="186" t="s">
        <v>394</v>
      </c>
      <c r="H43" s="168" t="s">
        <v>55</v>
      </c>
      <c r="I43" s="171">
        <v>0.66400000000000003</v>
      </c>
      <c r="J43" s="190" t="s">
        <v>395</v>
      </c>
      <c r="K43" s="197">
        <v>1775701.8</v>
      </c>
      <c r="L43" s="191">
        <f>K43*N43</f>
        <v>1242991.26</v>
      </c>
      <c r="M43" s="178">
        <f>K43-L43</f>
        <v>532710.54</v>
      </c>
      <c r="N43" s="175">
        <v>0.7</v>
      </c>
      <c r="O43" s="185"/>
      <c r="P43" s="185"/>
      <c r="Q43" s="209"/>
      <c r="R43" s="208"/>
      <c r="S43" s="208"/>
      <c r="T43" s="191">
        <v>1118194.93</v>
      </c>
      <c r="U43" s="197">
        <v>124796.33</v>
      </c>
      <c r="V43" s="176"/>
      <c r="W43" s="208"/>
      <c r="X43" s="208"/>
      <c r="Y43" s="209"/>
      <c r="Z43" s="209"/>
      <c r="AA43" s="238" t="b">
        <f t="shared" si="3"/>
        <v>1</v>
      </c>
      <c r="AB43" s="261">
        <f t="shared" si="0"/>
        <v>0.7</v>
      </c>
      <c r="AC43" s="262" t="b">
        <f t="shared" si="1"/>
        <v>1</v>
      </c>
      <c r="AD43" s="262" t="b">
        <f t="shared" si="2"/>
        <v>1</v>
      </c>
    </row>
    <row r="44" spans="1:30" ht="30" customHeight="1" x14ac:dyDescent="0.25">
      <c r="A44" s="208">
        <v>42</v>
      </c>
      <c r="B44" s="180" t="s">
        <v>396</v>
      </c>
      <c r="C44" s="225" t="s">
        <v>85</v>
      </c>
      <c r="D44" s="182" t="s">
        <v>397</v>
      </c>
      <c r="E44" s="226" t="s">
        <v>398</v>
      </c>
      <c r="F44" s="228" t="s">
        <v>371</v>
      </c>
      <c r="G44" s="180" t="s">
        <v>399</v>
      </c>
      <c r="H44" s="228" t="s">
        <v>55</v>
      </c>
      <c r="I44" s="229">
        <v>0.91300000000000003</v>
      </c>
      <c r="J44" s="184" t="s">
        <v>89</v>
      </c>
      <c r="K44" s="195">
        <v>2896332</v>
      </c>
      <c r="L44" s="185">
        <f>ROUNDDOWN(K44*N44,2)</f>
        <v>2317065.6</v>
      </c>
      <c r="M44" s="179">
        <f>K44-L44</f>
        <v>579266.39999999991</v>
      </c>
      <c r="N44" s="224">
        <v>0.8</v>
      </c>
      <c r="O44" s="185"/>
      <c r="P44" s="185"/>
      <c r="Q44" s="209"/>
      <c r="R44" s="208"/>
      <c r="S44" s="208"/>
      <c r="T44" s="185">
        <f>L44</f>
        <v>2317065.6</v>
      </c>
      <c r="U44" s="197"/>
      <c r="V44" s="208"/>
      <c r="W44" s="208"/>
      <c r="X44" s="208"/>
      <c r="Y44" s="209"/>
      <c r="Z44" s="209"/>
      <c r="AA44" s="238" t="b">
        <f t="shared" si="3"/>
        <v>1</v>
      </c>
      <c r="AB44" s="261">
        <f t="shared" si="0"/>
        <v>0.8</v>
      </c>
      <c r="AC44" s="262" t="b">
        <f t="shared" si="1"/>
        <v>1</v>
      </c>
      <c r="AD44" s="262" t="b">
        <f t="shared" si="2"/>
        <v>1</v>
      </c>
    </row>
    <row r="45" spans="1:30" ht="30" customHeight="1" x14ac:dyDescent="0.25">
      <c r="A45" s="208">
        <v>43</v>
      </c>
      <c r="B45" s="180" t="s">
        <v>400</v>
      </c>
      <c r="C45" s="225" t="s">
        <v>85</v>
      </c>
      <c r="D45" s="182" t="s">
        <v>401</v>
      </c>
      <c r="E45" s="226" t="s">
        <v>402</v>
      </c>
      <c r="F45" s="228" t="s">
        <v>201</v>
      </c>
      <c r="G45" s="180" t="s">
        <v>403</v>
      </c>
      <c r="H45" s="228" t="s">
        <v>55</v>
      </c>
      <c r="I45" s="229">
        <v>0.999</v>
      </c>
      <c r="J45" s="184" t="s">
        <v>404</v>
      </c>
      <c r="K45" s="195">
        <v>5522114.3700000001</v>
      </c>
      <c r="L45" s="185">
        <v>4130403.2</v>
      </c>
      <c r="M45" s="179">
        <f>K45-L45</f>
        <v>1391711.17</v>
      </c>
      <c r="N45" s="224">
        <v>0.8</v>
      </c>
      <c r="O45" s="185"/>
      <c r="P45" s="185"/>
      <c r="Q45" s="209"/>
      <c r="R45" s="208"/>
      <c r="S45" s="208"/>
      <c r="T45" s="185">
        <v>4130403.2</v>
      </c>
      <c r="U45" s="206"/>
      <c r="V45" s="208"/>
      <c r="W45" s="208"/>
      <c r="X45" s="208"/>
      <c r="Y45" s="209"/>
      <c r="Z45" s="209"/>
      <c r="AA45" s="238" t="b">
        <f t="shared" si="3"/>
        <v>1</v>
      </c>
      <c r="AB45" s="261">
        <f t="shared" si="0"/>
        <v>0.748</v>
      </c>
      <c r="AC45" s="262" t="b">
        <f t="shared" si="1"/>
        <v>0</v>
      </c>
      <c r="AD45" s="262" t="b">
        <f t="shared" si="2"/>
        <v>1</v>
      </c>
    </row>
    <row r="46" spans="1:30" ht="30" customHeight="1" x14ac:dyDescent="0.25">
      <c r="A46" s="208">
        <v>44</v>
      </c>
      <c r="B46" s="180" t="s">
        <v>405</v>
      </c>
      <c r="C46" s="225" t="s">
        <v>85</v>
      </c>
      <c r="D46" s="182" t="s">
        <v>370</v>
      </c>
      <c r="E46" s="226" t="s">
        <v>868</v>
      </c>
      <c r="F46" s="228" t="s">
        <v>371</v>
      </c>
      <c r="G46" s="180" t="s">
        <v>406</v>
      </c>
      <c r="H46" s="228" t="s">
        <v>55</v>
      </c>
      <c r="I46" s="229">
        <v>0.999</v>
      </c>
      <c r="J46" s="184" t="s">
        <v>373</v>
      </c>
      <c r="K46" s="195">
        <v>2156590</v>
      </c>
      <c r="L46" s="185">
        <v>1725272</v>
      </c>
      <c r="M46" s="179">
        <v>431318</v>
      </c>
      <c r="N46" s="224">
        <v>0.8</v>
      </c>
      <c r="O46" s="185"/>
      <c r="P46" s="185"/>
      <c r="Q46" s="209"/>
      <c r="R46" s="208"/>
      <c r="S46" s="208"/>
      <c r="T46" s="185">
        <v>1725272</v>
      </c>
      <c r="U46" s="197"/>
      <c r="V46" s="208"/>
      <c r="W46" s="208"/>
      <c r="X46" s="208"/>
      <c r="Y46" s="209"/>
      <c r="Z46" s="209"/>
      <c r="AA46" s="238" t="b">
        <f t="shared" si="3"/>
        <v>1</v>
      </c>
      <c r="AB46" s="261">
        <f t="shared" si="0"/>
        <v>0.8</v>
      </c>
      <c r="AC46" s="262" t="b">
        <f t="shared" si="1"/>
        <v>1</v>
      </c>
      <c r="AD46" s="262" t="b">
        <f t="shared" si="2"/>
        <v>1</v>
      </c>
    </row>
    <row r="47" spans="1:30" ht="30" customHeight="1" x14ac:dyDescent="0.25">
      <c r="A47" s="208">
        <v>45</v>
      </c>
      <c r="B47" s="180" t="s">
        <v>407</v>
      </c>
      <c r="C47" s="225" t="s">
        <v>85</v>
      </c>
      <c r="D47" s="182" t="s">
        <v>408</v>
      </c>
      <c r="E47" s="226" t="s">
        <v>409</v>
      </c>
      <c r="F47" s="228" t="s">
        <v>239</v>
      </c>
      <c r="G47" s="180" t="s">
        <v>410</v>
      </c>
      <c r="H47" s="228" t="s">
        <v>55</v>
      </c>
      <c r="I47" s="229">
        <v>1.0900000000000001</v>
      </c>
      <c r="J47" s="184" t="s">
        <v>113</v>
      </c>
      <c r="K47" s="195">
        <v>1713565.65</v>
      </c>
      <c r="L47" s="185">
        <f>ROUNDDOWN(K47*N47,2)</f>
        <v>1199495.95</v>
      </c>
      <c r="M47" s="179">
        <f>K47-L47</f>
        <v>514069.69999999995</v>
      </c>
      <c r="N47" s="224">
        <v>0.7</v>
      </c>
      <c r="O47" s="185"/>
      <c r="P47" s="185"/>
      <c r="Q47" s="209"/>
      <c r="R47" s="208"/>
      <c r="S47" s="208"/>
      <c r="T47" s="185">
        <f>L47</f>
        <v>1199495.95</v>
      </c>
      <c r="U47" s="176"/>
      <c r="V47" s="176"/>
      <c r="W47" s="208"/>
      <c r="X47" s="208"/>
      <c r="Y47" s="209"/>
      <c r="Z47" s="209"/>
      <c r="AA47" s="238" t="b">
        <f t="shared" si="3"/>
        <v>1</v>
      </c>
      <c r="AB47" s="261">
        <f t="shared" si="0"/>
        <v>0.7</v>
      </c>
      <c r="AC47" s="262" t="b">
        <f t="shared" si="1"/>
        <v>1</v>
      </c>
      <c r="AD47" s="262" t="b">
        <f t="shared" si="2"/>
        <v>1</v>
      </c>
    </row>
    <row r="48" spans="1:30" ht="30" customHeight="1" x14ac:dyDescent="0.25">
      <c r="A48" s="208">
        <v>46</v>
      </c>
      <c r="B48" s="180" t="s">
        <v>411</v>
      </c>
      <c r="C48" s="225" t="s">
        <v>85</v>
      </c>
      <c r="D48" s="182" t="s">
        <v>412</v>
      </c>
      <c r="E48" s="226" t="s">
        <v>413</v>
      </c>
      <c r="F48" s="228" t="s">
        <v>324</v>
      </c>
      <c r="G48" s="180" t="s">
        <v>414</v>
      </c>
      <c r="H48" s="228" t="s">
        <v>61</v>
      </c>
      <c r="I48" s="229">
        <v>1.0720000000000001</v>
      </c>
      <c r="J48" s="184" t="s">
        <v>171</v>
      </c>
      <c r="K48" s="195">
        <v>919179.37</v>
      </c>
      <c r="L48" s="185">
        <v>632254</v>
      </c>
      <c r="M48" s="179">
        <f>K48-L48</f>
        <v>286925.37</v>
      </c>
      <c r="N48" s="224">
        <v>0.7</v>
      </c>
      <c r="O48" s="185"/>
      <c r="P48" s="185"/>
      <c r="Q48" s="209"/>
      <c r="R48" s="208"/>
      <c r="S48" s="208"/>
      <c r="T48" s="185">
        <v>632254</v>
      </c>
      <c r="U48" s="176"/>
      <c r="V48" s="176"/>
      <c r="W48" s="208"/>
      <c r="X48" s="208"/>
      <c r="Y48" s="209"/>
      <c r="Z48" s="209"/>
      <c r="AA48" s="238" t="b">
        <f t="shared" si="3"/>
        <v>1</v>
      </c>
      <c r="AB48" s="261">
        <f t="shared" si="0"/>
        <v>0.68779999999999997</v>
      </c>
      <c r="AC48" s="262" t="b">
        <f t="shared" si="1"/>
        <v>0</v>
      </c>
      <c r="AD48" s="262" t="b">
        <f t="shared" si="2"/>
        <v>1</v>
      </c>
    </row>
    <row r="49" spans="1:30" ht="53.25" customHeight="1" x14ac:dyDescent="0.25">
      <c r="A49" s="208">
        <v>47</v>
      </c>
      <c r="B49" s="180" t="s">
        <v>415</v>
      </c>
      <c r="C49" s="225" t="s">
        <v>85</v>
      </c>
      <c r="D49" s="182" t="s">
        <v>416</v>
      </c>
      <c r="E49" s="226" t="s">
        <v>417</v>
      </c>
      <c r="F49" s="228" t="s">
        <v>212</v>
      </c>
      <c r="G49" s="180" t="s">
        <v>418</v>
      </c>
      <c r="H49" s="228" t="s">
        <v>55</v>
      </c>
      <c r="I49" s="229">
        <v>0.65500000000000003</v>
      </c>
      <c r="J49" s="184" t="s">
        <v>89</v>
      </c>
      <c r="K49" s="195">
        <v>3618698.1</v>
      </c>
      <c r="L49" s="185">
        <v>2813069.6</v>
      </c>
      <c r="M49" s="179">
        <f>K49-L49</f>
        <v>805628.5</v>
      </c>
      <c r="N49" s="224">
        <v>0.8</v>
      </c>
      <c r="O49" s="185"/>
      <c r="P49" s="185"/>
      <c r="Q49" s="209"/>
      <c r="R49" s="208"/>
      <c r="S49" s="208"/>
      <c r="T49" s="185">
        <v>2813069.6</v>
      </c>
      <c r="U49" s="197"/>
      <c r="V49" s="208"/>
      <c r="W49" s="208"/>
      <c r="X49" s="208"/>
      <c r="Y49" s="209"/>
      <c r="Z49" s="209"/>
      <c r="AA49" s="238" t="b">
        <f t="shared" si="3"/>
        <v>1</v>
      </c>
      <c r="AB49" s="261">
        <f t="shared" si="0"/>
        <v>0.77739999999999998</v>
      </c>
      <c r="AC49" s="262" t="b">
        <f t="shared" si="1"/>
        <v>0</v>
      </c>
      <c r="AD49" s="262" t="b">
        <f t="shared" si="2"/>
        <v>1</v>
      </c>
    </row>
    <row r="50" spans="1:30" ht="30" customHeight="1" x14ac:dyDescent="0.25">
      <c r="A50" s="208">
        <v>48</v>
      </c>
      <c r="B50" s="180" t="s">
        <v>419</v>
      </c>
      <c r="C50" s="225" t="s">
        <v>85</v>
      </c>
      <c r="D50" s="182" t="s">
        <v>420</v>
      </c>
      <c r="E50" s="226" t="s">
        <v>421</v>
      </c>
      <c r="F50" s="228" t="s">
        <v>239</v>
      </c>
      <c r="G50" s="180" t="s">
        <v>422</v>
      </c>
      <c r="H50" s="228" t="s">
        <v>55</v>
      </c>
      <c r="I50" s="229">
        <v>1.383</v>
      </c>
      <c r="J50" s="184" t="s">
        <v>186</v>
      </c>
      <c r="K50" s="195">
        <v>1487016.61</v>
      </c>
      <c r="L50" s="185">
        <f>ROUNDDOWN(K50*N50,2)</f>
        <v>1040911.62</v>
      </c>
      <c r="M50" s="179">
        <f>K50-L50</f>
        <v>446104.99000000011</v>
      </c>
      <c r="N50" s="224">
        <v>0.7</v>
      </c>
      <c r="O50" s="185"/>
      <c r="P50" s="185"/>
      <c r="Q50" s="209"/>
      <c r="R50" s="208"/>
      <c r="S50" s="208"/>
      <c r="T50" s="185">
        <f>L50</f>
        <v>1040911.62</v>
      </c>
      <c r="U50" s="206"/>
      <c r="V50" s="176"/>
      <c r="W50" s="208"/>
      <c r="X50" s="208"/>
      <c r="Y50" s="209"/>
      <c r="Z50" s="209"/>
      <c r="AA50" s="238" t="b">
        <f t="shared" si="3"/>
        <v>1</v>
      </c>
      <c r="AB50" s="261">
        <f t="shared" si="0"/>
        <v>0.7</v>
      </c>
      <c r="AC50" s="262" t="b">
        <f t="shared" si="1"/>
        <v>1</v>
      </c>
      <c r="AD50" s="262" t="b">
        <f t="shared" si="2"/>
        <v>1</v>
      </c>
    </row>
    <row r="51" spans="1:30" ht="30" customHeight="1" x14ac:dyDescent="0.25">
      <c r="A51" s="208">
        <v>49</v>
      </c>
      <c r="B51" s="180" t="s">
        <v>423</v>
      </c>
      <c r="C51" s="225" t="s">
        <v>85</v>
      </c>
      <c r="D51" s="182" t="s">
        <v>424</v>
      </c>
      <c r="E51" s="226" t="s">
        <v>425</v>
      </c>
      <c r="F51" s="228" t="s">
        <v>274</v>
      </c>
      <c r="G51" s="180" t="s">
        <v>426</v>
      </c>
      <c r="H51" s="228" t="s">
        <v>61</v>
      </c>
      <c r="I51" s="229">
        <v>0.48499999999999999</v>
      </c>
      <c r="J51" s="184" t="s">
        <v>171</v>
      </c>
      <c r="K51" s="195">
        <v>871952.85</v>
      </c>
      <c r="L51" s="185">
        <f>ROUNDDOWN(K51*N51,2)</f>
        <v>435976.42</v>
      </c>
      <c r="M51" s="179">
        <f>K51-L51</f>
        <v>435976.43</v>
      </c>
      <c r="N51" s="224">
        <v>0.5</v>
      </c>
      <c r="O51" s="185"/>
      <c r="P51" s="185"/>
      <c r="Q51" s="209"/>
      <c r="R51" s="208"/>
      <c r="S51" s="208"/>
      <c r="T51" s="185">
        <f>L51</f>
        <v>435976.42</v>
      </c>
      <c r="U51" s="206"/>
      <c r="V51" s="208"/>
      <c r="W51" s="208"/>
      <c r="X51" s="208"/>
      <c r="Y51" s="209"/>
      <c r="Z51" s="209"/>
      <c r="AA51" s="238" t="b">
        <f t="shared" si="3"/>
        <v>1</v>
      </c>
      <c r="AB51" s="261">
        <f t="shared" si="0"/>
        <v>0.5</v>
      </c>
      <c r="AC51" s="262" t="b">
        <f t="shared" si="1"/>
        <v>1</v>
      </c>
      <c r="AD51" s="262" t="b">
        <f t="shared" si="2"/>
        <v>1</v>
      </c>
    </row>
    <row r="52" spans="1:30" ht="30" customHeight="1" x14ac:dyDescent="0.25">
      <c r="A52" s="208">
        <v>50</v>
      </c>
      <c r="B52" s="180" t="s">
        <v>427</v>
      </c>
      <c r="C52" s="225" t="s">
        <v>85</v>
      </c>
      <c r="D52" s="182" t="s">
        <v>428</v>
      </c>
      <c r="E52" s="226" t="s">
        <v>429</v>
      </c>
      <c r="F52" s="228" t="s">
        <v>268</v>
      </c>
      <c r="G52" s="180" t="s">
        <v>430</v>
      </c>
      <c r="H52" s="228" t="s">
        <v>55</v>
      </c>
      <c r="I52" s="229">
        <v>0.58499999999999996</v>
      </c>
      <c r="J52" s="184" t="s">
        <v>431</v>
      </c>
      <c r="K52" s="195">
        <v>1270645.32</v>
      </c>
      <c r="L52" s="185">
        <f>ROUNDDOWN(K52*N52,2)</f>
        <v>635322.66</v>
      </c>
      <c r="M52" s="179">
        <v>635322.66</v>
      </c>
      <c r="N52" s="224">
        <v>0.5</v>
      </c>
      <c r="O52" s="185"/>
      <c r="P52" s="185"/>
      <c r="Q52" s="209"/>
      <c r="R52" s="208"/>
      <c r="S52" s="208"/>
      <c r="T52" s="185">
        <v>635322.66</v>
      </c>
      <c r="U52" s="176"/>
      <c r="V52" s="176"/>
      <c r="W52" s="208"/>
      <c r="X52" s="208"/>
      <c r="Y52" s="209"/>
      <c r="Z52" s="209"/>
      <c r="AA52" s="238" t="b">
        <f t="shared" si="3"/>
        <v>1</v>
      </c>
      <c r="AB52" s="261">
        <f t="shared" si="0"/>
        <v>0.5</v>
      </c>
      <c r="AC52" s="262" t="b">
        <f t="shared" si="1"/>
        <v>1</v>
      </c>
      <c r="AD52" s="262" t="b">
        <f t="shared" si="2"/>
        <v>1</v>
      </c>
    </row>
    <row r="53" spans="1:30" ht="30" customHeight="1" x14ac:dyDescent="0.25">
      <c r="A53" s="208">
        <v>51</v>
      </c>
      <c r="B53" s="180" t="s">
        <v>432</v>
      </c>
      <c r="C53" s="225" t="s">
        <v>85</v>
      </c>
      <c r="D53" s="182" t="s">
        <v>433</v>
      </c>
      <c r="E53" s="226" t="s">
        <v>434</v>
      </c>
      <c r="F53" s="228" t="s">
        <v>435</v>
      </c>
      <c r="G53" s="180" t="s">
        <v>436</v>
      </c>
      <c r="H53" s="228" t="s">
        <v>55</v>
      </c>
      <c r="I53" s="229">
        <v>0.51397000000000004</v>
      </c>
      <c r="J53" s="184" t="s">
        <v>437</v>
      </c>
      <c r="K53" s="195">
        <v>3405560.67</v>
      </c>
      <c r="L53" s="185">
        <f>ROUNDDOWN(K53*N53,2)</f>
        <v>2724448.53</v>
      </c>
      <c r="M53" s="179">
        <f>K53-L53</f>
        <v>681112.14000000013</v>
      </c>
      <c r="N53" s="224">
        <v>0.8</v>
      </c>
      <c r="O53" s="185"/>
      <c r="P53" s="185"/>
      <c r="Q53" s="209"/>
      <c r="R53" s="208"/>
      <c r="S53" s="208"/>
      <c r="T53" s="185">
        <f>L53</f>
        <v>2724448.53</v>
      </c>
      <c r="U53" s="195"/>
      <c r="V53" s="208"/>
      <c r="W53" s="208"/>
      <c r="X53" s="208"/>
      <c r="Y53" s="209"/>
      <c r="Z53" s="209"/>
      <c r="AA53" s="238" t="b">
        <f t="shared" si="3"/>
        <v>1</v>
      </c>
      <c r="AB53" s="261">
        <f t="shared" si="0"/>
        <v>0.8</v>
      </c>
      <c r="AC53" s="262" t="b">
        <f t="shared" si="1"/>
        <v>1</v>
      </c>
      <c r="AD53" s="262" t="b">
        <f t="shared" si="2"/>
        <v>1</v>
      </c>
    </row>
    <row r="54" spans="1:30" ht="30" customHeight="1" x14ac:dyDescent="0.25">
      <c r="A54" s="208">
        <v>52</v>
      </c>
      <c r="B54" s="180" t="s">
        <v>438</v>
      </c>
      <c r="C54" s="225" t="s">
        <v>85</v>
      </c>
      <c r="D54" s="182" t="s">
        <v>439</v>
      </c>
      <c r="E54" s="226" t="s">
        <v>440</v>
      </c>
      <c r="F54" s="228" t="s">
        <v>435</v>
      </c>
      <c r="G54" s="180" t="s">
        <v>441</v>
      </c>
      <c r="H54" s="228" t="s">
        <v>55</v>
      </c>
      <c r="I54" s="229">
        <v>1.56</v>
      </c>
      <c r="J54" s="184" t="s">
        <v>108</v>
      </c>
      <c r="K54" s="195">
        <v>4289333</v>
      </c>
      <c r="L54" s="185">
        <f>ROUNDDOWN(K54*N54,2)</f>
        <v>3431466.4</v>
      </c>
      <c r="M54" s="179">
        <f>K54-L54</f>
        <v>857866.60000000009</v>
      </c>
      <c r="N54" s="224">
        <v>0.8</v>
      </c>
      <c r="O54" s="185"/>
      <c r="P54" s="185"/>
      <c r="Q54" s="209"/>
      <c r="R54" s="208"/>
      <c r="S54" s="208"/>
      <c r="T54" s="185">
        <f>L54</f>
        <v>3431466.4</v>
      </c>
      <c r="U54" s="206"/>
      <c r="V54" s="208"/>
      <c r="W54" s="208"/>
      <c r="X54" s="208"/>
      <c r="Y54" s="209"/>
      <c r="Z54" s="209"/>
      <c r="AA54" s="238" t="b">
        <f t="shared" si="3"/>
        <v>1</v>
      </c>
      <c r="AB54" s="261">
        <f t="shared" si="0"/>
        <v>0.8</v>
      </c>
      <c r="AC54" s="262" t="b">
        <f t="shared" si="1"/>
        <v>1</v>
      </c>
      <c r="AD54" s="262" t="b">
        <f t="shared" si="2"/>
        <v>1</v>
      </c>
    </row>
    <row r="55" spans="1:30" ht="30" customHeight="1" x14ac:dyDescent="0.25">
      <c r="A55" s="208">
        <v>53</v>
      </c>
      <c r="B55" s="180" t="s">
        <v>442</v>
      </c>
      <c r="C55" s="225" t="s">
        <v>85</v>
      </c>
      <c r="D55" s="182" t="s">
        <v>443</v>
      </c>
      <c r="E55" s="226" t="s">
        <v>444</v>
      </c>
      <c r="F55" s="228" t="s">
        <v>371</v>
      </c>
      <c r="G55" s="180" t="s">
        <v>445</v>
      </c>
      <c r="H55" s="228" t="s">
        <v>55</v>
      </c>
      <c r="I55" s="229">
        <v>0.61499999999999999</v>
      </c>
      <c r="J55" s="184" t="s">
        <v>446</v>
      </c>
      <c r="K55" s="195">
        <v>3691599</v>
      </c>
      <c r="L55" s="185">
        <f t="shared" ref="L55:L58" si="10">ROUNDDOWN(K55*N55,2)</f>
        <v>2953279.2</v>
      </c>
      <c r="M55" s="179">
        <v>738319.79999999981</v>
      </c>
      <c r="N55" s="224">
        <v>0.8</v>
      </c>
      <c r="O55" s="185"/>
      <c r="P55" s="185"/>
      <c r="Q55" s="209"/>
      <c r="R55" s="208"/>
      <c r="S55" s="208"/>
      <c r="T55" s="185">
        <v>2953279.2</v>
      </c>
      <c r="U55" s="206"/>
      <c r="V55" s="208"/>
      <c r="W55" s="208"/>
      <c r="X55" s="208"/>
      <c r="Y55" s="209"/>
      <c r="Z55" s="209"/>
      <c r="AA55" s="238" t="b">
        <f t="shared" si="3"/>
        <v>1</v>
      </c>
      <c r="AB55" s="261">
        <f t="shared" si="0"/>
        <v>0.8</v>
      </c>
      <c r="AC55" s="262" t="b">
        <f t="shared" si="1"/>
        <v>1</v>
      </c>
      <c r="AD55" s="262" t="b">
        <f t="shared" si="2"/>
        <v>1</v>
      </c>
    </row>
    <row r="56" spans="1:30" ht="30" customHeight="1" x14ac:dyDescent="0.25">
      <c r="A56" s="208">
        <v>54</v>
      </c>
      <c r="B56" s="180" t="s">
        <v>447</v>
      </c>
      <c r="C56" s="225" t="s">
        <v>85</v>
      </c>
      <c r="D56" s="182" t="s">
        <v>448</v>
      </c>
      <c r="E56" s="226" t="s">
        <v>449</v>
      </c>
      <c r="F56" s="228" t="s">
        <v>324</v>
      </c>
      <c r="G56" s="180" t="s">
        <v>450</v>
      </c>
      <c r="H56" s="228" t="s">
        <v>55</v>
      </c>
      <c r="I56" s="229">
        <v>0.84699999999999998</v>
      </c>
      <c r="J56" s="184" t="s">
        <v>89</v>
      </c>
      <c r="K56" s="195">
        <v>1220131.97</v>
      </c>
      <c r="L56" s="185">
        <f t="shared" si="10"/>
        <v>854092.37</v>
      </c>
      <c r="M56" s="179">
        <f>K56-L56</f>
        <v>366039.6</v>
      </c>
      <c r="N56" s="224">
        <v>0.7</v>
      </c>
      <c r="O56" s="185"/>
      <c r="P56" s="185"/>
      <c r="Q56" s="209"/>
      <c r="R56" s="208"/>
      <c r="S56" s="208"/>
      <c r="T56" s="185">
        <f>L56</f>
        <v>854092.37</v>
      </c>
      <c r="U56" s="176"/>
      <c r="V56" s="176"/>
      <c r="W56" s="208"/>
      <c r="X56" s="208"/>
      <c r="Y56" s="209"/>
      <c r="Z56" s="209"/>
      <c r="AA56" s="238" t="b">
        <f t="shared" si="3"/>
        <v>1</v>
      </c>
      <c r="AB56" s="261">
        <f t="shared" si="0"/>
        <v>0.7</v>
      </c>
      <c r="AC56" s="262" t="b">
        <f t="shared" si="1"/>
        <v>1</v>
      </c>
      <c r="AD56" s="262" t="b">
        <f t="shared" si="2"/>
        <v>1</v>
      </c>
    </row>
    <row r="57" spans="1:30" ht="30" customHeight="1" x14ac:dyDescent="0.25">
      <c r="A57" s="208">
        <v>55</v>
      </c>
      <c r="B57" s="180" t="s">
        <v>451</v>
      </c>
      <c r="C57" s="225" t="s">
        <v>85</v>
      </c>
      <c r="D57" s="182" t="s">
        <v>380</v>
      </c>
      <c r="E57" s="226" t="s">
        <v>381</v>
      </c>
      <c r="F57" s="228" t="s">
        <v>201</v>
      </c>
      <c r="G57" s="180" t="s">
        <v>452</v>
      </c>
      <c r="H57" s="228" t="s">
        <v>55</v>
      </c>
      <c r="I57" s="229">
        <v>0.42099999999999999</v>
      </c>
      <c r="J57" s="184" t="s">
        <v>311</v>
      </c>
      <c r="K57" s="195">
        <v>5340416.28</v>
      </c>
      <c r="L57" s="185">
        <f t="shared" si="10"/>
        <v>4272333.0199999996</v>
      </c>
      <c r="M57" s="179">
        <f>K57-L57</f>
        <v>1068083.2600000007</v>
      </c>
      <c r="N57" s="224">
        <v>0.8</v>
      </c>
      <c r="O57" s="185"/>
      <c r="P57" s="185"/>
      <c r="Q57" s="209"/>
      <c r="R57" s="208"/>
      <c r="S57" s="208"/>
      <c r="T57" s="185">
        <f>L57</f>
        <v>4272333.0199999996</v>
      </c>
      <c r="U57" s="176"/>
      <c r="V57" s="176"/>
      <c r="W57" s="208"/>
      <c r="X57" s="208"/>
      <c r="Y57" s="209"/>
      <c r="Z57" s="209"/>
      <c r="AA57" s="238" t="b">
        <f t="shared" si="3"/>
        <v>1</v>
      </c>
      <c r="AB57" s="261">
        <f t="shared" si="0"/>
        <v>0.8</v>
      </c>
      <c r="AC57" s="262" t="b">
        <f t="shared" si="1"/>
        <v>1</v>
      </c>
      <c r="AD57" s="262" t="b">
        <f t="shared" si="2"/>
        <v>1</v>
      </c>
    </row>
    <row r="58" spans="1:30" ht="30" customHeight="1" x14ac:dyDescent="0.25">
      <c r="A58" s="208">
        <v>56</v>
      </c>
      <c r="B58" s="180" t="s">
        <v>453</v>
      </c>
      <c r="C58" s="225" t="s">
        <v>85</v>
      </c>
      <c r="D58" s="182" t="s">
        <v>416</v>
      </c>
      <c r="E58" s="226" t="s">
        <v>417</v>
      </c>
      <c r="F58" s="228" t="s">
        <v>212</v>
      </c>
      <c r="G58" s="180" t="s">
        <v>454</v>
      </c>
      <c r="H58" s="228" t="s">
        <v>61</v>
      </c>
      <c r="I58" s="229">
        <v>0.61699999999999999</v>
      </c>
      <c r="J58" s="184" t="s">
        <v>455</v>
      </c>
      <c r="K58" s="195">
        <v>702293.2</v>
      </c>
      <c r="L58" s="185">
        <f t="shared" si="10"/>
        <v>561834.56000000006</v>
      </c>
      <c r="M58" s="179">
        <f>K58-L58</f>
        <v>140458.6399999999</v>
      </c>
      <c r="N58" s="224">
        <v>0.8</v>
      </c>
      <c r="O58" s="185"/>
      <c r="P58" s="185"/>
      <c r="Q58" s="209"/>
      <c r="R58" s="208"/>
      <c r="S58" s="208"/>
      <c r="T58" s="185">
        <f>L58</f>
        <v>561834.56000000006</v>
      </c>
      <c r="U58" s="176"/>
      <c r="V58" s="176"/>
      <c r="W58" s="208"/>
      <c r="X58" s="208"/>
      <c r="Y58" s="209"/>
      <c r="Z58" s="209"/>
      <c r="AA58" s="238" t="b">
        <f t="shared" si="3"/>
        <v>1</v>
      </c>
      <c r="AB58" s="261">
        <f t="shared" si="0"/>
        <v>0.8</v>
      </c>
      <c r="AC58" s="262" t="b">
        <f t="shared" si="1"/>
        <v>1</v>
      </c>
      <c r="AD58" s="262" t="b">
        <f t="shared" si="2"/>
        <v>1</v>
      </c>
    </row>
    <row r="59" spans="1:30" ht="30" customHeight="1" x14ac:dyDescent="0.25">
      <c r="A59" s="208">
        <v>57</v>
      </c>
      <c r="B59" s="180" t="s">
        <v>456</v>
      </c>
      <c r="C59" s="225" t="s">
        <v>85</v>
      </c>
      <c r="D59" s="182" t="s">
        <v>457</v>
      </c>
      <c r="E59" s="226" t="s">
        <v>458</v>
      </c>
      <c r="F59" s="228" t="s">
        <v>201</v>
      </c>
      <c r="G59" s="180" t="s">
        <v>459</v>
      </c>
      <c r="H59" s="228" t="s">
        <v>55</v>
      </c>
      <c r="I59" s="229">
        <v>0.156</v>
      </c>
      <c r="J59" s="184" t="s">
        <v>460</v>
      </c>
      <c r="K59" s="195">
        <v>600000</v>
      </c>
      <c r="L59" s="185">
        <f t="shared" ref="L59:L62" si="11">ROUNDDOWN(K59*N59,2)</f>
        <v>420000</v>
      </c>
      <c r="M59" s="179">
        <v>180000</v>
      </c>
      <c r="N59" s="224">
        <v>0.7</v>
      </c>
      <c r="O59" s="185"/>
      <c r="P59" s="185"/>
      <c r="Q59" s="209"/>
      <c r="R59" s="208"/>
      <c r="S59" s="208"/>
      <c r="T59" s="185">
        <v>420000</v>
      </c>
      <c r="U59" s="176"/>
      <c r="V59" s="176"/>
      <c r="W59" s="208"/>
      <c r="X59" s="208"/>
      <c r="Y59" s="209"/>
      <c r="Z59" s="209"/>
      <c r="AA59" s="238" t="b">
        <f t="shared" si="3"/>
        <v>1</v>
      </c>
      <c r="AB59" s="261">
        <f t="shared" si="0"/>
        <v>0.7</v>
      </c>
      <c r="AC59" s="262" t="b">
        <f t="shared" si="1"/>
        <v>1</v>
      </c>
      <c r="AD59" s="262" t="b">
        <f t="shared" si="2"/>
        <v>1</v>
      </c>
    </row>
    <row r="60" spans="1:30" ht="30" customHeight="1" x14ac:dyDescent="0.25">
      <c r="A60" s="208">
        <v>58</v>
      </c>
      <c r="B60" s="180" t="s">
        <v>461</v>
      </c>
      <c r="C60" s="225" t="s">
        <v>85</v>
      </c>
      <c r="D60" s="182" t="s">
        <v>462</v>
      </c>
      <c r="E60" s="226" t="s">
        <v>863</v>
      </c>
      <c r="F60" s="228" t="s">
        <v>371</v>
      </c>
      <c r="G60" s="180" t="s">
        <v>463</v>
      </c>
      <c r="H60" s="228" t="s">
        <v>61</v>
      </c>
      <c r="I60" s="229">
        <v>0.75</v>
      </c>
      <c r="J60" s="184" t="s">
        <v>181</v>
      </c>
      <c r="K60" s="195">
        <v>2297558</v>
      </c>
      <c r="L60" s="185">
        <f t="shared" si="11"/>
        <v>1608290.6</v>
      </c>
      <c r="M60" s="179">
        <v>689267.39999999991</v>
      </c>
      <c r="N60" s="224">
        <v>0.7</v>
      </c>
      <c r="O60" s="185"/>
      <c r="P60" s="185"/>
      <c r="Q60" s="209"/>
      <c r="R60" s="208"/>
      <c r="S60" s="208"/>
      <c r="T60" s="185">
        <v>1608290.6</v>
      </c>
      <c r="U60" s="206"/>
      <c r="V60" s="208"/>
      <c r="W60" s="208"/>
      <c r="X60" s="208"/>
      <c r="Y60" s="209"/>
      <c r="Z60" s="209"/>
      <c r="AA60" s="238" t="b">
        <f t="shared" si="3"/>
        <v>1</v>
      </c>
      <c r="AB60" s="261">
        <f t="shared" si="0"/>
        <v>0.7</v>
      </c>
      <c r="AC60" s="262" t="b">
        <f t="shared" si="1"/>
        <v>1</v>
      </c>
      <c r="AD60" s="262" t="b">
        <f t="shared" si="2"/>
        <v>1</v>
      </c>
    </row>
    <row r="61" spans="1:30" ht="54.75" customHeight="1" x14ac:dyDescent="0.25">
      <c r="A61" s="208">
        <v>59</v>
      </c>
      <c r="B61" s="180" t="s">
        <v>464</v>
      </c>
      <c r="C61" s="225" t="s">
        <v>85</v>
      </c>
      <c r="D61" s="182" t="s">
        <v>465</v>
      </c>
      <c r="E61" s="226" t="s">
        <v>466</v>
      </c>
      <c r="F61" s="228" t="s">
        <v>371</v>
      </c>
      <c r="G61" s="180" t="s">
        <v>467</v>
      </c>
      <c r="H61" s="228" t="s">
        <v>55</v>
      </c>
      <c r="I61" s="229">
        <v>0.59899999999999998</v>
      </c>
      <c r="J61" s="184" t="s">
        <v>468</v>
      </c>
      <c r="K61" s="195">
        <v>4225244.3600000003</v>
      </c>
      <c r="L61" s="185">
        <f t="shared" si="11"/>
        <v>3380195.48</v>
      </c>
      <c r="M61" s="179">
        <f>K61-L61</f>
        <v>845048.88000000035</v>
      </c>
      <c r="N61" s="224">
        <v>0.8</v>
      </c>
      <c r="O61" s="185"/>
      <c r="P61" s="185"/>
      <c r="Q61" s="209"/>
      <c r="R61" s="208"/>
      <c r="S61" s="208"/>
      <c r="T61" s="185">
        <v>3380195.48</v>
      </c>
      <c r="U61" s="197"/>
      <c r="V61" s="208"/>
      <c r="W61" s="208"/>
      <c r="X61" s="208"/>
      <c r="Y61" s="209"/>
      <c r="Z61" s="209"/>
      <c r="AA61" s="238" t="b">
        <f t="shared" si="3"/>
        <v>1</v>
      </c>
      <c r="AB61" s="261">
        <f t="shared" si="0"/>
        <v>0.8</v>
      </c>
      <c r="AC61" s="262" t="b">
        <f t="shared" si="1"/>
        <v>1</v>
      </c>
      <c r="AD61" s="262" t="b">
        <f t="shared" si="2"/>
        <v>1</v>
      </c>
    </row>
    <row r="62" spans="1:30" ht="51.75" customHeight="1" x14ac:dyDescent="0.25">
      <c r="A62" s="219">
        <v>60</v>
      </c>
      <c r="B62" s="186" t="s">
        <v>469</v>
      </c>
      <c r="C62" s="202" t="s">
        <v>91</v>
      </c>
      <c r="D62" s="188" t="s">
        <v>215</v>
      </c>
      <c r="E62" s="169" t="s">
        <v>216</v>
      </c>
      <c r="F62" s="168" t="s">
        <v>201</v>
      </c>
      <c r="G62" s="186" t="s">
        <v>470</v>
      </c>
      <c r="H62" s="168" t="s">
        <v>55</v>
      </c>
      <c r="I62" s="171">
        <v>0.65</v>
      </c>
      <c r="J62" s="190" t="s">
        <v>471</v>
      </c>
      <c r="K62" s="197">
        <v>11056000</v>
      </c>
      <c r="L62" s="191">
        <f t="shared" si="11"/>
        <v>8844800</v>
      </c>
      <c r="M62" s="178">
        <v>2211200</v>
      </c>
      <c r="N62" s="175">
        <v>0.8</v>
      </c>
      <c r="O62" s="185"/>
      <c r="P62" s="185"/>
      <c r="Q62" s="209"/>
      <c r="R62" s="208"/>
      <c r="S62" s="208"/>
      <c r="T62" s="191">
        <v>124800</v>
      </c>
      <c r="U62" s="176">
        <v>3000000</v>
      </c>
      <c r="V62" s="176">
        <v>5720000</v>
      </c>
      <c r="W62" s="208"/>
      <c r="X62" s="208"/>
      <c r="Y62" s="209"/>
      <c r="Z62" s="209"/>
      <c r="AA62" s="238" t="b">
        <f t="shared" si="3"/>
        <v>1</v>
      </c>
      <c r="AB62" s="261">
        <f t="shared" si="0"/>
        <v>0.8</v>
      </c>
      <c r="AC62" s="262" t="b">
        <f t="shared" si="1"/>
        <v>1</v>
      </c>
      <c r="AD62" s="262" t="b">
        <f t="shared" si="2"/>
        <v>1</v>
      </c>
    </row>
    <row r="63" spans="1:30" ht="30" customHeight="1" x14ac:dyDescent="0.25">
      <c r="A63" s="208">
        <v>61</v>
      </c>
      <c r="B63" s="180" t="s">
        <v>472</v>
      </c>
      <c r="C63" s="225" t="s">
        <v>85</v>
      </c>
      <c r="D63" s="182" t="s">
        <v>473</v>
      </c>
      <c r="E63" s="226" t="s">
        <v>873</v>
      </c>
      <c r="F63" s="228" t="s">
        <v>371</v>
      </c>
      <c r="G63" s="180" t="s">
        <v>887</v>
      </c>
      <c r="H63" s="228" t="s">
        <v>55</v>
      </c>
      <c r="I63" s="229">
        <v>0.311</v>
      </c>
      <c r="J63" s="184" t="s">
        <v>89</v>
      </c>
      <c r="K63" s="195">
        <v>3539854.85</v>
      </c>
      <c r="L63" s="185">
        <f>ROUNDDOWN(K63*N63,2)</f>
        <v>2831883.88</v>
      </c>
      <c r="M63" s="179">
        <f t="shared" ref="M63:M71" si="12">K63-L63</f>
        <v>707970.9700000002</v>
      </c>
      <c r="N63" s="224">
        <v>0.8</v>
      </c>
      <c r="O63" s="185"/>
      <c r="P63" s="185"/>
      <c r="Q63" s="209"/>
      <c r="R63" s="208"/>
      <c r="S63" s="208"/>
      <c r="T63" s="185">
        <f>L63</f>
        <v>2831883.88</v>
      </c>
      <c r="U63" s="176"/>
      <c r="V63" s="176"/>
      <c r="W63" s="208"/>
      <c r="X63" s="208"/>
      <c r="Y63" s="209"/>
      <c r="Z63" s="209"/>
      <c r="AA63" s="238" t="b">
        <f t="shared" si="3"/>
        <v>1</v>
      </c>
      <c r="AB63" s="261">
        <f t="shared" si="0"/>
        <v>0.8</v>
      </c>
      <c r="AC63" s="262" t="b">
        <f t="shared" si="1"/>
        <v>1</v>
      </c>
      <c r="AD63" s="262" t="b">
        <f t="shared" si="2"/>
        <v>1</v>
      </c>
    </row>
    <row r="64" spans="1:30" ht="30" customHeight="1" x14ac:dyDescent="0.25">
      <c r="A64" s="208">
        <v>62</v>
      </c>
      <c r="B64" s="180" t="s">
        <v>474</v>
      </c>
      <c r="C64" s="225" t="s">
        <v>85</v>
      </c>
      <c r="D64" s="182" t="s">
        <v>475</v>
      </c>
      <c r="E64" s="226" t="s">
        <v>476</v>
      </c>
      <c r="F64" s="228" t="s">
        <v>477</v>
      </c>
      <c r="G64" s="180" t="s">
        <v>478</v>
      </c>
      <c r="H64" s="228" t="s">
        <v>55</v>
      </c>
      <c r="I64" s="229">
        <v>1.8</v>
      </c>
      <c r="J64" s="184" t="s">
        <v>126</v>
      </c>
      <c r="K64" s="195">
        <v>2752112.37</v>
      </c>
      <c r="L64" s="185">
        <f>ROUNDDOWN(K64*N64,2)</f>
        <v>2201689.89</v>
      </c>
      <c r="M64" s="179">
        <f t="shared" si="12"/>
        <v>550422.48</v>
      </c>
      <c r="N64" s="224">
        <v>0.8</v>
      </c>
      <c r="O64" s="185"/>
      <c r="P64" s="185"/>
      <c r="Q64" s="209"/>
      <c r="R64" s="208"/>
      <c r="S64" s="208"/>
      <c r="T64" s="185">
        <f>L64</f>
        <v>2201689.89</v>
      </c>
      <c r="U64" s="206"/>
      <c r="V64" s="208"/>
      <c r="W64" s="208"/>
      <c r="X64" s="208"/>
      <c r="Y64" s="209"/>
      <c r="Z64" s="209"/>
      <c r="AA64" s="238" t="b">
        <f t="shared" si="3"/>
        <v>1</v>
      </c>
      <c r="AB64" s="261">
        <f t="shared" si="0"/>
        <v>0.8</v>
      </c>
      <c r="AC64" s="262" t="b">
        <f t="shared" si="1"/>
        <v>1</v>
      </c>
      <c r="AD64" s="262" t="b">
        <f t="shared" si="2"/>
        <v>1</v>
      </c>
    </row>
    <row r="65" spans="1:30" ht="30" customHeight="1" x14ac:dyDescent="0.25">
      <c r="A65" s="208">
        <v>63</v>
      </c>
      <c r="B65" s="180" t="s">
        <v>479</v>
      </c>
      <c r="C65" s="225" t="s">
        <v>85</v>
      </c>
      <c r="D65" s="182" t="s">
        <v>480</v>
      </c>
      <c r="E65" s="226" t="s">
        <v>481</v>
      </c>
      <c r="F65" s="228" t="s">
        <v>206</v>
      </c>
      <c r="G65" s="180" t="s">
        <v>482</v>
      </c>
      <c r="H65" s="228" t="s">
        <v>55</v>
      </c>
      <c r="I65" s="229">
        <v>0.27100000000000002</v>
      </c>
      <c r="J65" s="184" t="s">
        <v>404</v>
      </c>
      <c r="K65" s="195">
        <v>976276.17</v>
      </c>
      <c r="L65" s="185">
        <f t="shared" ref="L65:L66" si="13">ROUNDDOWN(K65*N65,2)</f>
        <v>683393.31</v>
      </c>
      <c r="M65" s="179">
        <f t="shared" si="12"/>
        <v>292882.86</v>
      </c>
      <c r="N65" s="224">
        <v>0.7</v>
      </c>
      <c r="O65" s="185"/>
      <c r="P65" s="185"/>
      <c r="Q65" s="209"/>
      <c r="R65" s="208"/>
      <c r="S65" s="208"/>
      <c r="T65" s="185">
        <f t="shared" ref="T65:T70" si="14">L65</f>
        <v>683393.31</v>
      </c>
      <c r="U65" s="197"/>
      <c r="V65" s="176"/>
      <c r="W65" s="208"/>
      <c r="X65" s="208"/>
      <c r="Y65" s="209"/>
      <c r="Z65" s="209"/>
      <c r="AA65" s="238" t="b">
        <f t="shared" si="3"/>
        <v>1</v>
      </c>
      <c r="AB65" s="261">
        <f t="shared" si="0"/>
        <v>0.7</v>
      </c>
      <c r="AC65" s="262" t="b">
        <f t="shared" si="1"/>
        <v>1</v>
      </c>
      <c r="AD65" s="262" t="b">
        <f t="shared" si="2"/>
        <v>1</v>
      </c>
    </row>
    <row r="66" spans="1:30" ht="30" customHeight="1" x14ac:dyDescent="0.25">
      <c r="A66" s="208">
        <v>64</v>
      </c>
      <c r="B66" s="180" t="s">
        <v>483</v>
      </c>
      <c r="C66" s="225" t="s">
        <v>85</v>
      </c>
      <c r="D66" s="182" t="s">
        <v>484</v>
      </c>
      <c r="E66" s="226" t="s">
        <v>485</v>
      </c>
      <c r="F66" s="228" t="s">
        <v>341</v>
      </c>
      <c r="G66" s="180" t="s">
        <v>486</v>
      </c>
      <c r="H66" s="228" t="s">
        <v>82</v>
      </c>
      <c r="I66" s="229">
        <v>0.42399999999999999</v>
      </c>
      <c r="J66" s="184" t="s">
        <v>487</v>
      </c>
      <c r="K66" s="195">
        <v>2974511.35</v>
      </c>
      <c r="L66" s="185">
        <f t="shared" si="13"/>
        <v>1487255.67</v>
      </c>
      <c r="M66" s="179">
        <f t="shared" si="12"/>
        <v>1487255.6800000002</v>
      </c>
      <c r="N66" s="224">
        <v>0.5</v>
      </c>
      <c r="O66" s="185"/>
      <c r="P66" s="185"/>
      <c r="Q66" s="209"/>
      <c r="R66" s="208"/>
      <c r="S66" s="208"/>
      <c r="T66" s="185">
        <f t="shared" si="14"/>
        <v>1487255.67</v>
      </c>
      <c r="U66" s="176"/>
      <c r="V66" s="176"/>
      <c r="W66" s="208"/>
      <c r="X66" s="208"/>
      <c r="Y66" s="209"/>
      <c r="Z66" s="209"/>
      <c r="AA66" s="238" t="b">
        <f t="shared" si="3"/>
        <v>1</v>
      </c>
      <c r="AB66" s="261">
        <f t="shared" si="0"/>
        <v>0.5</v>
      </c>
      <c r="AC66" s="262" t="b">
        <f t="shared" si="1"/>
        <v>1</v>
      </c>
      <c r="AD66" s="262" t="b">
        <f t="shared" si="2"/>
        <v>1</v>
      </c>
    </row>
    <row r="67" spans="1:30" ht="30" customHeight="1" x14ac:dyDescent="0.25">
      <c r="A67" s="208">
        <v>65</v>
      </c>
      <c r="B67" s="180" t="s">
        <v>488</v>
      </c>
      <c r="C67" s="225" t="s">
        <v>85</v>
      </c>
      <c r="D67" s="182" t="s">
        <v>489</v>
      </c>
      <c r="E67" s="226" t="s">
        <v>490</v>
      </c>
      <c r="F67" s="228" t="s">
        <v>491</v>
      </c>
      <c r="G67" s="180" t="s">
        <v>492</v>
      </c>
      <c r="H67" s="228" t="s">
        <v>55</v>
      </c>
      <c r="I67" s="229">
        <v>0.5</v>
      </c>
      <c r="J67" s="184" t="s">
        <v>311</v>
      </c>
      <c r="K67" s="195">
        <v>5492000</v>
      </c>
      <c r="L67" s="185">
        <f>ROUNDDOWN(K67*N67,2)</f>
        <v>4393600</v>
      </c>
      <c r="M67" s="179">
        <f t="shared" si="12"/>
        <v>1098400</v>
      </c>
      <c r="N67" s="224">
        <v>0.8</v>
      </c>
      <c r="O67" s="185"/>
      <c r="P67" s="185"/>
      <c r="Q67" s="209"/>
      <c r="R67" s="208"/>
      <c r="S67" s="208"/>
      <c r="T67" s="185">
        <f t="shared" si="14"/>
        <v>4393600</v>
      </c>
      <c r="U67" s="206"/>
      <c r="V67" s="208"/>
      <c r="W67" s="208"/>
      <c r="X67" s="208"/>
      <c r="Y67" s="209"/>
      <c r="Z67" s="209"/>
      <c r="AA67" s="238" t="b">
        <f t="shared" si="3"/>
        <v>1</v>
      </c>
      <c r="AB67" s="261">
        <f t="shared" si="0"/>
        <v>0.8</v>
      </c>
      <c r="AC67" s="262" t="b">
        <f t="shared" si="1"/>
        <v>1</v>
      </c>
      <c r="AD67" s="262" t="b">
        <f t="shared" si="2"/>
        <v>1</v>
      </c>
    </row>
    <row r="68" spans="1:30" ht="24" x14ac:dyDescent="0.25">
      <c r="A68" s="208">
        <v>66</v>
      </c>
      <c r="B68" s="180" t="s">
        <v>493</v>
      </c>
      <c r="C68" s="225" t="s">
        <v>85</v>
      </c>
      <c r="D68" s="182" t="s">
        <v>230</v>
      </c>
      <c r="E68" s="226" t="s">
        <v>231</v>
      </c>
      <c r="F68" s="228" t="s">
        <v>195</v>
      </c>
      <c r="G68" s="180" t="s">
        <v>494</v>
      </c>
      <c r="H68" s="228" t="s">
        <v>82</v>
      </c>
      <c r="I68" s="229">
        <v>0.38600000000000001</v>
      </c>
      <c r="J68" s="184" t="s">
        <v>495</v>
      </c>
      <c r="K68" s="195">
        <v>2891055.95</v>
      </c>
      <c r="L68" s="185">
        <f>ROUNDDOWN(K68*N68,2)</f>
        <v>2023739.16</v>
      </c>
      <c r="M68" s="179">
        <f>K68-L68</f>
        <v>867316.79000000027</v>
      </c>
      <c r="N68" s="224">
        <v>0.7</v>
      </c>
      <c r="O68" s="185"/>
      <c r="P68" s="185"/>
      <c r="Q68" s="209"/>
      <c r="R68" s="208"/>
      <c r="S68" s="208"/>
      <c r="T68" s="185">
        <f t="shared" si="14"/>
        <v>2023739.16</v>
      </c>
      <c r="U68" s="176"/>
      <c r="V68" s="176"/>
      <c r="W68" s="208"/>
      <c r="X68" s="208"/>
      <c r="Y68" s="209"/>
      <c r="Z68" s="209"/>
      <c r="AA68" s="238" t="b">
        <f t="shared" ref="AA68:AA101" si="15">L68=SUM(O68:Z68)</f>
        <v>1</v>
      </c>
      <c r="AB68" s="261">
        <f t="shared" si="0"/>
        <v>0.7</v>
      </c>
      <c r="AC68" s="262" t="b">
        <f t="shared" si="1"/>
        <v>1</v>
      </c>
      <c r="AD68" s="262" t="b">
        <f t="shared" si="2"/>
        <v>1</v>
      </c>
    </row>
    <row r="69" spans="1:30" ht="30" customHeight="1" x14ac:dyDescent="0.25">
      <c r="A69" s="208">
        <v>67</v>
      </c>
      <c r="B69" s="180" t="s">
        <v>496</v>
      </c>
      <c r="C69" s="225" t="s">
        <v>85</v>
      </c>
      <c r="D69" s="182" t="s">
        <v>313</v>
      </c>
      <c r="E69" s="226" t="s">
        <v>314</v>
      </c>
      <c r="F69" s="228" t="s">
        <v>195</v>
      </c>
      <c r="G69" s="180" t="s">
        <v>497</v>
      </c>
      <c r="H69" s="228" t="s">
        <v>55</v>
      </c>
      <c r="I69" s="229">
        <v>0.66500000000000004</v>
      </c>
      <c r="J69" s="184" t="s">
        <v>498</v>
      </c>
      <c r="K69" s="195">
        <v>920877.71</v>
      </c>
      <c r="L69" s="185">
        <f t="shared" ref="L69:L70" si="16">ROUNDDOWN(K69*N69,2)</f>
        <v>736702.16</v>
      </c>
      <c r="M69" s="179">
        <f t="shared" si="12"/>
        <v>184175.54999999993</v>
      </c>
      <c r="N69" s="224">
        <v>0.8</v>
      </c>
      <c r="O69" s="185"/>
      <c r="P69" s="185"/>
      <c r="Q69" s="209"/>
      <c r="R69" s="208"/>
      <c r="S69" s="208"/>
      <c r="T69" s="185">
        <f t="shared" si="14"/>
        <v>736702.16</v>
      </c>
      <c r="U69" s="176"/>
      <c r="V69" s="176"/>
      <c r="W69" s="208"/>
      <c r="X69" s="208"/>
      <c r="Y69" s="209"/>
      <c r="Z69" s="209"/>
      <c r="AA69" s="238" t="b">
        <f t="shared" si="15"/>
        <v>1</v>
      </c>
      <c r="AB69" s="261">
        <f t="shared" si="0"/>
        <v>0.8</v>
      </c>
      <c r="AC69" s="262" t="b">
        <f t="shared" si="1"/>
        <v>1</v>
      </c>
      <c r="AD69" s="262" t="b">
        <f t="shared" si="2"/>
        <v>1</v>
      </c>
    </row>
    <row r="70" spans="1:30" ht="30" customHeight="1" x14ac:dyDescent="0.25">
      <c r="A70" s="208">
        <v>68</v>
      </c>
      <c r="B70" s="180" t="s">
        <v>499</v>
      </c>
      <c r="C70" s="225" t="s">
        <v>85</v>
      </c>
      <c r="D70" s="182" t="s">
        <v>500</v>
      </c>
      <c r="E70" s="226" t="s">
        <v>501</v>
      </c>
      <c r="F70" s="228" t="s">
        <v>341</v>
      </c>
      <c r="G70" s="180" t="s">
        <v>502</v>
      </c>
      <c r="H70" s="228" t="s">
        <v>61</v>
      </c>
      <c r="I70" s="229">
        <v>0.52</v>
      </c>
      <c r="J70" s="184" t="s">
        <v>503</v>
      </c>
      <c r="K70" s="195">
        <v>1112435.24</v>
      </c>
      <c r="L70" s="185">
        <f t="shared" si="16"/>
        <v>556217.62</v>
      </c>
      <c r="M70" s="179">
        <f t="shared" si="12"/>
        <v>556217.62</v>
      </c>
      <c r="N70" s="224">
        <v>0.5</v>
      </c>
      <c r="O70" s="185"/>
      <c r="P70" s="185"/>
      <c r="Q70" s="209"/>
      <c r="R70" s="208"/>
      <c r="S70" s="208"/>
      <c r="T70" s="185">
        <f t="shared" si="14"/>
        <v>556217.62</v>
      </c>
      <c r="U70" s="206"/>
      <c r="V70" s="208"/>
      <c r="W70" s="208"/>
      <c r="X70" s="208"/>
      <c r="Y70" s="209"/>
      <c r="Z70" s="209"/>
      <c r="AA70" s="238" t="b">
        <f t="shared" si="15"/>
        <v>1</v>
      </c>
      <c r="AB70" s="261">
        <f t="shared" si="0"/>
        <v>0.5</v>
      </c>
      <c r="AC70" s="262" t="b">
        <f t="shared" si="1"/>
        <v>1</v>
      </c>
      <c r="AD70" s="262" t="b">
        <f t="shared" si="2"/>
        <v>1</v>
      </c>
    </row>
    <row r="71" spans="1:30" ht="46.5" customHeight="1" x14ac:dyDescent="0.25">
      <c r="A71" s="208">
        <v>69</v>
      </c>
      <c r="B71" s="180" t="s">
        <v>504</v>
      </c>
      <c r="C71" s="225" t="s">
        <v>85</v>
      </c>
      <c r="D71" s="182" t="s">
        <v>505</v>
      </c>
      <c r="E71" s="226" t="s">
        <v>862</v>
      </c>
      <c r="F71" s="228" t="s">
        <v>201</v>
      </c>
      <c r="G71" s="180" t="s">
        <v>506</v>
      </c>
      <c r="H71" s="228" t="s">
        <v>55</v>
      </c>
      <c r="I71" s="229">
        <v>0.37</v>
      </c>
      <c r="J71" s="184" t="s">
        <v>171</v>
      </c>
      <c r="K71" s="195">
        <v>2615212.42</v>
      </c>
      <c r="L71" s="185">
        <v>1681174.6</v>
      </c>
      <c r="M71" s="179">
        <f t="shared" si="12"/>
        <v>934037.81999999983</v>
      </c>
      <c r="N71" s="224">
        <v>0.7</v>
      </c>
      <c r="O71" s="185"/>
      <c r="P71" s="185"/>
      <c r="Q71" s="209"/>
      <c r="R71" s="208"/>
      <c r="S71" s="208"/>
      <c r="T71" s="185">
        <v>1681174.6</v>
      </c>
      <c r="U71" s="197"/>
      <c r="V71" s="208"/>
      <c r="W71" s="208"/>
      <c r="X71" s="208"/>
      <c r="Y71" s="209"/>
      <c r="Z71" s="209"/>
      <c r="AA71" s="238" t="b">
        <f t="shared" si="15"/>
        <v>1</v>
      </c>
      <c r="AB71" s="261">
        <f t="shared" si="0"/>
        <v>0.64280000000000004</v>
      </c>
      <c r="AC71" s="262" t="b">
        <f t="shared" si="1"/>
        <v>0</v>
      </c>
      <c r="AD71" s="262" t="b">
        <f t="shared" si="2"/>
        <v>1</v>
      </c>
    </row>
    <row r="72" spans="1:30" ht="30" customHeight="1" x14ac:dyDescent="0.25">
      <c r="A72" s="219">
        <v>70</v>
      </c>
      <c r="B72" s="186" t="s">
        <v>507</v>
      </c>
      <c r="C72" s="202" t="s">
        <v>91</v>
      </c>
      <c r="D72" s="188" t="s">
        <v>237</v>
      </c>
      <c r="E72" s="169" t="s">
        <v>238</v>
      </c>
      <c r="F72" s="168" t="s">
        <v>239</v>
      </c>
      <c r="G72" s="186" t="s">
        <v>508</v>
      </c>
      <c r="H72" s="168" t="s">
        <v>55</v>
      </c>
      <c r="I72" s="171">
        <v>0.214</v>
      </c>
      <c r="J72" s="190" t="s">
        <v>166</v>
      </c>
      <c r="K72" s="197">
        <v>2950000</v>
      </c>
      <c r="L72" s="191">
        <v>1475000</v>
      </c>
      <c r="M72" s="178">
        <v>1475000</v>
      </c>
      <c r="N72" s="175">
        <v>0.5</v>
      </c>
      <c r="O72" s="185"/>
      <c r="P72" s="185"/>
      <c r="Q72" s="209"/>
      <c r="R72" s="208"/>
      <c r="S72" s="208"/>
      <c r="T72" s="191">
        <v>625000</v>
      </c>
      <c r="U72" s="197">
        <v>850000</v>
      </c>
      <c r="V72" s="176"/>
      <c r="W72" s="208"/>
      <c r="X72" s="208"/>
      <c r="Y72" s="209"/>
      <c r="Z72" s="209"/>
      <c r="AA72" s="238" t="b">
        <f t="shared" si="15"/>
        <v>1</v>
      </c>
      <c r="AB72" s="261">
        <f t="shared" si="0"/>
        <v>0.5</v>
      </c>
      <c r="AC72" s="262" t="b">
        <f t="shared" si="1"/>
        <v>1</v>
      </c>
      <c r="AD72" s="262" t="b">
        <f t="shared" si="2"/>
        <v>1</v>
      </c>
    </row>
    <row r="73" spans="1:30" ht="54.75" customHeight="1" x14ac:dyDescent="0.25">
      <c r="A73" s="208">
        <v>71</v>
      </c>
      <c r="B73" s="180" t="s">
        <v>509</v>
      </c>
      <c r="C73" s="225" t="s">
        <v>85</v>
      </c>
      <c r="D73" s="182" t="s">
        <v>510</v>
      </c>
      <c r="E73" s="226" t="s">
        <v>872</v>
      </c>
      <c r="F73" s="228" t="s">
        <v>195</v>
      </c>
      <c r="G73" s="180" t="s">
        <v>882</v>
      </c>
      <c r="H73" s="228" t="s">
        <v>82</v>
      </c>
      <c r="I73" s="229">
        <v>0.62</v>
      </c>
      <c r="J73" s="184" t="s">
        <v>511</v>
      </c>
      <c r="K73" s="195">
        <v>3809224</v>
      </c>
      <c r="L73" s="185">
        <f>ROUNDDOWN(K73*N73,2)</f>
        <v>2666456.7999999998</v>
      </c>
      <c r="M73" s="179">
        <f>K73-L73</f>
        <v>1142767.2000000002</v>
      </c>
      <c r="N73" s="224">
        <v>0.7</v>
      </c>
      <c r="O73" s="185"/>
      <c r="P73" s="185"/>
      <c r="Q73" s="209"/>
      <c r="R73" s="208"/>
      <c r="S73" s="208"/>
      <c r="T73" s="185">
        <v>2666456.7999999998</v>
      </c>
      <c r="U73" s="176"/>
      <c r="V73" s="176"/>
      <c r="W73" s="208"/>
      <c r="X73" s="208"/>
      <c r="Y73" s="209"/>
      <c r="Z73" s="209"/>
      <c r="AA73" s="238" t="b">
        <f t="shared" si="15"/>
        <v>1</v>
      </c>
      <c r="AB73" s="261">
        <f t="shared" si="0"/>
        <v>0.7</v>
      </c>
      <c r="AC73" s="262" t="b">
        <f t="shared" si="1"/>
        <v>1</v>
      </c>
      <c r="AD73" s="262" t="b">
        <f t="shared" si="2"/>
        <v>1</v>
      </c>
    </row>
    <row r="74" spans="1:30" ht="55.5" customHeight="1" x14ac:dyDescent="0.25">
      <c r="A74" s="208">
        <v>72</v>
      </c>
      <c r="B74" s="180" t="s">
        <v>512</v>
      </c>
      <c r="C74" s="225" t="s">
        <v>85</v>
      </c>
      <c r="D74" s="182" t="s">
        <v>210</v>
      </c>
      <c r="E74" s="226" t="s">
        <v>211</v>
      </c>
      <c r="F74" s="228" t="s">
        <v>212</v>
      </c>
      <c r="G74" s="180" t="s">
        <v>513</v>
      </c>
      <c r="H74" s="228" t="s">
        <v>55</v>
      </c>
      <c r="I74" s="229">
        <v>0.43</v>
      </c>
      <c r="J74" s="184" t="s">
        <v>311</v>
      </c>
      <c r="K74" s="195">
        <v>4971329.4000000004</v>
      </c>
      <c r="L74" s="185">
        <v>2388361.6</v>
      </c>
      <c r="M74" s="179">
        <f>K74-L74</f>
        <v>2582967.8000000003</v>
      </c>
      <c r="N74" s="224">
        <v>0.8</v>
      </c>
      <c r="O74" s="185"/>
      <c r="P74" s="185"/>
      <c r="Q74" s="209"/>
      <c r="R74" s="208"/>
      <c r="S74" s="208"/>
      <c r="T74" s="185">
        <v>2388361.6</v>
      </c>
      <c r="U74" s="176"/>
      <c r="V74" s="176"/>
      <c r="W74" s="208"/>
      <c r="X74" s="208"/>
      <c r="Y74" s="209"/>
      <c r="Z74" s="209"/>
      <c r="AA74" s="238" t="b">
        <f t="shared" si="15"/>
        <v>1</v>
      </c>
      <c r="AB74" s="261">
        <f t="shared" si="0"/>
        <v>0.48039999999999999</v>
      </c>
      <c r="AC74" s="262" t="b">
        <f t="shared" si="1"/>
        <v>0</v>
      </c>
      <c r="AD74" s="262" t="b">
        <f t="shared" si="2"/>
        <v>1</v>
      </c>
    </row>
    <row r="75" spans="1:30" ht="50.25" customHeight="1" x14ac:dyDescent="0.25">
      <c r="A75" s="219">
        <v>73</v>
      </c>
      <c r="B75" s="186" t="s">
        <v>514</v>
      </c>
      <c r="C75" s="202" t="s">
        <v>91</v>
      </c>
      <c r="D75" s="188" t="s">
        <v>515</v>
      </c>
      <c r="E75" s="169" t="s">
        <v>874</v>
      </c>
      <c r="F75" s="168" t="s">
        <v>516</v>
      </c>
      <c r="G75" s="186" t="s">
        <v>517</v>
      </c>
      <c r="H75" s="168" t="s">
        <v>61</v>
      </c>
      <c r="I75" s="171">
        <v>0.44</v>
      </c>
      <c r="J75" s="190" t="s">
        <v>518</v>
      </c>
      <c r="K75" s="197">
        <v>2839438</v>
      </c>
      <c r="L75" s="191">
        <v>2271550.4</v>
      </c>
      <c r="M75" s="178">
        <v>567887.60000000009</v>
      </c>
      <c r="N75" s="175">
        <v>0.8</v>
      </c>
      <c r="O75" s="185"/>
      <c r="P75" s="185"/>
      <c r="Q75" s="209"/>
      <c r="R75" s="208"/>
      <c r="S75" s="208"/>
      <c r="T75" s="191">
        <v>6000</v>
      </c>
      <c r="U75" s="197">
        <v>2265550.4</v>
      </c>
      <c r="V75" s="219"/>
      <c r="W75" s="208"/>
      <c r="X75" s="208"/>
      <c r="Y75" s="209"/>
      <c r="Z75" s="209"/>
      <c r="AA75" s="238" t="b">
        <f t="shared" si="15"/>
        <v>1</v>
      </c>
      <c r="AB75" s="261">
        <f t="shared" si="0"/>
        <v>0.8</v>
      </c>
      <c r="AC75" s="262" t="b">
        <f t="shared" si="1"/>
        <v>1</v>
      </c>
      <c r="AD75" s="262" t="b">
        <f t="shared" si="2"/>
        <v>1</v>
      </c>
    </row>
    <row r="76" spans="1:30" ht="30" customHeight="1" x14ac:dyDescent="0.25">
      <c r="A76" s="208">
        <v>74</v>
      </c>
      <c r="B76" s="180" t="s">
        <v>519</v>
      </c>
      <c r="C76" s="225" t="s">
        <v>85</v>
      </c>
      <c r="D76" s="182" t="s">
        <v>520</v>
      </c>
      <c r="E76" s="226" t="s">
        <v>521</v>
      </c>
      <c r="F76" s="228" t="s">
        <v>377</v>
      </c>
      <c r="G76" s="180" t="s">
        <v>522</v>
      </c>
      <c r="H76" s="228" t="s">
        <v>55</v>
      </c>
      <c r="I76" s="229">
        <v>1.9</v>
      </c>
      <c r="J76" s="184" t="s">
        <v>126</v>
      </c>
      <c r="K76" s="195">
        <v>1058427.55</v>
      </c>
      <c r="L76" s="185">
        <f t="shared" ref="L76:L80" si="17">ROUNDDOWN(K76*N76,2)</f>
        <v>846742.04</v>
      </c>
      <c r="M76" s="179">
        <f>K76-L76</f>
        <v>211685.51</v>
      </c>
      <c r="N76" s="224">
        <v>0.8</v>
      </c>
      <c r="O76" s="185"/>
      <c r="P76" s="185"/>
      <c r="Q76" s="209"/>
      <c r="R76" s="208"/>
      <c r="S76" s="208"/>
      <c r="T76" s="185">
        <f>L76</f>
        <v>846742.04</v>
      </c>
      <c r="U76" s="176"/>
      <c r="V76" s="176"/>
      <c r="W76" s="208"/>
      <c r="X76" s="208"/>
      <c r="Y76" s="209"/>
      <c r="Z76" s="209"/>
      <c r="AA76" s="238" t="b">
        <f t="shared" si="15"/>
        <v>1</v>
      </c>
      <c r="AB76" s="261">
        <f t="shared" si="0"/>
        <v>0.8</v>
      </c>
      <c r="AC76" s="262" t="b">
        <f t="shared" si="1"/>
        <v>1</v>
      </c>
      <c r="AD76" s="262" t="b">
        <f t="shared" si="2"/>
        <v>1</v>
      </c>
    </row>
    <row r="77" spans="1:30" ht="30" customHeight="1" x14ac:dyDescent="0.25">
      <c r="A77" s="208">
        <v>75</v>
      </c>
      <c r="B77" s="180" t="s">
        <v>523</v>
      </c>
      <c r="C77" s="225" t="s">
        <v>85</v>
      </c>
      <c r="D77" s="182" t="s">
        <v>524</v>
      </c>
      <c r="E77" s="226" t="s">
        <v>525</v>
      </c>
      <c r="F77" s="228" t="s">
        <v>201</v>
      </c>
      <c r="G77" s="180" t="s">
        <v>888</v>
      </c>
      <c r="H77" s="228" t="s">
        <v>55</v>
      </c>
      <c r="I77" s="229">
        <v>0.48199999999999998</v>
      </c>
      <c r="J77" s="184" t="s">
        <v>181</v>
      </c>
      <c r="K77" s="195">
        <v>2004936</v>
      </c>
      <c r="L77" s="185">
        <v>1403455.2</v>
      </c>
      <c r="M77" s="179">
        <v>601480.80000000005</v>
      </c>
      <c r="N77" s="224">
        <v>0.7</v>
      </c>
      <c r="O77" s="185"/>
      <c r="P77" s="185"/>
      <c r="Q77" s="209"/>
      <c r="R77" s="208"/>
      <c r="S77" s="208"/>
      <c r="T77" s="185">
        <v>1403455.2</v>
      </c>
      <c r="U77" s="176"/>
      <c r="V77" s="176"/>
      <c r="W77" s="208"/>
      <c r="X77" s="208"/>
      <c r="Y77" s="209"/>
      <c r="Z77" s="209"/>
      <c r="AA77" s="238" t="b">
        <f t="shared" si="15"/>
        <v>1</v>
      </c>
      <c r="AB77" s="261">
        <f t="shared" si="0"/>
        <v>0.7</v>
      </c>
      <c r="AC77" s="262" t="b">
        <f t="shared" si="1"/>
        <v>1</v>
      </c>
      <c r="AD77" s="262" t="b">
        <f t="shared" si="2"/>
        <v>1</v>
      </c>
    </row>
    <row r="78" spans="1:30" ht="30" customHeight="1" x14ac:dyDescent="0.25">
      <c r="A78" s="208">
        <v>76</v>
      </c>
      <c r="B78" s="180" t="s">
        <v>526</v>
      </c>
      <c r="C78" s="225" t="s">
        <v>85</v>
      </c>
      <c r="D78" s="182" t="s">
        <v>527</v>
      </c>
      <c r="E78" s="226" t="s">
        <v>528</v>
      </c>
      <c r="F78" s="228" t="s">
        <v>377</v>
      </c>
      <c r="G78" s="180" t="s">
        <v>889</v>
      </c>
      <c r="H78" s="228" t="s">
        <v>55</v>
      </c>
      <c r="I78" s="229">
        <v>0.502</v>
      </c>
      <c r="J78" s="184" t="s">
        <v>511</v>
      </c>
      <c r="K78" s="195">
        <v>1235370</v>
      </c>
      <c r="L78" s="185">
        <f t="shared" si="17"/>
        <v>864759</v>
      </c>
      <c r="M78" s="179">
        <f>K78-L78</f>
        <v>370611</v>
      </c>
      <c r="N78" s="224">
        <v>0.7</v>
      </c>
      <c r="O78" s="185"/>
      <c r="P78" s="185"/>
      <c r="Q78" s="209"/>
      <c r="R78" s="208"/>
      <c r="S78" s="208"/>
      <c r="T78" s="185">
        <f>L78</f>
        <v>864759</v>
      </c>
      <c r="U78" s="197"/>
      <c r="V78" s="208"/>
      <c r="W78" s="208"/>
      <c r="X78" s="208"/>
      <c r="Y78" s="209"/>
      <c r="Z78" s="209"/>
      <c r="AA78" s="238" t="b">
        <f t="shared" si="15"/>
        <v>1</v>
      </c>
      <c r="AB78" s="261">
        <f t="shared" si="0"/>
        <v>0.7</v>
      </c>
      <c r="AC78" s="262" t="b">
        <f t="shared" si="1"/>
        <v>1</v>
      </c>
      <c r="AD78" s="262" t="b">
        <f t="shared" si="2"/>
        <v>1</v>
      </c>
    </row>
    <row r="79" spans="1:30" ht="30" customHeight="1" x14ac:dyDescent="0.25">
      <c r="A79" s="219">
        <v>77</v>
      </c>
      <c r="B79" s="186" t="s">
        <v>529</v>
      </c>
      <c r="C79" s="202" t="s">
        <v>91</v>
      </c>
      <c r="D79" s="188" t="s">
        <v>530</v>
      </c>
      <c r="E79" s="169" t="s">
        <v>871</v>
      </c>
      <c r="F79" s="168" t="s">
        <v>195</v>
      </c>
      <c r="G79" s="186" t="s">
        <v>531</v>
      </c>
      <c r="H79" s="168" t="s">
        <v>55</v>
      </c>
      <c r="I79" s="171">
        <v>0.41499999999999998</v>
      </c>
      <c r="J79" s="190" t="s">
        <v>532</v>
      </c>
      <c r="K79" s="197">
        <v>3282197.34</v>
      </c>
      <c r="L79" s="191">
        <f t="shared" si="17"/>
        <v>2625757.87</v>
      </c>
      <c r="M79" s="178">
        <f>K79-L79</f>
        <v>656439.46999999974</v>
      </c>
      <c r="N79" s="175">
        <v>0.8</v>
      </c>
      <c r="O79" s="185"/>
      <c r="P79" s="185"/>
      <c r="Q79" s="209"/>
      <c r="R79" s="208"/>
      <c r="S79" s="208"/>
      <c r="T79" s="191">
        <v>1736172.8</v>
      </c>
      <c r="U79" s="176">
        <v>889585.07</v>
      </c>
      <c r="V79" s="176"/>
      <c r="W79" s="208"/>
      <c r="X79" s="208"/>
      <c r="Y79" s="209"/>
      <c r="Z79" s="209"/>
      <c r="AA79" s="238" t="b">
        <f t="shared" si="15"/>
        <v>1</v>
      </c>
      <c r="AB79" s="261">
        <f t="shared" si="0"/>
        <v>0.8</v>
      </c>
      <c r="AC79" s="262" t="b">
        <f t="shared" si="1"/>
        <v>1</v>
      </c>
      <c r="AD79" s="262" t="b">
        <f t="shared" si="2"/>
        <v>1</v>
      </c>
    </row>
    <row r="80" spans="1:30" ht="30" customHeight="1" x14ac:dyDescent="0.25">
      <c r="A80" s="208">
        <v>78</v>
      </c>
      <c r="B80" s="180" t="s">
        <v>533</v>
      </c>
      <c r="C80" s="225" t="s">
        <v>85</v>
      </c>
      <c r="D80" s="182" t="s">
        <v>534</v>
      </c>
      <c r="E80" s="226" t="s">
        <v>875</v>
      </c>
      <c r="F80" s="228" t="s">
        <v>535</v>
      </c>
      <c r="G80" s="180" t="s">
        <v>536</v>
      </c>
      <c r="H80" s="228" t="s">
        <v>55</v>
      </c>
      <c r="I80" s="229">
        <v>0.32</v>
      </c>
      <c r="J80" s="184" t="s">
        <v>108</v>
      </c>
      <c r="K80" s="195">
        <v>1942934.79</v>
      </c>
      <c r="L80" s="185">
        <f t="shared" si="17"/>
        <v>1360054.35</v>
      </c>
      <c r="M80" s="179">
        <f>K80-L80</f>
        <v>582880.43999999994</v>
      </c>
      <c r="N80" s="224">
        <v>0.7</v>
      </c>
      <c r="O80" s="185"/>
      <c r="P80" s="185"/>
      <c r="Q80" s="209"/>
      <c r="R80" s="208"/>
      <c r="S80" s="208"/>
      <c r="T80" s="185">
        <v>1360054.35</v>
      </c>
      <c r="U80" s="176"/>
      <c r="V80" s="176"/>
      <c r="W80" s="208"/>
      <c r="X80" s="208"/>
      <c r="Y80" s="209"/>
      <c r="Z80" s="209"/>
      <c r="AA80" s="238" t="b">
        <f t="shared" si="15"/>
        <v>1</v>
      </c>
      <c r="AB80" s="261">
        <f t="shared" si="0"/>
        <v>0.7</v>
      </c>
      <c r="AC80" s="262" t="b">
        <f t="shared" si="1"/>
        <v>1</v>
      </c>
      <c r="AD80" s="262" t="b">
        <f t="shared" si="2"/>
        <v>1</v>
      </c>
    </row>
    <row r="81" spans="1:30" ht="30" customHeight="1" x14ac:dyDescent="0.25">
      <c r="A81" s="219">
        <v>79</v>
      </c>
      <c r="B81" s="186" t="s">
        <v>537</v>
      </c>
      <c r="C81" s="202" t="s">
        <v>91</v>
      </c>
      <c r="D81" s="188" t="s">
        <v>530</v>
      </c>
      <c r="E81" s="169" t="s">
        <v>871</v>
      </c>
      <c r="F81" s="168" t="s">
        <v>195</v>
      </c>
      <c r="G81" s="186" t="s">
        <v>538</v>
      </c>
      <c r="H81" s="168" t="s">
        <v>55</v>
      </c>
      <c r="I81" s="171">
        <v>0.29399999999999998</v>
      </c>
      <c r="J81" s="190" t="s">
        <v>539</v>
      </c>
      <c r="K81" s="197">
        <v>2192780.13</v>
      </c>
      <c r="L81" s="191">
        <v>1722547.2</v>
      </c>
      <c r="M81" s="178">
        <f>K81-L81</f>
        <v>470232.92999999993</v>
      </c>
      <c r="N81" s="175">
        <v>0.8</v>
      </c>
      <c r="O81" s="185"/>
      <c r="P81" s="185"/>
      <c r="Q81" s="209"/>
      <c r="R81" s="208"/>
      <c r="S81" s="208"/>
      <c r="T81" s="191">
        <v>1188748</v>
      </c>
      <c r="U81" s="176">
        <v>533799.19999999995</v>
      </c>
      <c r="V81" s="176"/>
      <c r="W81" s="208"/>
      <c r="X81" s="208"/>
      <c r="Y81" s="209"/>
      <c r="Z81" s="209"/>
      <c r="AA81" s="238" t="b">
        <f t="shared" si="15"/>
        <v>1</v>
      </c>
      <c r="AB81" s="261">
        <f t="shared" si="0"/>
        <v>0.78559999999999997</v>
      </c>
      <c r="AC81" s="262" t="b">
        <f t="shared" si="1"/>
        <v>0</v>
      </c>
      <c r="AD81" s="262" t="b">
        <f t="shared" si="2"/>
        <v>1</v>
      </c>
    </row>
    <row r="82" spans="1:30" ht="30" customHeight="1" x14ac:dyDescent="0.25">
      <c r="A82" s="208">
        <v>80</v>
      </c>
      <c r="B82" s="180" t="s">
        <v>540</v>
      </c>
      <c r="C82" s="225" t="s">
        <v>85</v>
      </c>
      <c r="D82" s="182" t="s">
        <v>541</v>
      </c>
      <c r="E82" s="226" t="s">
        <v>864</v>
      </c>
      <c r="F82" s="228" t="s">
        <v>201</v>
      </c>
      <c r="G82" s="180" t="s">
        <v>542</v>
      </c>
      <c r="H82" s="228" t="s">
        <v>55</v>
      </c>
      <c r="I82" s="229">
        <v>1.8220000000000001</v>
      </c>
      <c r="J82" s="184" t="s">
        <v>108</v>
      </c>
      <c r="K82" s="195">
        <v>2971500</v>
      </c>
      <c r="L82" s="185">
        <v>2080050</v>
      </c>
      <c r="M82" s="179">
        <v>891450</v>
      </c>
      <c r="N82" s="224">
        <v>0.7</v>
      </c>
      <c r="O82" s="185"/>
      <c r="P82" s="185"/>
      <c r="Q82" s="209"/>
      <c r="R82" s="208"/>
      <c r="S82" s="208"/>
      <c r="T82" s="185">
        <v>2080050</v>
      </c>
      <c r="U82" s="197"/>
      <c r="V82" s="208"/>
      <c r="W82" s="208"/>
      <c r="X82" s="208"/>
      <c r="Y82" s="209"/>
      <c r="Z82" s="209"/>
      <c r="AA82" s="238" t="b">
        <f t="shared" si="15"/>
        <v>1</v>
      </c>
      <c r="AB82" s="261">
        <f t="shared" si="0"/>
        <v>0.7</v>
      </c>
      <c r="AC82" s="262" t="b">
        <f t="shared" si="1"/>
        <v>1</v>
      </c>
      <c r="AD82" s="262" t="b">
        <f t="shared" si="2"/>
        <v>1</v>
      </c>
    </row>
    <row r="83" spans="1:30" ht="30" customHeight="1" x14ac:dyDescent="0.25">
      <c r="A83" s="208">
        <v>81</v>
      </c>
      <c r="B83" s="180" t="s">
        <v>543</v>
      </c>
      <c r="C83" s="225" t="s">
        <v>85</v>
      </c>
      <c r="D83" s="182" t="s">
        <v>544</v>
      </c>
      <c r="E83" s="226" t="s">
        <v>545</v>
      </c>
      <c r="F83" s="228" t="s">
        <v>491</v>
      </c>
      <c r="G83" s="180" t="s">
        <v>546</v>
      </c>
      <c r="H83" s="228" t="s">
        <v>55</v>
      </c>
      <c r="I83" s="229">
        <v>0.28000000000000003</v>
      </c>
      <c r="J83" s="184" t="s">
        <v>487</v>
      </c>
      <c r="K83" s="195">
        <v>1313190</v>
      </c>
      <c r="L83" s="185">
        <f t="shared" ref="L83:L84" si="18">ROUNDDOWN(K83*N83,2)</f>
        <v>1050552</v>
      </c>
      <c r="M83" s="179">
        <f t="shared" ref="M83:M89" si="19">K83-L83</f>
        <v>262638</v>
      </c>
      <c r="N83" s="224">
        <v>0.8</v>
      </c>
      <c r="O83" s="185"/>
      <c r="P83" s="185"/>
      <c r="Q83" s="209"/>
      <c r="R83" s="208"/>
      <c r="S83" s="208"/>
      <c r="T83" s="185">
        <f>L83</f>
        <v>1050552</v>
      </c>
      <c r="U83" s="206"/>
      <c r="V83" s="176"/>
      <c r="W83" s="208"/>
      <c r="X83" s="208"/>
      <c r="Y83" s="209"/>
      <c r="Z83" s="209"/>
      <c r="AA83" s="238" t="b">
        <f t="shared" si="15"/>
        <v>1</v>
      </c>
      <c r="AB83" s="261">
        <f t="shared" si="0"/>
        <v>0.8</v>
      </c>
      <c r="AC83" s="262" t="b">
        <f t="shared" si="1"/>
        <v>1</v>
      </c>
      <c r="AD83" s="262" t="b">
        <f t="shared" si="2"/>
        <v>1</v>
      </c>
    </row>
    <row r="84" spans="1:30" ht="30" customHeight="1" x14ac:dyDescent="0.25">
      <c r="A84" s="208">
        <v>82</v>
      </c>
      <c r="B84" s="180" t="s">
        <v>547</v>
      </c>
      <c r="C84" s="225" t="s">
        <v>85</v>
      </c>
      <c r="D84" s="182" t="s">
        <v>548</v>
      </c>
      <c r="E84" s="226" t="s">
        <v>549</v>
      </c>
      <c r="F84" s="228" t="s">
        <v>206</v>
      </c>
      <c r="G84" s="180" t="s">
        <v>550</v>
      </c>
      <c r="H84" s="228" t="s">
        <v>55</v>
      </c>
      <c r="I84" s="229">
        <v>0.38100000000000001</v>
      </c>
      <c r="J84" s="184" t="s">
        <v>373</v>
      </c>
      <c r="K84" s="195">
        <v>817967.72</v>
      </c>
      <c r="L84" s="185">
        <f t="shared" si="18"/>
        <v>654374.17000000004</v>
      </c>
      <c r="M84" s="179">
        <f t="shared" si="19"/>
        <v>163593.54999999993</v>
      </c>
      <c r="N84" s="224">
        <v>0.8</v>
      </c>
      <c r="O84" s="185"/>
      <c r="P84" s="185"/>
      <c r="Q84" s="209"/>
      <c r="R84" s="208"/>
      <c r="S84" s="208"/>
      <c r="T84" s="185">
        <f>L84</f>
        <v>654374.17000000004</v>
      </c>
      <c r="U84" s="176"/>
      <c r="V84" s="176"/>
      <c r="W84" s="208"/>
      <c r="X84" s="208"/>
      <c r="Y84" s="209"/>
      <c r="Z84" s="209"/>
      <c r="AA84" s="238" t="b">
        <f t="shared" si="15"/>
        <v>1</v>
      </c>
      <c r="AB84" s="261">
        <f t="shared" si="0"/>
        <v>0.8</v>
      </c>
      <c r="AC84" s="262" t="b">
        <f t="shared" si="1"/>
        <v>1</v>
      </c>
      <c r="AD84" s="262" t="b">
        <f t="shared" si="2"/>
        <v>1</v>
      </c>
    </row>
    <row r="85" spans="1:30" ht="36" x14ac:dyDescent="0.25">
      <c r="A85" s="208">
        <v>83</v>
      </c>
      <c r="B85" s="180" t="s">
        <v>551</v>
      </c>
      <c r="C85" s="225" t="s">
        <v>85</v>
      </c>
      <c r="D85" s="182" t="s">
        <v>552</v>
      </c>
      <c r="E85" s="226" t="s">
        <v>553</v>
      </c>
      <c r="F85" s="228" t="s">
        <v>206</v>
      </c>
      <c r="G85" s="180" t="s">
        <v>900</v>
      </c>
      <c r="H85" s="228" t="s">
        <v>82</v>
      </c>
      <c r="I85" s="229">
        <v>0.77500000000000002</v>
      </c>
      <c r="J85" s="184" t="s">
        <v>181</v>
      </c>
      <c r="K85" s="195">
        <v>3782558</v>
      </c>
      <c r="L85" s="185">
        <f>ROUNDDOWN(K85*N85,2)</f>
        <v>2269534.7999999998</v>
      </c>
      <c r="M85" s="179">
        <f t="shared" si="19"/>
        <v>1513023.2000000002</v>
      </c>
      <c r="N85" s="224">
        <v>0.6</v>
      </c>
      <c r="O85" s="185"/>
      <c r="P85" s="185"/>
      <c r="Q85" s="209"/>
      <c r="R85" s="208"/>
      <c r="S85" s="208"/>
      <c r="T85" s="185">
        <v>2269534.7999999998</v>
      </c>
      <c r="U85" s="176"/>
      <c r="V85" s="176"/>
      <c r="W85" s="208"/>
      <c r="X85" s="208"/>
      <c r="Y85" s="209"/>
      <c r="Z85" s="209"/>
      <c r="AA85" s="238" t="b">
        <f t="shared" si="15"/>
        <v>1</v>
      </c>
      <c r="AB85" s="261">
        <f t="shared" si="0"/>
        <v>0.6</v>
      </c>
      <c r="AC85" s="262" t="b">
        <f t="shared" si="1"/>
        <v>1</v>
      </c>
      <c r="AD85" s="262" t="b">
        <f t="shared" si="2"/>
        <v>1</v>
      </c>
    </row>
    <row r="86" spans="1:30" ht="30" customHeight="1" x14ac:dyDescent="0.25">
      <c r="A86" s="208">
        <v>84</v>
      </c>
      <c r="B86" s="180" t="s">
        <v>554</v>
      </c>
      <c r="C86" s="225" t="s">
        <v>85</v>
      </c>
      <c r="D86" s="182" t="s">
        <v>555</v>
      </c>
      <c r="E86" s="226" t="s">
        <v>556</v>
      </c>
      <c r="F86" s="228" t="s">
        <v>212</v>
      </c>
      <c r="G86" s="180" t="s">
        <v>557</v>
      </c>
      <c r="H86" s="228" t="s">
        <v>55</v>
      </c>
      <c r="I86" s="229">
        <v>0.23100000000000001</v>
      </c>
      <c r="J86" s="184" t="s">
        <v>126</v>
      </c>
      <c r="K86" s="195">
        <v>749475.35</v>
      </c>
      <c r="L86" s="185">
        <f t="shared" ref="L86:L88" si="20">ROUNDDOWN(K86*N86,2)</f>
        <v>599580.28</v>
      </c>
      <c r="M86" s="179">
        <f t="shared" si="19"/>
        <v>149895.06999999995</v>
      </c>
      <c r="N86" s="224">
        <v>0.8</v>
      </c>
      <c r="O86" s="185"/>
      <c r="P86" s="185"/>
      <c r="Q86" s="209"/>
      <c r="R86" s="208"/>
      <c r="S86" s="208"/>
      <c r="T86" s="185">
        <f>L86</f>
        <v>599580.28</v>
      </c>
      <c r="U86" s="176"/>
      <c r="V86" s="176"/>
      <c r="W86" s="208"/>
      <c r="X86" s="208"/>
      <c r="Y86" s="209"/>
      <c r="Z86" s="209"/>
      <c r="AA86" s="238" t="b">
        <f t="shared" si="15"/>
        <v>1</v>
      </c>
      <c r="AB86" s="261">
        <f t="shared" si="0"/>
        <v>0.8</v>
      </c>
      <c r="AC86" s="262" t="b">
        <f t="shared" si="1"/>
        <v>1</v>
      </c>
      <c r="AD86" s="262" t="b">
        <f t="shared" si="2"/>
        <v>1</v>
      </c>
    </row>
    <row r="87" spans="1:30" ht="30" customHeight="1" x14ac:dyDescent="0.25">
      <c r="A87" s="208">
        <v>85</v>
      </c>
      <c r="B87" s="180" t="s">
        <v>558</v>
      </c>
      <c r="C87" s="225" t="s">
        <v>85</v>
      </c>
      <c r="D87" s="182" t="s">
        <v>559</v>
      </c>
      <c r="E87" s="226" t="s">
        <v>560</v>
      </c>
      <c r="F87" s="228" t="s">
        <v>561</v>
      </c>
      <c r="G87" s="180" t="s">
        <v>562</v>
      </c>
      <c r="H87" s="228" t="s">
        <v>55</v>
      </c>
      <c r="I87" s="229">
        <v>1.708</v>
      </c>
      <c r="J87" s="184" t="s">
        <v>308</v>
      </c>
      <c r="K87" s="195">
        <v>1223831.21</v>
      </c>
      <c r="L87" s="185">
        <f t="shared" si="20"/>
        <v>979064.96</v>
      </c>
      <c r="M87" s="179">
        <f t="shared" si="19"/>
        <v>244766.25</v>
      </c>
      <c r="N87" s="224">
        <v>0.8</v>
      </c>
      <c r="O87" s="185"/>
      <c r="P87" s="185"/>
      <c r="Q87" s="209"/>
      <c r="R87" s="208"/>
      <c r="S87" s="208"/>
      <c r="T87" s="185">
        <v>979064.96</v>
      </c>
      <c r="U87" s="176"/>
      <c r="V87" s="176"/>
      <c r="W87" s="208"/>
      <c r="X87" s="208"/>
      <c r="Y87" s="209"/>
      <c r="Z87" s="209"/>
      <c r="AA87" s="238" t="b">
        <f t="shared" si="15"/>
        <v>1</v>
      </c>
      <c r="AB87" s="261">
        <f t="shared" si="0"/>
        <v>0.8</v>
      </c>
      <c r="AC87" s="262" t="b">
        <f t="shared" si="1"/>
        <v>1</v>
      </c>
      <c r="AD87" s="262" t="b">
        <f t="shared" si="2"/>
        <v>1</v>
      </c>
    </row>
    <row r="88" spans="1:30" ht="30" customHeight="1" x14ac:dyDescent="0.25">
      <c r="A88" s="208">
        <v>86</v>
      </c>
      <c r="B88" s="180" t="s">
        <v>563</v>
      </c>
      <c r="C88" s="225" t="s">
        <v>85</v>
      </c>
      <c r="D88" s="182" t="s">
        <v>480</v>
      </c>
      <c r="E88" s="226" t="s">
        <v>481</v>
      </c>
      <c r="F88" s="228" t="s">
        <v>206</v>
      </c>
      <c r="G88" s="180" t="s">
        <v>564</v>
      </c>
      <c r="H88" s="228" t="s">
        <v>55</v>
      </c>
      <c r="I88" s="229">
        <v>0.53300000000000003</v>
      </c>
      <c r="J88" s="184" t="s">
        <v>565</v>
      </c>
      <c r="K88" s="195">
        <v>615702.64</v>
      </c>
      <c r="L88" s="185">
        <f t="shared" si="20"/>
        <v>430991.84</v>
      </c>
      <c r="M88" s="179">
        <f t="shared" si="19"/>
        <v>184710.8</v>
      </c>
      <c r="N88" s="224">
        <v>0.7</v>
      </c>
      <c r="O88" s="185"/>
      <c r="P88" s="185"/>
      <c r="Q88" s="209"/>
      <c r="R88" s="208"/>
      <c r="S88" s="208"/>
      <c r="T88" s="185">
        <f>L88</f>
        <v>430991.84</v>
      </c>
      <c r="U88" s="206"/>
      <c r="V88" s="176"/>
      <c r="W88" s="208"/>
      <c r="X88" s="208"/>
      <c r="Y88" s="209"/>
      <c r="Z88" s="209"/>
      <c r="AA88" s="238" t="b">
        <f t="shared" si="15"/>
        <v>1</v>
      </c>
      <c r="AB88" s="261">
        <f t="shared" si="0"/>
        <v>0.7</v>
      </c>
      <c r="AC88" s="262" t="b">
        <f t="shared" si="1"/>
        <v>1</v>
      </c>
      <c r="AD88" s="262" t="b">
        <f t="shared" si="2"/>
        <v>1</v>
      </c>
    </row>
    <row r="89" spans="1:30" ht="40.5" customHeight="1" x14ac:dyDescent="0.25">
      <c r="A89" s="219">
        <v>87</v>
      </c>
      <c r="B89" s="186" t="s">
        <v>566</v>
      </c>
      <c r="C89" s="202" t="s">
        <v>91</v>
      </c>
      <c r="D89" s="188" t="s">
        <v>204</v>
      </c>
      <c r="E89" s="169" t="s">
        <v>205</v>
      </c>
      <c r="F89" s="168" t="s">
        <v>206</v>
      </c>
      <c r="G89" s="186" t="s">
        <v>567</v>
      </c>
      <c r="H89" s="168" t="s">
        <v>55</v>
      </c>
      <c r="I89" s="171">
        <v>0.997</v>
      </c>
      <c r="J89" s="190" t="s">
        <v>178</v>
      </c>
      <c r="K89" s="197">
        <v>7884300</v>
      </c>
      <c r="L89" s="191">
        <f>ROUNDDOWN(K89*N89,2)</f>
        <v>6307440</v>
      </c>
      <c r="M89" s="178">
        <f t="shared" si="19"/>
        <v>1576860</v>
      </c>
      <c r="N89" s="175">
        <v>0.8</v>
      </c>
      <c r="O89" s="185"/>
      <c r="P89" s="185"/>
      <c r="Q89" s="209"/>
      <c r="R89" s="208"/>
      <c r="S89" s="208"/>
      <c r="T89" s="191">
        <v>1766083.2</v>
      </c>
      <c r="U89" s="176">
        <v>4541356.8</v>
      </c>
      <c r="V89" s="176"/>
      <c r="W89" s="208"/>
      <c r="X89" s="208"/>
      <c r="Y89" s="209"/>
      <c r="Z89" s="209"/>
      <c r="AA89" s="238" t="b">
        <f t="shared" si="15"/>
        <v>1</v>
      </c>
      <c r="AB89" s="261">
        <f t="shared" si="0"/>
        <v>0.8</v>
      </c>
      <c r="AC89" s="262" t="b">
        <f t="shared" si="1"/>
        <v>1</v>
      </c>
      <c r="AD89" s="262" t="b">
        <f t="shared" si="2"/>
        <v>1</v>
      </c>
    </row>
    <row r="90" spans="1:30" ht="40.5" customHeight="1" x14ac:dyDescent="0.25">
      <c r="A90" s="208">
        <v>88</v>
      </c>
      <c r="B90" s="180" t="s">
        <v>568</v>
      </c>
      <c r="C90" s="225" t="s">
        <v>85</v>
      </c>
      <c r="D90" s="182" t="s">
        <v>259</v>
      </c>
      <c r="E90" s="226" t="s">
        <v>260</v>
      </c>
      <c r="F90" s="228" t="s">
        <v>256</v>
      </c>
      <c r="G90" s="180" t="s">
        <v>569</v>
      </c>
      <c r="H90" s="228" t="s">
        <v>61</v>
      </c>
      <c r="I90" s="229">
        <v>0.13500000000000001</v>
      </c>
      <c r="J90" s="184" t="s">
        <v>368</v>
      </c>
      <c r="K90" s="195">
        <v>637850</v>
      </c>
      <c r="L90" s="185">
        <v>510280</v>
      </c>
      <c r="M90" s="179">
        <v>127570</v>
      </c>
      <c r="N90" s="224">
        <v>0.8</v>
      </c>
      <c r="O90" s="185"/>
      <c r="P90" s="185"/>
      <c r="Q90" s="209"/>
      <c r="R90" s="208"/>
      <c r="S90" s="208"/>
      <c r="T90" s="185">
        <v>510280</v>
      </c>
      <c r="U90" s="176"/>
      <c r="V90" s="176"/>
      <c r="W90" s="208"/>
      <c r="X90" s="208"/>
      <c r="Y90" s="209"/>
      <c r="Z90" s="209"/>
      <c r="AA90" s="238" t="b">
        <f t="shared" si="15"/>
        <v>1</v>
      </c>
      <c r="AB90" s="261">
        <f t="shared" si="0"/>
        <v>0.8</v>
      </c>
      <c r="AC90" s="262" t="b">
        <f t="shared" si="1"/>
        <v>1</v>
      </c>
      <c r="AD90" s="262" t="b">
        <f t="shared" si="2"/>
        <v>1</v>
      </c>
    </row>
    <row r="91" spans="1:30" ht="30" customHeight="1" x14ac:dyDescent="0.25">
      <c r="A91" s="219">
        <v>89</v>
      </c>
      <c r="B91" s="186" t="s">
        <v>570</v>
      </c>
      <c r="C91" s="202" t="s">
        <v>91</v>
      </c>
      <c r="D91" s="188" t="s">
        <v>278</v>
      </c>
      <c r="E91" s="169" t="s">
        <v>279</v>
      </c>
      <c r="F91" s="168" t="s">
        <v>280</v>
      </c>
      <c r="G91" s="186" t="s">
        <v>571</v>
      </c>
      <c r="H91" s="168" t="s">
        <v>55</v>
      </c>
      <c r="I91" s="171">
        <v>1.28</v>
      </c>
      <c r="J91" s="190" t="s">
        <v>163</v>
      </c>
      <c r="K91" s="197">
        <v>2984500</v>
      </c>
      <c r="L91" s="191">
        <v>2089150</v>
      </c>
      <c r="M91" s="178">
        <v>895350</v>
      </c>
      <c r="N91" s="175">
        <v>0.7</v>
      </c>
      <c r="O91" s="185"/>
      <c r="P91" s="185"/>
      <c r="Q91" s="209"/>
      <c r="R91" s="208"/>
      <c r="S91" s="208"/>
      <c r="T91" s="191">
        <v>77000</v>
      </c>
      <c r="U91" s="176">
        <v>2012150</v>
      </c>
      <c r="V91" s="176"/>
      <c r="W91" s="208"/>
      <c r="X91" s="208"/>
      <c r="Y91" s="209"/>
      <c r="Z91" s="209"/>
      <c r="AA91" s="238" t="b">
        <f t="shared" si="15"/>
        <v>1</v>
      </c>
      <c r="AB91" s="261">
        <f t="shared" si="0"/>
        <v>0.7</v>
      </c>
      <c r="AC91" s="262" t="b">
        <f t="shared" si="1"/>
        <v>1</v>
      </c>
      <c r="AD91" s="262" t="b">
        <f t="shared" si="2"/>
        <v>1</v>
      </c>
    </row>
    <row r="92" spans="1:30" ht="30" customHeight="1" x14ac:dyDescent="0.25">
      <c r="A92" s="219">
        <v>90</v>
      </c>
      <c r="B92" s="186" t="s">
        <v>572</v>
      </c>
      <c r="C92" s="202" t="s">
        <v>91</v>
      </c>
      <c r="D92" s="188" t="s">
        <v>573</v>
      </c>
      <c r="E92" s="169" t="s">
        <v>574</v>
      </c>
      <c r="F92" s="168" t="s">
        <v>268</v>
      </c>
      <c r="G92" s="186" t="s">
        <v>575</v>
      </c>
      <c r="H92" s="168" t="s">
        <v>55</v>
      </c>
      <c r="I92" s="171">
        <v>0.65500000000000003</v>
      </c>
      <c r="J92" s="190" t="s">
        <v>163</v>
      </c>
      <c r="K92" s="197">
        <v>3695720.6</v>
      </c>
      <c r="L92" s="191">
        <v>2217432.36</v>
      </c>
      <c r="M92" s="178">
        <v>1478288.2400000002</v>
      </c>
      <c r="N92" s="175">
        <v>0.6</v>
      </c>
      <c r="O92" s="185"/>
      <c r="P92" s="185"/>
      <c r="Q92" s="209"/>
      <c r="R92" s="208"/>
      <c r="S92" s="208"/>
      <c r="T92" s="191">
        <v>738000</v>
      </c>
      <c r="U92" s="176">
        <v>1479432.36</v>
      </c>
      <c r="V92" s="176"/>
      <c r="W92" s="208"/>
      <c r="X92" s="208"/>
      <c r="Y92" s="209"/>
      <c r="Z92" s="209"/>
      <c r="AA92" s="238" t="b">
        <f t="shared" si="15"/>
        <v>1</v>
      </c>
      <c r="AB92" s="261">
        <f t="shared" si="0"/>
        <v>0.6</v>
      </c>
      <c r="AC92" s="262" t="b">
        <f t="shared" si="1"/>
        <v>1</v>
      </c>
      <c r="AD92" s="262" t="b">
        <f t="shared" si="2"/>
        <v>1</v>
      </c>
    </row>
    <row r="93" spans="1:30" ht="30" customHeight="1" x14ac:dyDescent="0.25">
      <c r="A93" s="208">
        <v>91</v>
      </c>
      <c r="B93" s="180" t="s">
        <v>911</v>
      </c>
      <c r="C93" s="225"/>
      <c r="D93" s="182" t="s">
        <v>576</v>
      </c>
      <c r="E93" s="226" t="s">
        <v>876</v>
      </c>
      <c r="F93" s="228" t="s">
        <v>362</v>
      </c>
      <c r="G93" s="180" t="s">
        <v>577</v>
      </c>
      <c r="H93" s="228" t="s">
        <v>61</v>
      </c>
      <c r="I93" s="229">
        <v>0</v>
      </c>
      <c r="J93" s="184" t="s">
        <v>186</v>
      </c>
      <c r="K93" s="195"/>
      <c r="L93" s="185"/>
      <c r="M93" s="179"/>
      <c r="N93" s="224">
        <v>0.8</v>
      </c>
      <c r="O93" s="185"/>
      <c r="P93" s="185"/>
      <c r="Q93" s="209"/>
      <c r="R93" s="208"/>
      <c r="S93" s="208"/>
      <c r="T93" s="185"/>
      <c r="U93" s="176"/>
      <c r="V93" s="176"/>
      <c r="W93" s="208"/>
      <c r="X93" s="208"/>
      <c r="Y93" s="209"/>
      <c r="Z93" s="209"/>
      <c r="AA93" s="238" t="b">
        <f t="shared" si="15"/>
        <v>1</v>
      </c>
      <c r="AB93" s="261" t="e">
        <f t="shared" si="0"/>
        <v>#DIV/0!</v>
      </c>
      <c r="AC93" s="262" t="e">
        <f t="shared" si="1"/>
        <v>#DIV/0!</v>
      </c>
      <c r="AD93" s="262" t="b">
        <f t="shared" si="2"/>
        <v>1</v>
      </c>
    </row>
    <row r="94" spans="1:30" ht="30" customHeight="1" x14ac:dyDescent="0.25">
      <c r="A94" s="208">
        <v>92</v>
      </c>
      <c r="B94" s="180" t="s">
        <v>578</v>
      </c>
      <c r="C94" s="225" t="s">
        <v>85</v>
      </c>
      <c r="D94" s="182" t="s">
        <v>579</v>
      </c>
      <c r="E94" s="226" t="s">
        <v>580</v>
      </c>
      <c r="F94" s="228" t="s">
        <v>581</v>
      </c>
      <c r="G94" s="180" t="s">
        <v>582</v>
      </c>
      <c r="H94" s="228" t="s">
        <v>61</v>
      </c>
      <c r="I94" s="229">
        <v>0.56999999999999995</v>
      </c>
      <c r="J94" s="184" t="s">
        <v>308</v>
      </c>
      <c r="K94" s="195">
        <v>442214</v>
      </c>
      <c r="L94" s="185">
        <v>207633</v>
      </c>
      <c r="M94" s="179">
        <f>K94-L94</f>
        <v>234581</v>
      </c>
      <c r="N94" s="224">
        <v>0.5</v>
      </c>
      <c r="O94" s="185"/>
      <c r="P94" s="185"/>
      <c r="Q94" s="209"/>
      <c r="R94" s="208"/>
      <c r="S94" s="208"/>
      <c r="T94" s="185">
        <v>207633</v>
      </c>
      <c r="U94" s="176"/>
      <c r="V94" s="176"/>
      <c r="W94" s="208"/>
      <c r="X94" s="208"/>
      <c r="Y94" s="209"/>
      <c r="Z94" s="209"/>
      <c r="AA94" s="238" t="b">
        <f t="shared" si="15"/>
        <v>1</v>
      </c>
      <c r="AB94" s="261">
        <f t="shared" si="0"/>
        <v>0.46949999999999997</v>
      </c>
      <c r="AC94" s="262" t="b">
        <f t="shared" si="1"/>
        <v>0</v>
      </c>
      <c r="AD94" s="262" t="b">
        <f t="shared" si="2"/>
        <v>1</v>
      </c>
    </row>
    <row r="95" spans="1:30" ht="30" customHeight="1" x14ac:dyDescent="0.25">
      <c r="A95" s="219">
        <v>93</v>
      </c>
      <c r="B95" s="186" t="s">
        <v>583</v>
      </c>
      <c r="C95" s="202" t="s">
        <v>91</v>
      </c>
      <c r="D95" s="188" t="s">
        <v>584</v>
      </c>
      <c r="E95" s="169" t="s">
        <v>585</v>
      </c>
      <c r="F95" s="168" t="s">
        <v>274</v>
      </c>
      <c r="G95" s="186" t="s">
        <v>586</v>
      </c>
      <c r="H95" s="168" t="s">
        <v>55</v>
      </c>
      <c r="I95" s="171">
        <v>0.69699999999999995</v>
      </c>
      <c r="J95" s="190" t="s">
        <v>348</v>
      </c>
      <c r="K95" s="197">
        <v>1667811.12</v>
      </c>
      <c r="L95" s="191">
        <v>612346</v>
      </c>
      <c r="M95" s="178">
        <f>K95-L95</f>
        <v>1055465.1200000001</v>
      </c>
      <c r="N95" s="175">
        <v>0.5</v>
      </c>
      <c r="O95" s="185"/>
      <c r="P95" s="185"/>
      <c r="Q95" s="209"/>
      <c r="R95" s="208"/>
      <c r="S95" s="208"/>
      <c r="T95" s="191">
        <v>239868</v>
      </c>
      <c r="U95" s="197">
        <v>372478</v>
      </c>
      <c r="V95" s="219"/>
      <c r="W95" s="208"/>
      <c r="X95" s="208"/>
      <c r="Y95" s="209"/>
      <c r="Z95" s="209"/>
      <c r="AA95" s="238" t="b">
        <f t="shared" si="15"/>
        <v>1</v>
      </c>
      <c r="AB95" s="261">
        <f t="shared" si="0"/>
        <v>0.36720000000000003</v>
      </c>
      <c r="AC95" s="262" t="b">
        <f t="shared" si="1"/>
        <v>0</v>
      </c>
      <c r="AD95" s="262" t="b">
        <f t="shared" si="2"/>
        <v>1</v>
      </c>
    </row>
    <row r="96" spans="1:30" ht="30" customHeight="1" x14ac:dyDescent="0.25">
      <c r="A96" s="219">
        <v>94</v>
      </c>
      <c r="B96" s="186" t="s">
        <v>587</v>
      </c>
      <c r="C96" s="202" t="s">
        <v>91</v>
      </c>
      <c r="D96" s="188" t="s">
        <v>249</v>
      </c>
      <c r="E96" s="169" t="s">
        <v>250</v>
      </c>
      <c r="F96" s="168" t="s">
        <v>212</v>
      </c>
      <c r="G96" s="186" t="s">
        <v>902</v>
      </c>
      <c r="H96" s="168" t="s">
        <v>55</v>
      </c>
      <c r="I96" s="171">
        <v>0.83</v>
      </c>
      <c r="J96" s="190" t="s">
        <v>135</v>
      </c>
      <c r="K96" s="197">
        <v>1673199.7</v>
      </c>
      <c r="L96" s="191">
        <f t="shared" ref="L96" si="21">ROUNDDOWN(K96*N96,2)</f>
        <v>1338559.76</v>
      </c>
      <c r="M96" s="178">
        <f>K96-L96</f>
        <v>334639.93999999994</v>
      </c>
      <c r="N96" s="175">
        <v>0.8</v>
      </c>
      <c r="O96" s="185"/>
      <c r="P96" s="185"/>
      <c r="Q96" s="209"/>
      <c r="R96" s="208"/>
      <c r="S96" s="208"/>
      <c r="T96" s="191">
        <v>98400</v>
      </c>
      <c r="U96" s="176">
        <f>L96-T96</f>
        <v>1240159.76</v>
      </c>
      <c r="V96" s="176"/>
      <c r="W96" s="208"/>
      <c r="X96" s="208"/>
      <c r="Y96" s="209"/>
      <c r="Z96" s="209"/>
      <c r="AA96" s="238" t="b">
        <f t="shared" si="15"/>
        <v>1</v>
      </c>
      <c r="AB96" s="261">
        <f t="shared" si="0"/>
        <v>0.8</v>
      </c>
      <c r="AC96" s="262" t="b">
        <f t="shared" si="1"/>
        <v>1</v>
      </c>
      <c r="AD96" s="262" t="b">
        <f t="shared" si="2"/>
        <v>1</v>
      </c>
    </row>
    <row r="97" spans="1:30" ht="45.75" customHeight="1" x14ac:dyDescent="0.25">
      <c r="A97" s="219">
        <v>95</v>
      </c>
      <c r="B97" s="186" t="s">
        <v>588</v>
      </c>
      <c r="C97" s="202" t="s">
        <v>91</v>
      </c>
      <c r="D97" s="188" t="s">
        <v>589</v>
      </c>
      <c r="E97" s="169" t="s">
        <v>590</v>
      </c>
      <c r="F97" s="168" t="s">
        <v>206</v>
      </c>
      <c r="G97" s="186" t="s">
        <v>591</v>
      </c>
      <c r="H97" s="168" t="s">
        <v>55</v>
      </c>
      <c r="I97" s="171">
        <v>0.39</v>
      </c>
      <c r="J97" s="190" t="s">
        <v>592</v>
      </c>
      <c r="K97" s="197">
        <v>3106716.91</v>
      </c>
      <c r="L97" s="191">
        <v>2279352</v>
      </c>
      <c r="M97" s="178">
        <f>K97-L97</f>
        <v>827364.91000000015</v>
      </c>
      <c r="N97" s="175">
        <v>0.8</v>
      </c>
      <c r="O97" s="185"/>
      <c r="P97" s="185"/>
      <c r="Q97" s="209"/>
      <c r="R97" s="208"/>
      <c r="S97" s="208"/>
      <c r="T97" s="191">
        <v>1440000</v>
      </c>
      <c r="U97" s="197">
        <v>839352</v>
      </c>
      <c r="V97" s="176"/>
      <c r="W97" s="208"/>
      <c r="X97" s="208"/>
      <c r="Y97" s="209"/>
      <c r="Z97" s="209"/>
      <c r="AA97" s="238" t="b">
        <f t="shared" si="15"/>
        <v>1</v>
      </c>
      <c r="AB97" s="261">
        <f t="shared" si="0"/>
        <v>0.73370000000000002</v>
      </c>
      <c r="AC97" s="262" t="b">
        <f t="shared" si="1"/>
        <v>0</v>
      </c>
      <c r="AD97" s="262" t="b">
        <f t="shared" si="2"/>
        <v>1</v>
      </c>
    </row>
    <row r="98" spans="1:30" ht="30" customHeight="1" x14ac:dyDescent="0.25">
      <c r="A98" s="208">
        <v>96</v>
      </c>
      <c r="B98" s="180" t="s">
        <v>593</v>
      </c>
      <c r="C98" s="225" t="s">
        <v>85</v>
      </c>
      <c r="D98" s="182" t="s">
        <v>594</v>
      </c>
      <c r="E98" s="226" t="s">
        <v>595</v>
      </c>
      <c r="F98" s="228" t="s">
        <v>206</v>
      </c>
      <c r="G98" s="180" t="s">
        <v>596</v>
      </c>
      <c r="H98" s="228" t="s">
        <v>55</v>
      </c>
      <c r="I98" s="229">
        <v>0.19600000000000001</v>
      </c>
      <c r="J98" s="184" t="s">
        <v>89</v>
      </c>
      <c r="K98" s="195">
        <v>1413500</v>
      </c>
      <c r="L98" s="185">
        <v>989450</v>
      </c>
      <c r="M98" s="179">
        <v>424050</v>
      </c>
      <c r="N98" s="224">
        <v>0.7</v>
      </c>
      <c r="O98" s="185"/>
      <c r="P98" s="185"/>
      <c r="Q98" s="209"/>
      <c r="R98" s="208"/>
      <c r="S98" s="208"/>
      <c r="T98" s="185">
        <v>989450</v>
      </c>
      <c r="U98" s="197"/>
      <c r="V98" s="176"/>
      <c r="W98" s="208"/>
      <c r="X98" s="208"/>
      <c r="Y98" s="209"/>
      <c r="Z98" s="209"/>
      <c r="AA98" s="238" t="b">
        <f t="shared" si="15"/>
        <v>1</v>
      </c>
      <c r="AB98" s="261">
        <f t="shared" si="0"/>
        <v>0.7</v>
      </c>
      <c r="AC98" s="262" t="b">
        <f t="shared" si="1"/>
        <v>1</v>
      </c>
      <c r="AD98" s="262" t="b">
        <f t="shared" si="2"/>
        <v>1</v>
      </c>
    </row>
    <row r="99" spans="1:30" ht="30" customHeight="1" x14ac:dyDescent="0.25">
      <c r="A99" s="208">
        <v>97</v>
      </c>
      <c r="B99" s="180" t="s">
        <v>597</v>
      </c>
      <c r="C99" s="225" t="s">
        <v>85</v>
      </c>
      <c r="D99" s="182" t="s">
        <v>598</v>
      </c>
      <c r="E99" s="226" t="s">
        <v>599</v>
      </c>
      <c r="F99" s="228" t="s">
        <v>256</v>
      </c>
      <c r="G99" s="180" t="s">
        <v>600</v>
      </c>
      <c r="H99" s="228" t="s">
        <v>61</v>
      </c>
      <c r="I99" s="229">
        <v>2.0550000000000002</v>
      </c>
      <c r="J99" s="184" t="s">
        <v>343</v>
      </c>
      <c r="K99" s="195">
        <v>1612489.37</v>
      </c>
      <c r="L99" s="185">
        <f>ROUNDDOWN(K99*N99,2)</f>
        <v>1289991.49</v>
      </c>
      <c r="M99" s="179">
        <f>K99-L99</f>
        <v>322497.88000000012</v>
      </c>
      <c r="N99" s="224">
        <v>0.8</v>
      </c>
      <c r="O99" s="185"/>
      <c r="P99" s="185"/>
      <c r="Q99" s="209"/>
      <c r="R99" s="208"/>
      <c r="S99" s="208"/>
      <c r="T99" s="185">
        <f>L99</f>
        <v>1289991.49</v>
      </c>
      <c r="U99" s="206"/>
      <c r="V99" s="176"/>
      <c r="W99" s="208"/>
      <c r="X99" s="208"/>
      <c r="Y99" s="209"/>
      <c r="Z99" s="209"/>
      <c r="AA99" s="238" t="b">
        <f t="shared" si="15"/>
        <v>1</v>
      </c>
      <c r="AB99" s="261">
        <f t="shared" si="0"/>
        <v>0.8</v>
      </c>
      <c r="AC99" s="262" t="b">
        <f t="shared" si="1"/>
        <v>1</v>
      </c>
      <c r="AD99" s="262" t="b">
        <f t="shared" si="2"/>
        <v>1</v>
      </c>
    </row>
    <row r="100" spans="1:30" ht="30" customHeight="1" x14ac:dyDescent="0.25">
      <c r="A100" s="208">
        <v>98</v>
      </c>
      <c r="B100" s="180" t="s">
        <v>601</v>
      </c>
      <c r="C100" s="225" t="s">
        <v>85</v>
      </c>
      <c r="D100" s="182" t="s">
        <v>602</v>
      </c>
      <c r="E100" s="226" t="s">
        <v>603</v>
      </c>
      <c r="F100" s="228" t="s">
        <v>377</v>
      </c>
      <c r="G100" s="180" t="s">
        <v>604</v>
      </c>
      <c r="H100" s="228" t="s">
        <v>55</v>
      </c>
      <c r="I100" s="229">
        <v>1.5589999999999999</v>
      </c>
      <c r="J100" s="184" t="s">
        <v>605</v>
      </c>
      <c r="K100" s="195">
        <v>6514740.9400000004</v>
      </c>
      <c r="L100" s="185">
        <f t="shared" ref="L100:L101" si="22">ROUNDDOWN(K100*N100,2)</f>
        <v>3257370.47</v>
      </c>
      <c r="M100" s="179">
        <f>K100-L100</f>
        <v>3257370.47</v>
      </c>
      <c r="N100" s="224">
        <v>0.5</v>
      </c>
      <c r="O100" s="185"/>
      <c r="P100" s="185"/>
      <c r="Q100" s="209"/>
      <c r="R100" s="208"/>
      <c r="S100" s="208"/>
      <c r="T100" s="185">
        <f>L100</f>
        <v>3257370.47</v>
      </c>
      <c r="U100" s="176"/>
      <c r="V100" s="176"/>
      <c r="W100" s="208"/>
      <c r="X100" s="208"/>
      <c r="Y100" s="209"/>
      <c r="Z100" s="209"/>
      <c r="AA100" s="238" t="b">
        <f t="shared" si="15"/>
        <v>1</v>
      </c>
      <c r="AB100" s="261">
        <f t="shared" si="0"/>
        <v>0.5</v>
      </c>
      <c r="AC100" s="262" t="b">
        <f t="shared" si="1"/>
        <v>1</v>
      </c>
      <c r="AD100" s="262" t="b">
        <f t="shared" si="2"/>
        <v>1</v>
      </c>
    </row>
    <row r="101" spans="1:30" ht="30" customHeight="1" x14ac:dyDescent="0.25">
      <c r="A101" s="219">
        <v>99</v>
      </c>
      <c r="B101" s="186" t="s">
        <v>606</v>
      </c>
      <c r="C101" s="202" t="s">
        <v>91</v>
      </c>
      <c r="D101" s="188" t="s">
        <v>607</v>
      </c>
      <c r="E101" s="169" t="s">
        <v>608</v>
      </c>
      <c r="F101" s="168" t="s">
        <v>435</v>
      </c>
      <c r="G101" s="186" t="s">
        <v>609</v>
      </c>
      <c r="H101" s="168" t="s">
        <v>82</v>
      </c>
      <c r="I101" s="171">
        <v>0.69199999999999995</v>
      </c>
      <c r="J101" s="190" t="s">
        <v>610</v>
      </c>
      <c r="K101" s="197">
        <v>3776328</v>
      </c>
      <c r="L101" s="191">
        <f t="shared" si="22"/>
        <v>3021062.4</v>
      </c>
      <c r="M101" s="178">
        <f>K101-L101</f>
        <v>755265.60000000009</v>
      </c>
      <c r="N101" s="175">
        <v>0.8</v>
      </c>
      <c r="O101" s="185"/>
      <c r="P101" s="185"/>
      <c r="Q101" s="209"/>
      <c r="R101" s="208"/>
      <c r="S101" s="208"/>
      <c r="T101" s="191">
        <v>1495599.2</v>
      </c>
      <c r="U101" s="197">
        <v>1525463.2</v>
      </c>
      <c r="V101" s="219"/>
      <c r="W101" s="208"/>
      <c r="X101" s="208"/>
      <c r="Y101" s="209"/>
      <c r="Z101" s="209"/>
      <c r="AA101" s="238" t="b">
        <f t="shared" si="15"/>
        <v>1</v>
      </c>
      <c r="AB101" s="261">
        <f t="shared" si="0"/>
        <v>0.8</v>
      </c>
      <c r="AC101" s="262" t="b">
        <f t="shared" si="1"/>
        <v>1</v>
      </c>
      <c r="AD101" s="262" t="b">
        <f t="shared" si="2"/>
        <v>1</v>
      </c>
    </row>
    <row r="102" spans="1:30" ht="30" customHeight="1" x14ac:dyDescent="0.25">
      <c r="A102" s="219">
        <v>100</v>
      </c>
      <c r="B102" s="186" t="s">
        <v>628</v>
      </c>
      <c r="C102" s="202" t="s">
        <v>91</v>
      </c>
      <c r="D102" s="188" t="s">
        <v>629</v>
      </c>
      <c r="E102" s="169" t="s">
        <v>630</v>
      </c>
      <c r="F102" s="168" t="s">
        <v>201</v>
      </c>
      <c r="G102" s="186" t="s">
        <v>631</v>
      </c>
      <c r="H102" s="168" t="s">
        <v>55</v>
      </c>
      <c r="I102" s="171">
        <v>0.20100000000000001</v>
      </c>
      <c r="J102" s="190" t="s">
        <v>632</v>
      </c>
      <c r="K102" s="197">
        <v>1803286</v>
      </c>
      <c r="L102" s="191">
        <f t="shared" ref="L102:L116" si="23">ROUNDDOWN(K102*N102,2)</f>
        <v>1262300.2</v>
      </c>
      <c r="M102" s="178">
        <f t="shared" ref="M102:M116" si="24">K102-L102</f>
        <v>540985.80000000005</v>
      </c>
      <c r="N102" s="230">
        <v>0.7</v>
      </c>
      <c r="O102" s="185"/>
      <c r="P102" s="185"/>
      <c r="Q102" s="216"/>
      <c r="R102" s="216"/>
      <c r="S102" s="216"/>
      <c r="T102" s="191">
        <v>1262300.2</v>
      </c>
      <c r="U102" s="176"/>
      <c r="V102" s="176"/>
      <c r="W102" s="216"/>
      <c r="X102" s="216"/>
      <c r="Y102" s="216"/>
      <c r="Z102" s="216"/>
      <c r="AA102" s="238" t="b">
        <f t="shared" ref="AA102:AA132" si="25">L102=SUM(O102:Z102)</f>
        <v>1</v>
      </c>
      <c r="AB102" s="261">
        <f t="shared" ref="AB102:AB132" si="26">ROUND(L102/K102,4)</f>
        <v>0.7</v>
      </c>
      <c r="AC102" s="262" t="b">
        <f t="shared" ref="AC102:AC132" si="27">AB102=N102</f>
        <v>1</v>
      </c>
      <c r="AD102" s="262" t="b">
        <f t="shared" ref="AD102:AD132" si="28">K102=L102+M102</f>
        <v>1</v>
      </c>
    </row>
    <row r="103" spans="1:30" ht="30" customHeight="1" x14ac:dyDescent="0.25">
      <c r="A103" s="208">
        <v>101</v>
      </c>
      <c r="B103" s="180" t="s">
        <v>633</v>
      </c>
      <c r="C103" s="225" t="s">
        <v>85</v>
      </c>
      <c r="D103" s="182" t="s">
        <v>634</v>
      </c>
      <c r="E103" s="226" t="s">
        <v>635</v>
      </c>
      <c r="F103" s="228" t="s">
        <v>256</v>
      </c>
      <c r="G103" s="180" t="s">
        <v>636</v>
      </c>
      <c r="H103" s="228" t="s">
        <v>61</v>
      </c>
      <c r="I103" s="229">
        <v>1.28</v>
      </c>
      <c r="J103" s="184" t="s">
        <v>637</v>
      </c>
      <c r="K103" s="195">
        <v>1857577.72</v>
      </c>
      <c r="L103" s="185">
        <f t="shared" si="23"/>
        <v>1486062.17</v>
      </c>
      <c r="M103" s="179">
        <f t="shared" si="24"/>
        <v>371515.55000000005</v>
      </c>
      <c r="N103" s="231">
        <v>0.8</v>
      </c>
      <c r="O103" s="185"/>
      <c r="P103" s="185"/>
      <c r="Q103" s="216"/>
      <c r="R103" s="216"/>
      <c r="S103" s="216"/>
      <c r="T103" s="185">
        <f>L103</f>
        <v>1486062.17</v>
      </c>
      <c r="U103" s="176"/>
      <c r="V103" s="176"/>
      <c r="W103" s="216"/>
      <c r="X103" s="216"/>
      <c r="Y103" s="216"/>
      <c r="Z103" s="216"/>
      <c r="AA103" s="238" t="b">
        <f t="shared" si="25"/>
        <v>1</v>
      </c>
      <c r="AB103" s="261">
        <f>ROUND(L103/K103,4)</f>
        <v>0.8</v>
      </c>
      <c r="AC103" s="262" t="b">
        <f t="shared" si="27"/>
        <v>1</v>
      </c>
      <c r="AD103" s="262" t="b">
        <f t="shared" si="28"/>
        <v>1</v>
      </c>
    </row>
    <row r="104" spans="1:30" ht="60" x14ac:dyDescent="0.25">
      <c r="A104" s="208">
        <v>102</v>
      </c>
      <c r="B104" s="180" t="s">
        <v>650</v>
      </c>
      <c r="C104" s="225" t="s">
        <v>85</v>
      </c>
      <c r="D104" s="182" t="s">
        <v>651</v>
      </c>
      <c r="E104" s="226" t="s">
        <v>652</v>
      </c>
      <c r="F104" s="228" t="s">
        <v>239</v>
      </c>
      <c r="G104" s="180" t="s">
        <v>897</v>
      </c>
      <c r="H104" s="228" t="s">
        <v>55</v>
      </c>
      <c r="I104" s="229">
        <v>0.49</v>
      </c>
      <c r="J104" s="184" t="s">
        <v>653</v>
      </c>
      <c r="K104" s="195">
        <v>928699.91</v>
      </c>
      <c r="L104" s="185">
        <f t="shared" si="23"/>
        <v>742959.92</v>
      </c>
      <c r="M104" s="179">
        <f t="shared" si="24"/>
        <v>185739.99</v>
      </c>
      <c r="N104" s="231">
        <v>0.8</v>
      </c>
      <c r="O104" s="185"/>
      <c r="P104" s="185"/>
      <c r="Q104" s="216"/>
      <c r="R104" s="216"/>
      <c r="S104" s="216"/>
      <c r="T104" s="185">
        <v>742959.92</v>
      </c>
      <c r="U104" s="206"/>
      <c r="V104" s="208"/>
      <c r="W104" s="216"/>
      <c r="X104" s="216"/>
      <c r="Y104" s="216"/>
      <c r="Z104" s="216"/>
      <c r="AA104" s="238" t="b">
        <f t="shared" si="25"/>
        <v>1</v>
      </c>
      <c r="AB104" s="261">
        <f t="shared" si="26"/>
        <v>0.8</v>
      </c>
      <c r="AC104" s="262" t="b">
        <f t="shared" si="27"/>
        <v>1</v>
      </c>
      <c r="AD104" s="262" t="b">
        <f t="shared" si="28"/>
        <v>1</v>
      </c>
    </row>
    <row r="105" spans="1:30" ht="30" customHeight="1" x14ac:dyDescent="0.25">
      <c r="A105" s="208">
        <v>103</v>
      </c>
      <c r="B105" s="180" t="s">
        <v>913</v>
      </c>
      <c r="C105" s="225"/>
      <c r="D105" s="182" t="s">
        <v>354</v>
      </c>
      <c r="E105" s="226" t="s">
        <v>355</v>
      </c>
      <c r="F105" s="228" t="s">
        <v>201</v>
      </c>
      <c r="G105" s="180" t="s">
        <v>654</v>
      </c>
      <c r="H105" s="228" t="s">
        <v>55</v>
      </c>
      <c r="I105" s="229">
        <v>0</v>
      </c>
      <c r="J105" s="184" t="s">
        <v>655</v>
      </c>
      <c r="K105" s="195"/>
      <c r="L105" s="185"/>
      <c r="M105" s="179"/>
      <c r="N105" s="231">
        <v>0.7</v>
      </c>
      <c r="O105" s="185"/>
      <c r="P105" s="185"/>
      <c r="Q105" s="216"/>
      <c r="R105" s="216"/>
      <c r="S105" s="216"/>
      <c r="T105" s="185"/>
      <c r="U105" s="206"/>
      <c r="V105" s="208"/>
      <c r="W105" s="216"/>
      <c r="X105" s="216"/>
      <c r="Y105" s="216"/>
      <c r="Z105" s="216"/>
      <c r="AA105" s="238" t="b">
        <f t="shared" si="25"/>
        <v>1</v>
      </c>
      <c r="AB105" s="261" t="e">
        <f t="shared" si="26"/>
        <v>#DIV/0!</v>
      </c>
      <c r="AC105" s="262" t="e">
        <f t="shared" si="27"/>
        <v>#DIV/0!</v>
      </c>
      <c r="AD105" s="262" t="b">
        <f t="shared" si="28"/>
        <v>1</v>
      </c>
    </row>
    <row r="106" spans="1:30" ht="30" customHeight="1" x14ac:dyDescent="0.25">
      <c r="A106" s="208">
        <v>104</v>
      </c>
      <c r="B106" s="180" t="s">
        <v>656</v>
      </c>
      <c r="C106" s="225" t="s">
        <v>85</v>
      </c>
      <c r="D106" s="182" t="s">
        <v>657</v>
      </c>
      <c r="E106" s="226" t="s">
        <v>658</v>
      </c>
      <c r="F106" s="228" t="s">
        <v>274</v>
      </c>
      <c r="G106" s="180" t="s">
        <v>659</v>
      </c>
      <c r="H106" s="228" t="s">
        <v>55</v>
      </c>
      <c r="I106" s="229">
        <v>0.57999999999999996</v>
      </c>
      <c r="J106" s="184" t="s">
        <v>373</v>
      </c>
      <c r="K106" s="195">
        <v>776127.54</v>
      </c>
      <c r="L106" s="185">
        <v>582044</v>
      </c>
      <c r="M106" s="179">
        <f t="shared" si="24"/>
        <v>194083.54000000004</v>
      </c>
      <c r="N106" s="231">
        <v>0.8</v>
      </c>
      <c r="O106" s="185"/>
      <c r="P106" s="185"/>
      <c r="Q106" s="216"/>
      <c r="R106" s="216"/>
      <c r="S106" s="216"/>
      <c r="T106" s="185">
        <v>582044</v>
      </c>
      <c r="U106" s="197"/>
      <c r="V106" s="208"/>
      <c r="W106" s="216"/>
      <c r="X106" s="216"/>
      <c r="Y106" s="216"/>
      <c r="Z106" s="216"/>
      <c r="AA106" s="238" t="b">
        <f t="shared" si="25"/>
        <v>1</v>
      </c>
      <c r="AB106" s="261">
        <f t="shared" si="26"/>
        <v>0.74990000000000001</v>
      </c>
      <c r="AC106" s="262" t="b">
        <f t="shared" si="27"/>
        <v>0</v>
      </c>
      <c r="AD106" s="262" t="b">
        <f t="shared" si="28"/>
        <v>1</v>
      </c>
    </row>
    <row r="107" spans="1:30" ht="30" customHeight="1" x14ac:dyDescent="0.25">
      <c r="A107" s="208">
        <v>105</v>
      </c>
      <c r="B107" s="180" t="s">
        <v>677</v>
      </c>
      <c r="C107" s="225" t="s">
        <v>85</v>
      </c>
      <c r="D107" s="182" t="s">
        <v>245</v>
      </c>
      <c r="E107" s="226" t="s">
        <v>246</v>
      </c>
      <c r="F107" s="228" t="s">
        <v>195</v>
      </c>
      <c r="G107" s="180" t="s">
        <v>678</v>
      </c>
      <c r="H107" s="228" t="s">
        <v>82</v>
      </c>
      <c r="I107" s="229">
        <v>0.22</v>
      </c>
      <c r="J107" s="184" t="s">
        <v>311</v>
      </c>
      <c r="K107" s="195">
        <v>1631718</v>
      </c>
      <c r="L107" s="185">
        <f t="shared" si="23"/>
        <v>1142202.6000000001</v>
      </c>
      <c r="M107" s="179">
        <f t="shared" si="24"/>
        <v>489515.39999999991</v>
      </c>
      <c r="N107" s="231">
        <v>0.7</v>
      </c>
      <c r="O107" s="185"/>
      <c r="P107" s="185"/>
      <c r="Q107" s="216"/>
      <c r="R107" s="216"/>
      <c r="S107" s="216"/>
      <c r="T107" s="185">
        <f>L107</f>
        <v>1142202.6000000001</v>
      </c>
      <c r="U107" s="206"/>
      <c r="V107" s="208"/>
      <c r="W107" s="216"/>
      <c r="X107" s="216"/>
      <c r="Y107" s="216"/>
      <c r="Z107" s="216"/>
      <c r="AA107" s="238" t="b">
        <f t="shared" si="25"/>
        <v>1</v>
      </c>
      <c r="AB107" s="261">
        <f t="shared" si="26"/>
        <v>0.7</v>
      </c>
      <c r="AC107" s="262" t="b">
        <f t="shared" si="27"/>
        <v>1</v>
      </c>
      <c r="AD107" s="262" t="b">
        <f t="shared" si="28"/>
        <v>1</v>
      </c>
    </row>
    <row r="108" spans="1:30" ht="30" customHeight="1" x14ac:dyDescent="0.25">
      <c r="A108" s="208">
        <v>106</v>
      </c>
      <c r="B108" s="180" t="s">
        <v>717</v>
      </c>
      <c r="C108" s="225" t="s">
        <v>85</v>
      </c>
      <c r="D108" s="182" t="s">
        <v>718</v>
      </c>
      <c r="E108" s="226" t="s">
        <v>880</v>
      </c>
      <c r="F108" s="228" t="s">
        <v>719</v>
      </c>
      <c r="G108" s="180" t="s">
        <v>720</v>
      </c>
      <c r="H108" s="228" t="s">
        <v>82</v>
      </c>
      <c r="I108" s="229">
        <v>0.26300000000000001</v>
      </c>
      <c r="J108" s="184" t="s">
        <v>140</v>
      </c>
      <c r="K108" s="195">
        <v>2939441</v>
      </c>
      <c r="L108" s="185">
        <f t="shared" si="23"/>
        <v>2351552.7999999998</v>
      </c>
      <c r="M108" s="179">
        <f t="shared" si="24"/>
        <v>587888.20000000019</v>
      </c>
      <c r="N108" s="231">
        <v>0.8</v>
      </c>
      <c r="O108" s="185"/>
      <c r="P108" s="185"/>
      <c r="Q108" s="216"/>
      <c r="R108" s="216"/>
      <c r="S108" s="216"/>
      <c r="T108" s="185">
        <v>2351552.7999999998</v>
      </c>
      <c r="U108" s="206"/>
      <c r="V108" s="208"/>
      <c r="W108" s="216"/>
      <c r="X108" s="216"/>
      <c r="Y108" s="216"/>
      <c r="Z108" s="216"/>
      <c r="AA108" s="238" t="b">
        <f t="shared" si="25"/>
        <v>1</v>
      </c>
      <c r="AB108" s="261">
        <f t="shared" si="26"/>
        <v>0.8</v>
      </c>
      <c r="AC108" s="262" t="b">
        <f t="shared" si="27"/>
        <v>1</v>
      </c>
      <c r="AD108" s="262" t="b">
        <f t="shared" si="28"/>
        <v>1</v>
      </c>
    </row>
    <row r="109" spans="1:30" ht="30" customHeight="1" x14ac:dyDescent="0.25">
      <c r="A109" s="208">
        <v>107</v>
      </c>
      <c r="B109" s="180" t="s">
        <v>740</v>
      </c>
      <c r="C109" s="225" t="s">
        <v>85</v>
      </c>
      <c r="D109" s="182" t="s">
        <v>741</v>
      </c>
      <c r="E109" s="226" t="s">
        <v>742</v>
      </c>
      <c r="F109" s="228" t="s">
        <v>719</v>
      </c>
      <c r="G109" s="180" t="s">
        <v>743</v>
      </c>
      <c r="H109" s="228" t="s">
        <v>55</v>
      </c>
      <c r="I109" s="229">
        <v>1.41</v>
      </c>
      <c r="J109" s="184" t="s">
        <v>368</v>
      </c>
      <c r="K109" s="195">
        <v>3771734.51</v>
      </c>
      <c r="L109" s="185">
        <f t="shared" si="23"/>
        <v>3017387.6</v>
      </c>
      <c r="M109" s="179">
        <f>K109-L109</f>
        <v>754346.90999999968</v>
      </c>
      <c r="N109" s="231">
        <v>0.8</v>
      </c>
      <c r="O109" s="185"/>
      <c r="P109" s="185"/>
      <c r="Q109" s="216"/>
      <c r="R109" s="216"/>
      <c r="S109" s="216"/>
      <c r="T109" s="185">
        <f>L109</f>
        <v>3017387.6</v>
      </c>
      <c r="U109" s="206"/>
      <c r="V109" s="208"/>
      <c r="W109" s="216"/>
      <c r="X109" s="216"/>
      <c r="Y109" s="216"/>
      <c r="Z109" s="216"/>
      <c r="AA109" s="238" t="b">
        <f t="shared" si="25"/>
        <v>1</v>
      </c>
      <c r="AB109" s="261">
        <f t="shared" si="26"/>
        <v>0.8</v>
      </c>
      <c r="AC109" s="262" t="b">
        <f t="shared" si="27"/>
        <v>1</v>
      </c>
      <c r="AD109" s="262" t="b">
        <f t="shared" si="28"/>
        <v>1</v>
      </c>
    </row>
    <row r="110" spans="1:30" ht="30" customHeight="1" x14ac:dyDescent="0.25">
      <c r="A110" s="208">
        <v>108</v>
      </c>
      <c r="B110" s="180" t="s">
        <v>761</v>
      </c>
      <c r="C110" s="225" t="s">
        <v>85</v>
      </c>
      <c r="D110" s="182" t="s">
        <v>337</v>
      </c>
      <c r="E110" s="226" t="s">
        <v>865</v>
      </c>
      <c r="F110" s="228" t="s">
        <v>212</v>
      </c>
      <c r="G110" s="180" t="s">
        <v>762</v>
      </c>
      <c r="H110" s="228" t="s">
        <v>55</v>
      </c>
      <c r="I110" s="267">
        <v>0.2213</v>
      </c>
      <c r="J110" s="184" t="s">
        <v>89</v>
      </c>
      <c r="K110" s="195">
        <v>725111.14</v>
      </c>
      <c r="L110" s="185">
        <f t="shared" si="23"/>
        <v>507577.79</v>
      </c>
      <c r="M110" s="179">
        <f t="shared" si="24"/>
        <v>217533.35000000003</v>
      </c>
      <c r="N110" s="231">
        <v>0.7</v>
      </c>
      <c r="O110" s="185"/>
      <c r="P110" s="185"/>
      <c r="Q110" s="216"/>
      <c r="R110" s="216"/>
      <c r="S110" s="216"/>
      <c r="T110" s="185">
        <f>L110</f>
        <v>507577.79</v>
      </c>
      <c r="U110" s="206"/>
      <c r="V110" s="208"/>
      <c r="W110" s="216"/>
      <c r="X110" s="216"/>
      <c r="Y110" s="216"/>
      <c r="Z110" s="216"/>
      <c r="AA110" s="238" t="b">
        <f t="shared" si="25"/>
        <v>1</v>
      </c>
      <c r="AB110" s="261">
        <f t="shared" si="26"/>
        <v>0.7</v>
      </c>
      <c r="AC110" s="262" t="b">
        <f t="shared" si="27"/>
        <v>1</v>
      </c>
      <c r="AD110" s="262" t="b">
        <f t="shared" si="28"/>
        <v>1</v>
      </c>
    </row>
    <row r="111" spans="1:30" ht="48" x14ac:dyDescent="0.25">
      <c r="A111" s="208">
        <v>109</v>
      </c>
      <c r="B111" s="180" t="s">
        <v>763</v>
      </c>
      <c r="C111" s="225" t="s">
        <v>85</v>
      </c>
      <c r="D111" s="182" t="s">
        <v>764</v>
      </c>
      <c r="E111" s="226" t="s">
        <v>765</v>
      </c>
      <c r="F111" s="228" t="s">
        <v>719</v>
      </c>
      <c r="G111" s="180" t="s">
        <v>890</v>
      </c>
      <c r="H111" s="228" t="s">
        <v>82</v>
      </c>
      <c r="I111" s="229">
        <v>0.46300000000000002</v>
      </c>
      <c r="J111" s="184" t="s">
        <v>766</v>
      </c>
      <c r="K111" s="195">
        <v>5289275.42</v>
      </c>
      <c r="L111" s="185">
        <v>4156077.6</v>
      </c>
      <c r="M111" s="179">
        <f t="shared" si="24"/>
        <v>1133197.8199999998</v>
      </c>
      <c r="N111" s="231">
        <v>0.8</v>
      </c>
      <c r="O111" s="185"/>
      <c r="P111" s="185"/>
      <c r="Q111" s="216"/>
      <c r="R111" s="216"/>
      <c r="S111" s="216"/>
      <c r="T111" s="185">
        <v>4156077.6</v>
      </c>
      <c r="U111" s="197"/>
      <c r="V111" s="208"/>
      <c r="W111" s="216"/>
      <c r="X111" s="216"/>
      <c r="Y111" s="216"/>
      <c r="Z111" s="216"/>
      <c r="AA111" s="238" t="b">
        <f t="shared" si="25"/>
        <v>1</v>
      </c>
      <c r="AB111" s="261">
        <f t="shared" si="26"/>
        <v>0.78580000000000005</v>
      </c>
      <c r="AC111" s="262" t="b">
        <f t="shared" si="27"/>
        <v>0</v>
      </c>
      <c r="AD111" s="262" t="b">
        <f t="shared" si="28"/>
        <v>1</v>
      </c>
    </row>
    <row r="112" spans="1:30" ht="30" customHeight="1" x14ac:dyDescent="0.25">
      <c r="A112" s="208">
        <v>110</v>
      </c>
      <c r="B112" s="180" t="s">
        <v>771</v>
      </c>
      <c r="C112" s="225" t="s">
        <v>85</v>
      </c>
      <c r="D112" s="182" t="s">
        <v>457</v>
      </c>
      <c r="E112" s="226" t="s">
        <v>458</v>
      </c>
      <c r="F112" s="228" t="s">
        <v>201</v>
      </c>
      <c r="G112" s="180" t="s">
        <v>772</v>
      </c>
      <c r="H112" s="228" t="s">
        <v>55</v>
      </c>
      <c r="I112" s="229">
        <v>0.16500000000000001</v>
      </c>
      <c r="J112" s="184" t="s">
        <v>460</v>
      </c>
      <c r="K112" s="195">
        <v>368808.61</v>
      </c>
      <c r="L112" s="185">
        <v>235550</v>
      </c>
      <c r="M112" s="179">
        <f t="shared" si="24"/>
        <v>133258.60999999999</v>
      </c>
      <c r="N112" s="231">
        <v>0.7</v>
      </c>
      <c r="O112" s="185"/>
      <c r="P112" s="185"/>
      <c r="Q112" s="216"/>
      <c r="R112" s="216"/>
      <c r="S112" s="216"/>
      <c r="T112" s="185">
        <v>235550</v>
      </c>
      <c r="U112" s="176"/>
      <c r="V112" s="176"/>
      <c r="W112" s="216"/>
      <c r="X112" s="216"/>
      <c r="Y112" s="216"/>
      <c r="Z112" s="216"/>
      <c r="AA112" s="238" t="b">
        <f t="shared" si="25"/>
        <v>1</v>
      </c>
      <c r="AB112" s="261">
        <f t="shared" si="26"/>
        <v>0.63870000000000005</v>
      </c>
      <c r="AC112" s="262" t="b">
        <f t="shared" si="27"/>
        <v>0</v>
      </c>
      <c r="AD112" s="262" t="b">
        <f t="shared" si="28"/>
        <v>1</v>
      </c>
    </row>
    <row r="113" spans="1:30" ht="30" customHeight="1" x14ac:dyDescent="0.25">
      <c r="A113" s="208">
        <v>111</v>
      </c>
      <c r="B113" s="180" t="s">
        <v>776</v>
      </c>
      <c r="C113" s="225" t="s">
        <v>85</v>
      </c>
      <c r="D113" s="182" t="s">
        <v>254</v>
      </c>
      <c r="E113" s="226" t="s">
        <v>255</v>
      </c>
      <c r="F113" s="228" t="s">
        <v>256</v>
      </c>
      <c r="G113" s="180" t="s">
        <v>777</v>
      </c>
      <c r="H113" s="228" t="s">
        <v>82</v>
      </c>
      <c r="I113" s="229">
        <v>0.51100000000000001</v>
      </c>
      <c r="J113" s="184" t="s">
        <v>113</v>
      </c>
      <c r="K113" s="195">
        <v>995780</v>
      </c>
      <c r="L113" s="185">
        <f t="shared" si="23"/>
        <v>796624</v>
      </c>
      <c r="M113" s="179">
        <f t="shared" si="24"/>
        <v>199156</v>
      </c>
      <c r="N113" s="231">
        <v>0.8</v>
      </c>
      <c r="O113" s="185"/>
      <c r="P113" s="185"/>
      <c r="Q113" s="216"/>
      <c r="R113" s="216"/>
      <c r="S113" s="216"/>
      <c r="T113" s="185">
        <v>796624</v>
      </c>
      <c r="U113" s="197"/>
      <c r="V113" s="176"/>
      <c r="W113" s="216"/>
      <c r="X113" s="216"/>
      <c r="Y113" s="216"/>
      <c r="Z113" s="216"/>
      <c r="AA113" s="238" t="b">
        <f t="shared" si="25"/>
        <v>1</v>
      </c>
      <c r="AB113" s="261">
        <f t="shared" si="26"/>
        <v>0.8</v>
      </c>
      <c r="AC113" s="262" t="b">
        <f t="shared" si="27"/>
        <v>1</v>
      </c>
      <c r="AD113" s="262" t="b">
        <f t="shared" si="28"/>
        <v>1</v>
      </c>
    </row>
    <row r="114" spans="1:30" ht="30" customHeight="1" x14ac:dyDescent="0.25">
      <c r="A114" s="208">
        <v>112</v>
      </c>
      <c r="B114" s="180" t="s">
        <v>778</v>
      </c>
      <c r="C114" s="225" t="s">
        <v>85</v>
      </c>
      <c r="D114" s="182" t="s">
        <v>779</v>
      </c>
      <c r="E114" s="226" t="s">
        <v>780</v>
      </c>
      <c r="F114" s="228" t="s">
        <v>719</v>
      </c>
      <c r="G114" s="180" t="s">
        <v>781</v>
      </c>
      <c r="H114" s="228" t="s">
        <v>82</v>
      </c>
      <c r="I114" s="229">
        <v>0.60499999999999998</v>
      </c>
      <c r="J114" s="184" t="s">
        <v>782</v>
      </c>
      <c r="K114" s="195">
        <v>2713744.94</v>
      </c>
      <c r="L114" s="185">
        <f t="shared" si="23"/>
        <v>2170995.9500000002</v>
      </c>
      <c r="M114" s="179">
        <f t="shared" si="24"/>
        <v>542748.98999999976</v>
      </c>
      <c r="N114" s="231">
        <v>0.8</v>
      </c>
      <c r="O114" s="185"/>
      <c r="P114" s="185"/>
      <c r="Q114" s="216"/>
      <c r="R114" s="216"/>
      <c r="S114" s="216"/>
      <c r="T114" s="185">
        <f>L114</f>
        <v>2170995.9500000002</v>
      </c>
      <c r="U114" s="176"/>
      <c r="V114" s="176"/>
      <c r="W114" s="216"/>
      <c r="X114" s="216"/>
      <c r="Y114" s="216"/>
      <c r="Z114" s="216"/>
      <c r="AA114" s="238" t="b">
        <f t="shared" si="25"/>
        <v>1</v>
      </c>
      <c r="AB114" s="261">
        <f t="shared" si="26"/>
        <v>0.8</v>
      </c>
      <c r="AC114" s="262" t="b">
        <f t="shared" si="27"/>
        <v>1</v>
      </c>
      <c r="AD114" s="262" t="b">
        <f t="shared" si="28"/>
        <v>1</v>
      </c>
    </row>
    <row r="115" spans="1:30" ht="30" customHeight="1" x14ac:dyDescent="0.25">
      <c r="A115" s="208">
        <v>113</v>
      </c>
      <c r="B115" s="180" t="s">
        <v>796</v>
      </c>
      <c r="C115" s="225" t="s">
        <v>85</v>
      </c>
      <c r="D115" s="182" t="s">
        <v>797</v>
      </c>
      <c r="E115" s="226" t="s">
        <v>798</v>
      </c>
      <c r="F115" s="228" t="s">
        <v>719</v>
      </c>
      <c r="G115" s="180" t="s">
        <v>799</v>
      </c>
      <c r="H115" s="228" t="s">
        <v>82</v>
      </c>
      <c r="I115" s="229">
        <v>0.19</v>
      </c>
      <c r="J115" s="184" t="s">
        <v>89</v>
      </c>
      <c r="K115" s="195">
        <v>922344.06</v>
      </c>
      <c r="L115" s="185">
        <f t="shared" si="23"/>
        <v>737875.24</v>
      </c>
      <c r="M115" s="179">
        <f t="shared" si="24"/>
        <v>184468.82000000007</v>
      </c>
      <c r="N115" s="231">
        <v>0.8</v>
      </c>
      <c r="O115" s="185"/>
      <c r="P115" s="185"/>
      <c r="Q115" s="216"/>
      <c r="R115" s="216"/>
      <c r="S115" s="216"/>
      <c r="T115" s="185">
        <f>L115</f>
        <v>737875.24</v>
      </c>
      <c r="U115" s="197"/>
      <c r="V115" s="176"/>
      <c r="W115" s="216"/>
      <c r="X115" s="216"/>
      <c r="Y115" s="216"/>
      <c r="Z115" s="216"/>
      <c r="AA115" s="238" t="b">
        <f t="shared" si="25"/>
        <v>1</v>
      </c>
      <c r="AB115" s="261">
        <f t="shared" si="26"/>
        <v>0.8</v>
      </c>
      <c r="AC115" s="262" t="b">
        <f t="shared" si="27"/>
        <v>1</v>
      </c>
      <c r="AD115" s="262" t="b">
        <f t="shared" si="28"/>
        <v>1</v>
      </c>
    </row>
    <row r="116" spans="1:30" ht="30" customHeight="1" x14ac:dyDescent="0.25">
      <c r="A116" s="208">
        <v>114</v>
      </c>
      <c r="B116" s="180" t="s">
        <v>825</v>
      </c>
      <c r="C116" s="225" t="s">
        <v>85</v>
      </c>
      <c r="D116" s="182" t="s">
        <v>826</v>
      </c>
      <c r="E116" s="226" t="s">
        <v>827</v>
      </c>
      <c r="F116" s="228" t="s">
        <v>477</v>
      </c>
      <c r="G116" s="180" t="s">
        <v>828</v>
      </c>
      <c r="H116" s="228" t="s">
        <v>55</v>
      </c>
      <c r="I116" s="229">
        <v>0.41299999999999998</v>
      </c>
      <c r="J116" s="184" t="s">
        <v>487</v>
      </c>
      <c r="K116" s="195">
        <v>730463.47</v>
      </c>
      <c r="L116" s="185">
        <f t="shared" si="23"/>
        <v>584370.77</v>
      </c>
      <c r="M116" s="179">
        <f t="shared" si="24"/>
        <v>146092.69999999995</v>
      </c>
      <c r="N116" s="231">
        <v>0.8</v>
      </c>
      <c r="O116" s="185"/>
      <c r="P116" s="185"/>
      <c r="Q116" s="216"/>
      <c r="R116" s="216"/>
      <c r="S116" s="216"/>
      <c r="T116" s="185">
        <f>L116</f>
        <v>584370.77</v>
      </c>
      <c r="U116" s="197"/>
      <c r="V116" s="208"/>
      <c r="W116" s="216"/>
      <c r="X116" s="216"/>
      <c r="Y116" s="216"/>
      <c r="Z116" s="216"/>
      <c r="AA116" s="238" t="b">
        <f t="shared" si="25"/>
        <v>1</v>
      </c>
      <c r="AB116" s="261">
        <f t="shared" si="26"/>
        <v>0.8</v>
      </c>
      <c r="AC116" s="262" t="b">
        <f t="shared" si="27"/>
        <v>1</v>
      </c>
      <c r="AD116" s="262" t="b">
        <f t="shared" si="28"/>
        <v>1</v>
      </c>
    </row>
    <row r="117" spans="1:30" ht="30" customHeight="1" x14ac:dyDescent="0.25">
      <c r="A117" s="208">
        <v>115</v>
      </c>
      <c r="B117" s="180" t="s">
        <v>611</v>
      </c>
      <c r="C117" s="225" t="s">
        <v>85</v>
      </c>
      <c r="D117" s="182" t="s">
        <v>612</v>
      </c>
      <c r="E117" s="226" t="s">
        <v>613</v>
      </c>
      <c r="F117" s="228" t="s">
        <v>371</v>
      </c>
      <c r="G117" s="180" t="s">
        <v>614</v>
      </c>
      <c r="H117" s="228" t="s">
        <v>55</v>
      </c>
      <c r="I117" s="229">
        <v>0.16800000000000001</v>
      </c>
      <c r="J117" s="184" t="s">
        <v>615</v>
      </c>
      <c r="K117" s="195">
        <v>2895937</v>
      </c>
      <c r="L117" s="185">
        <v>2316749.6</v>
      </c>
      <c r="M117" s="179">
        <v>579187.39999999991</v>
      </c>
      <c r="N117" s="231">
        <v>0.8</v>
      </c>
      <c r="O117" s="185"/>
      <c r="P117" s="185"/>
      <c r="Q117" s="216"/>
      <c r="R117" s="216"/>
      <c r="S117" s="216"/>
      <c r="T117" s="185">
        <v>2316749.6</v>
      </c>
      <c r="U117" s="197"/>
      <c r="V117" s="208"/>
      <c r="W117" s="216"/>
      <c r="X117" s="216"/>
      <c r="Y117" s="216"/>
      <c r="Z117" s="216"/>
      <c r="AA117" s="238" t="b">
        <f t="shared" si="25"/>
        <v>1</v>
      </c>
      <c r="AB117" s="261">
        <f t="shared" si="26"/>
        <v>0.8</v>
      </c>
      <c r="AC117" s="262" t="b">
        <f t="shared" si="27"/>
        <v>1</v>
      </c>
      <c r="AD117" s="262" t="b">
        <f t="shared" si="28"/>
        <v>1</v>
      </c>
    </row>
    <row r="118" spans="1:30" ht="30" customHeight="1" x14ac:dyDescent="0.25">
      <c r="A118" s="208">
        <v>116</v>
      </c>
      <c r="B118" s="180" t="s">
        <v>697</v>
      </c>
      <c r="C118" s="225" t="s">
        <v>85</v>
      </c>
      <c r="D118" s="182" t="s">
        <v>524</v>
      </c>
      <c r="E118" s="226" t="s">
        <v>525</v>
      </c>
      <c r="F118" s="228" t="s">
        <v>201</v>
      </c>
      <c r="G118" s="180" t="s">
        <v>698</v>
      </c>
      <c r="H118" s="228" t="s">
        <v>55</v>
      </c>
      <c r="I118" s="229">
        <v>0.34699999999999998</v>
      </c>
      <c r="J118" s="184" t="s">
        <v>181</v>
      </c>
      <c r="K118" s="195">
        <v>1396082</v>
      </c>
      <c r="L118" s="185">
        <v>977257.4</v>
      </c>
      <c r="M118" s="179">
        <v>418824.6</v>
      </c>
      <c r="N118" s="231">
        <v>0.7</v>
      </c>
      <c r="O118" s="185"/>
      <c r="P118" s="185"/>
      <c r="Q118" s="216"/>
      <c r="R118" s="216"/>
      <c r="S118" s="216"/>
      <c r="T118" s="185">
        <v>977257.4</v>
      </c>
      <c r="U118" s="197"/>
      <c r="V118" s="208"/>
      <c r="W118" s="216"/>
      <c r="X118" s="216"/>
      <c r="Y118" s="216"/>
      <c r="Z118" s="216"/>
      <c r="AA118" s="238" t="b">
        <f t="shared" si="25"/>
        <v>1</v>
      </c>
      <c r="AB118" s="261">
        <f t="shared" si="26"/>
        <v>0.7</v>
      </c>
      <c r="AC118" s="262" t="b">
        <f t="shared" si="27"/>
        <v>1</v>
      </c>
      <c r="AD118" s="262" t="b">
        <f t="shared" si="28"/>
        <v>1</v>
      </c>
    </row>
    <row r="119" spans="1:30" ht="30" customHeight="1" x14ac:dyDescent="0.25">
      <c r="A119" s="219">
        <v>117</v>
      </c>
      <c r="B119" s="186" t="s">
        <v>688</v>
      </c>
      <c r="C119" s="202" t="s">
        <v>91</v>
      </c>
      <c r="D119" s="188" t="s">
        <v>689</v>
      </c>
      <c r="E119" s="169" t="s">
        <v>231</v>
      </c>
      <c r="F119" s="168" t="s">
        <v>195</v>
      </c>
      <c r="G119" s="186" t="s">
        <v>690</v>
      </c>
      <c r="H119" s="168" t="s">
        <v>55</v>
      </c>
      <c r="I119" s="171">
        <v>0.81</v>
      </c>
      <c r="J119" s="190" t="s">
        <v>691</v>
      </c>
      <c r="K119" s="197">
        <v>9111674</v>
      </c>
      <c r="L119" s="191">
        <f t="shared" ref="L119:L120" si="29">ROUNDDOWN(K119*N119,2)</f>
        <v>4555837</v>
      </c>
      <c r="M119" s="178">
        <f>K119-L119</f>
        <v>4555837</v>
      </c>
      <c r="N119" s="175">
        <v>0.5</v>
      </c>
      <c r="O119" s="191"/>
      <c r="P119" s="191"/>
      <c r="Q119" s="281"/>
      <c r="R119" s="219"/>
      <c r="S119" s="219"/>
      <c r="T119" s="191">
        <v>1680776</v>
      </c>
      <c r="U119" s="176">
        <v>2875061</v>
      </c>
      <c r="V119" s="176"/>
      <c r="W119" s="216"/>
      <c r="X119" s="216"/>
      <c r="Y119" s="216"/>
      <c r="Z119" s="216"/>
      <c r="AA119" s="238" t="b">
        <f t="shared" si="25"/>
        <v>1</v>
      </c>
      <c r="AB119" s="261">
        <f t="shared" si="26"/>
        <v>0.5</v>
      </c>
      <c r="AC119" s="262" t="b">
        <f t="shared" si="27"/>
        <v>1</v>
      </c>
      <c r="AD119" s="262" t="b">
        <f t="shared" si="28"/>
        <v>1</v>
      </c>
    </row>
    <row r="120" spans="1:30" ht="30" customHeight="1" x14ac:dyDescent="0.25">
      <c r="A120" s="219">
        <v>118</v>
      </c>
      <c r="B120" s="186" t="s">
        <v>834</v>
      </c>
      <c r="C120" s="202" t="s">
        <v>91</v>
      </c>
      <c r="D120" s="188" t="s">
        <v>150</v>
      </c>
      <c r="E120" s="169" t="s">
        <v>151</v>
      </c>
      <c r="F120" s="168" t="s">
        <v>274</v>
      </c>
      <c r="G120" s="186" t="s">
        <v>835</v>
      </c>
      <c r="H120" s="168" t="s">
        <v>55</v>
      </c>
      <c r="I120" s="171">
        <v>0.48699999999999999</v>
      </c>
      <c r="J120" s="190" t="s">
        <v>836</v>
      </c>
      <c r="K120" s="197">
        <v>5298442.1900000004</v>
      </c>
      <c r="L120" s="191">
        <f t="shared" si="29"/>
        <v>3179065.31</v>
      </c>
      <c r="M120" s="178">
        <f>K120-L120</f>
        <v>2119376.8800000004</v>
      </c>
      <c r="N120" s="175">
        <v>0.6</v>
      </c>
      <c r="O120" s="191"/>
      <c r="P120" s="191"/>
      <c r="Q120" s="281"/>
      <c r="R120" s="219"/>
      <c r="S120" s="219"/>
      <c r="T120" s="191">
        <v>2130298.36</v>
      </c>
      <c r="U120" s="176">
        <v>1048766.95</v>
      </c>
      <c r="V120" s="176"/>
      <c r="W120" s="216"/>
      <c r="X120" s="216"/>
      <c r="Y120" s="216"/>
      <c r="Z120" s="216"/>
      <c r="AA120" s="238" t="b">
        <f t="shared" si="25"/>
        <v>1</v>
      </c>
      <c r="AB120" s="261">
        <f t="shared" si="26"/>
        <v>0.6</v>
      </c>
      <c r="AC120" s="262" t="b">
        <f t="shared" si="27"/>
        <v>1</v>
      </c>
      <c r="AD120" s="262" t="b">
        <f t="shared" si="28"/>
        <v>1</v>
      </c>
    </row>
    <row r="121" spans="1:30" ht="30" customHeight="1" x14ac:dyDescent="0.25">
      <c r="A121" s="268">
        <v>119</v>
      </c>
      <c r="B121" s="180" t="s">
        <v>616</v>
      </c>
      <c r="C121" s="225" t="s">
        <v>85</v>
      </c>
      <c r="D121" s="182" t="s">
        <v>617</v>
      </c>
      <c r="E121" s="226" t="s">
        <v>618</v>
      </c>
      <c r="F121" s="228" t="s">
        <v>195</v>
      </c>
      <c r="G121" s="180" t="s">
        <v>619</v>
      </c>
      <c r="H121" s="228" t="s">
        <v>55</v>
      </c>
      <c r="I121" s="229">
        <v>0.19700000000000001</v>
      </c>
      <c r="J121" s="184" t="s">
        <v>140</v>
      </c>
      <c r="K121" s="195">
        <v>786076.44</v>
      </c>
      <c r="L121" s="185">
        <f t="shared" ref="L121:L127" si="30">ROUNDDOWN(K121*N121,2)</f>
        <v>550253.5</v>
      </c>
      <c r="M121" s="179">
        <f>K121-L121</f>
        <v>235822.93999999994</v>
      </c>
      <c r="N121" s="231">
        <v>0.7</v>
      </c>
      <c r="O121" s="185"/>
      <c r="P121" s="185"/>
      <c r="Q121" s="216"/>
      <c r="R121" s="216"/>
      <c r="S121" s="216"/>
      <c r="T121" s="185">
        <f>L121</f>
        <v>550253.5</v>
      </c>
      <c r="U121" s="265"/>
      <c r="V121" s="176"/>
      <c r="W121" s="216"/>
      <c r="X121" s="216"/>
      <c r="Y121" s="216"/>
      <c r="Z121" s="216"/>
      <c r="AA121" s="238" t="b">
        <f t="shared" si="25"/>
        <v>1</v>
      </c>
      <c r="AB121" s="261">
        <f t="shared" si="26"/>
        <v>0.7</v>
      </c>
      <c r="AC121" s="262" t="b">
        <f t="shared" si="27"/>
        <v>1</v>
      </c>
      <c r="AD121" s="262" t="b">
        <f t="shared" si="28"/>
        <v>1</v>
      </c>
    </row>
    <row r="122" spans="1:30" s="269" customFormat="1" ht="30" customHeight="1" x14ac:dyDescent="0.25">
      <c r="A122" s="268">
        <v>120</v>
      </c>
      <c r="B122" s="180" t="s">
        <v>620</v>
      </c>
      <c r="C122" s="225" t="s">
        <v>85</v>
      </c>
      <c r="D122" s="182" t="s">
        <v>621</v>
      </c>
      <c r="E122" s="226" t="s">
        <v>622</v>
      </c>
      <c r="F122" s="228" t="s">
        <v>435</v>
      </c>
      <c r="G122" s="180" t="s">
        <v>623</v>
      </c>
      <c r="H122" s="228" t="s">
        <v>55</v>
      </c>
      <c r="I122" s="229">
        <v>0.21</v>
      </c>
      <c r="J122" s="184" t="s">
        <v>126</v>
      </c>
      <c r="K122" s="195">
        <v>2000000</v>
      </c>
      <c r="L122" s="185">
        <f t="shared" si="30"/>
        <v>1000000</v>
      </c>
      <c r="M122" s="179">
        <v>1000000</v>
      </c>
      <c r="N122" s="224">
        <v>0.5</v>
      </c>
      <c r="O122" s="185"/>
      <c r="P122" s="185"/>
      <c r="Q122" s="209"/>
      <c r="R122" s="208"/>
      <c r="S122" s="208"/>
      <c r="T122" s="185">
        <v>1000000</v>
      </c>
      <c r="U122" s="206"/>
      <c r="V122" s="206"/>
      <c r="W122" s="216"/>
      <c r="X122" s="216"/>
      <c r="Y122" s="216"/>
      <c r="Z122" s="216"/>
      <c r="AA122" s="238" t="b">
        <f t="shared" si="25"/>
        <v>1</v>
      </c>
      <c r="AB122" s="261">
        <f t="shared" si="26"/>
        <v>0.5</v>
      </c>
      <c r="AC122" s="262" t="b">
        <f t="shared" si="27"/>
        <v>1</v>
      </c>
      <c r="AD122" s="262" t="b">
        <f t="shared" si="28"/>
        <v>1</v>
      </c>
    </row>
    <row r="123" spans="1:30" ht="30" customHeight="1" x14ac:dyDescent="0.25">
      <c r="A123" s="282">
        <v>121</v>
      </c>
      <c r="B123" s="186" t="s">
        <v>624</v>
      </c>
      <c r="C123" s="202" t="s">
        <v>91</v>
      </c>
      <c r="D123" s="188" t="s">
        <v>625</v>
      </c>
      <c r="E123" s="169" t="s">
        <v>626</v>
      </c>
      <c r="F123" s="168" t="s">
        <v>280</v>
      </c>
      <c r="G123" s="186" t="s">
        <v>627</v>
      </c>
      <c r="H123" s="168" t="s">
        <v>82</v>
      </c>
      <c r="I123" s="171">
        <v>0.65</v>
      </c>
      <c r="J123" s="190" t="s">
        <v>178</v>
      </c>
      <c r="K123" s="197">
        <v>4592827.2</v>
      </c>
      <c r="L123" s="191">
        <v>327408.96999999997</v>
      </c>
      <c r="M123" s="178">
        <f>K123-L123</f>
        <v>4265418.2300000004</v>
      </c>
      <c r="N123" s="175">
        <v>0.6</v>
      </c>
      <c r="O123" s="191"/>
      <c r="P123" s="191"/>
      <c r="Q123" s="281"/>
      <c r="R123" s="219"/>
      <c r="S123" s="219"/>
      <c r="T123" s="191">
        <v>327408.96999999997</v>
      </c>
      <c r="U123" s="265">
        <v>0</v>
      </c>
      <c r="V123" s="176"/>
      <c r="W123" s="216"/>
      <c r="X123" s="216"/>
      <c r="Y123" s="216"/>
      <c r="Z123" s="216"/>
      <c r="AA123" s="238" t="b">
        <f t="shared" si="25"/>
        <v>1</v>
      </c>
      <c r="AB123" s="261">
        <f t="shared" si="26"/>
        <v>7.1300000000000002E-2</v>
      </c>
      <c r="AC123" s="262" t="b">
        <f t="shared" si="27"/>
        <v>0</v>
      </c>
      <c r="AD123" s="262" t="b">
        <f t="shared" si="28"/>
        <v>1</v>
      </c>
    </row>
    <row r="124" spans="1:30" ht="30" customHeight="1" x14ac:dyDescent="0.25">
      <c r="A124" s="270">
        <v>122</v>
      </c>
      <c r="B124" s="180" t="s">
        <v>848</v>
      </c>
      <c r="C124" s="225" t="s">
        <v>85</v>
      </c>
      <c r="D124" s="182" t="s">
        <v>424</v>
      </c>
      <c r="E124" s="226" t="s">
        <v>425</v>
      </c>
      <c r="F124" s="228" t="s">
        <v>274</v>
      </c>
      <c r="G124" s="180" t="s">
        <v>901</v>
      </c>
      <c r="H124" s="228" t="s">
        <v>55</v>
      </c>
      <c r="I124" s="229">
        <v>0.56000000000000005</v>
      </c>
      <c r="J124" s="184" t="s">
        <v>171</v>
      </c>
      <c r="K124" s="195">
        <v>2168044</v>
      </c>
      <c r="L124" s="185">
        <f t="shared" si="30"/>
        <v>1084022</v>
      </c>
      <c r="M124" s="179">
        <v>1084022</v>
      </c>
      <c r="N124" s="231">
        <v>0.5</v>
      </c>
      <c r="O124" s="185"/>
      <c r="P124" s="185"/>
      <c r="Q124" s="216"/>
      <c r="R124" s="216"/>
      <c r="S124" s="216"/>
      <c r="T124" s="185">
        <v>1084022</v>
      </c>
      <c r="U124" s="265"/>
      <c r="V124" s="176"/>
      <c r="W124" s="216"/>
      <c r="X124" s="216"/>
      <c r="Y124" s="216"/>
      <c r="Z124" s="216"/>
      <c r="AA124" s="238" t="b">
        <f t="shared" si="25"/>
        <v>1</v>
      </c>
      <c r="AB124" s="261">
        <f t="shared" si="26"/>
        <v>0.5</v>
      </c>
      <c r="AC124" s="262" t="b">
        <f t="shared" si="27"/>
        <v>1</v>
      </c>
      <c r="AD124" s="262" t="b">
        <f t="shared" si="28"/>
        <v>1</v>
      </c>
    </row>
    <row r="125" spans="1:30" ht="30" customHeight="1" x14ac:dyDescent="0.25">
      <c r="A125" s="270">
        <v>123</v>
      </c>
      <c r="B125" s="180" t="s">
        <v>904</v>
      </c>
      <c r="C125" s="225"/>
      <c r="D125" s="182" t="s">
        <v>638</v>
      </c>
      <c r="E125" s="226" t="s">
        <v>639</v>
      </c>
      <c r="F125" s="228" t="s">
        <v>581</v>
      </c>
      <c r="G125" s="180" t="s">
        <v>640</v>
      </c>
      <c r="H125" s="228" t="s">
        <v>82</v>
      </c>
      <c r="I125" s="229">
        <v>0</v>
      </c>
      <c r="J125" s="184" t="s">
        <v>303</v>
      </c>
      <c r="K125" s="195"/>
      <c r="L125" s="185"/>
      <c r="M125" s="179"/>
      <c r="N125" s="231">
        <v>0.5</v>
      </c>
      <c r="O125" s="185"/>
      <c r="P125" s="185"/>
      <c r="Q125" s="216"/>
      <c r="R125" s="216"/>
      <c r="S125" s="216"/>
      <c r="T125" s="185"/>
      <c r="U125" s="265"/>
      <c r="V125" s="176"/>
      <c r="W125" s="216"/>
      <c r="X125" s="216"/>
      <c r="Y125" s="216"/>
      <c r="Z125" s="216"/>
      <c r="AA125" s="238" t="b">
        <f t="shared" si="25"/>
        <v>1</v>
      </c>
      <c r="AB125" s="261" t="e">
        <f t="shared" si="26"/>
        <v>#DIV/0!</v>
      </c>
      <c r="AC125" s="262" t="e">
        <f t="shared" si="27"/>
        <v>#DIV/0!</v>
      </c>
      <c r="AD125" s="262" t="b">
        <f t="shared" si="28"/>
        <v>1</v>
      </c>
    </row>
    <row r="126" spans="1:30" ht="30" customHeight="1" x14ac:dyDescent="0.25">
      <c r="A126" s="270">
        <v>124</v>
      </c>
      <c r="B126" s="180" t="s">
        <v>641</v>
      </c>
      <c r="C126" s="225" t="s">
        <v>85</v>
      </c>
      <c r="D126" s="182" t="s">
        <v>642</v>
      </c>
      <c r="E126" s="226" t="s">
        <v>870</v>
      </c>
      <c r="F126" s="228" t="s">
        <v>581</v>
      </c>
      <c r="G126" s="180" t="s">
        <v>643</v>
      </c>
      <c r="H126" s="228" t="s">
        <v>82</v>
      </c>
      <c r="I126" s="229">
        <v>0.93100000000000005</v>
      </c>
      <c r="J126" s="184" t="s">
        <v>108</v>
      </c>
      <c r="K126" s="195">
        <v>3235005</v>
      </c>
      <c r="L126" s="185">
        <f t="shared" si="30"/>
        <v>1617502.5</v>
      </c>
      <c r="M126" s="179">
        <v>1617502.5</v>
      </c>
      <c r="N126" s="231">
        <v>0.5</v>
      </c>
      <c r="O126" s="185"/>
      <c r="P126" s="185"/>
      <c r="Q126" s="216"/>
      <c r="R126" s="216"/>
      <c r="S126" s="216"/>
      <c r="T126" s="185">
        <v>1617502.5</v>
      </c>
      <c r="U126" s="265"/>
      <c r="V126" s="176"/>
      <c r="W126" s="216"/>
      <c r="X126" s="216"/>
      <c r="Y126" s="216"/>
      <c r="Z126" s="216"/>
      <c r="AA126" s="238" t="b">
        <f t="shared" si="25"/>
        <v>1</v>
      </c>
      <c r="AB126" s="261">
        <f t="shared" si="26"/>
        <v>0.5</v>
      </c>
      <c r="AC126" s="262" t="b">
        <f t="shared" si="27"/>
        <v>1</v>
      </c>
      <c r="AD126" s="262" t="b">
        <f t="shared" si="28"/>
        <v>1</v>
      </c>
    </row>
    <row r="127" spans="1:30" ht="30" customHeight="1" x14ac:dyDescent="0.25">
      <c r="A127" s="270">
        <v>125</v>
      </c>
      <c r="B127" s="180" t="s">
        <v>644</v>
      </c>
      <c r="C127" s="225" t="s">
        <v>85</v>
      </c>
      <c r="D127" s="182" t="s">
        <v>645</v>
      </c>
      <c r="E127" s="226" t="s">
        <v>646</v>
      </c>
      <c r="F127" s="228" t="s">
        <v>647</v>
      </c>
      <c r="G127" s="180" t="s">
        <v>648</v>
      </c>
      <c r="H127" s="228" t="s">
        <v>55</v>
      </c>
      <c r="I127" s="229">
        <v>0.23832</v>
      </c>
      <c r="J127" s="184" t="s">
        <v>649</v>
      </c>
      <c r="K127" s="195">
        <v>1328692</v>
      </c>
      <c r="L127" s="185">
        <f t="shared" si="30"/>
        <v>930084.4</v>
      </c>
      <c r="M127" s="179">
        <v>398607.6</v>
      </c>
      <c r="N127" s="231">
        <v>0.7</v>
      </c>
      <c r="O127" s="185"/>
      <c r="P127" s="185"/>
      <c r="Q127" s="216"/>
      <c r="R127" s="216"/>
      <c r="S127" s="216"/>
      <c r="T127" s="185">
        <v>930084.4</v>
      </c>
      <c r="U127" s="265"/>
      <c r="V127" s="176"/>
      <c r="W127" s="216"/>
      <c r="X127" s="216"/>
      <c r="Y127" s="216"/>
      <c r="Z127" s="216"/>
      <c r="AA127" s="238" t="b">
        <f t="shared" si="25"/>
        <v>1</v>
      </c>
      <c r="AB127" s="261">
        <f t="shared" si="26"/>
        <v>0.7</v>
      </c>
      <c r="AC127" s="262" t="b">
        <f t="shared" si="27"/>
        <v>1</v>
      </c>
      <c r="AD127" s="262" t="b">
        <f t="shared" si="28"/>
        <v>1</v>
      </c>
    </row>
    <row r="128" spans="1:30" ht="35.25" customHeight="1" x14ac:dyDescent="0.25">
      <c r="A128" s="170">
        <v>126</v>
      </c>
      <c r="B128" s="186" t="s">
        <v>905</v>
      </c>
      <c r="C128" s="202"/>
      <c r="D128" s="188" t="s">
        <v>660</v>
      </c>
      <c r="E128" s="169" t="s">
        <v>661</v>
      </c>
      <c r="F128" s="168" t="s">
        <v>581</v>
      </c>
      <c r="G128" s="186" t="s">
        <v>662</v>
      </c>
      <c r="H128" s="168" t="s">
        <v>82</v>
      </c>
      <c r="I128" s="171">
        <v>0</v>
      </c>
      <c r="J128" s="190" t="s">
        <v>135</v>
      </c>
      <c r="K128" s="197"/>
      <c r="L128" s="185"/>
      <c r="M128" s="178"/>
      <c r="N128" s="230">
        <v>0.5</v>
      </c>
      <c r="O128" s="191"/>
      <c r="P128" s="191"/>
      <c r="Q128" s="248"/>
      <c r="R128" s="248"/>
      <c r="S128" s="248"/>
      <c r="T128" s="191"/>
      <c r="U128" s="176"/>
      <c r="V128" s="176"/>
      <c r="W128" s="216"/>
      <c r="X128" s="216"/>
      <c r="Y128" s="216"/>
      <c r="Z128" s="216"/>
      <c r="AA128" s="238" t="b">
        <f t="shared" si="25"/>
        <v>1</v>
      </c>
      <c r="AB128" s="261" t="e">
        <f t="shared" si="26"/>
        <v>#DIV/0!</v>
      </c>
      <c r="AC128" s="262" t="e">
        <f t="shared" si="27"/>
        <v>#DIV/0!</v>
      </c>
      <c r="AD128" s="262" t="b">
        <f t="shared" si="28"/>
        <v>1</v>
      </c>
    </row>
    <row r="129" spans="1:30" ht="30" customHeight="1" x14ac:dyDescent="0.25">
      <c r="A129" s="270">
        <v>127</v>
      </c>
      <c r="B129" s="180" t="s">
        <v>663</v>
      </c>
      <c r="C129" s="225" t="s">
        <v>85</v>
      </c>
      <c r="D129" s="182" t="s">
        <v>428</v>
      </c>
      <c r="E129" s="226" t="s">
        <v>429</v>
      </c>
      <c r="F129" s="228" t="s">
        <v>268</v>
      </c>
      <c r="G129" s="180" t="s">
        <v>664</v>
      </c>
      <c r="H129" s="228" t="s">
        <v>55</v>
      </c>
      <c r="I129" s="229">
        <v>0.98099999999999998</v>
      </c>
      <c r="J129" s="184" t="s">
        <v>108</v>
      </c>
      <c r="K129" s="195">
        <v>2192659</v>
      </c>
      <c r="L129" s="185">
        <f t="shared" ref="L129" si="31">ROUNDDOWN(K129*N129,2)</f>
        <v>1096329.5</v>
      </c>
      <c r="M129" s="179">
        <v>1096329.5</v>
      </c>
      <c r="N129" s="231">
        <v>0.5</v>
      </c>
      <c r="O129" s="185"/>
      <c r="P129" s="185"/>
      <c r="Q129" s="216"/>
      <c r="R129" s="216"/>
      <c r="S129" s="216"/>
      <c r="T129" s="185">
        <v>1096329.5</v>
      </c>
      <c r="U129" s="176"/>
      <c r="V129" s="176"/>
      <c r="W129" s="216"/>
      <c r="X129" s="216"/>
      <c r="Y129" s="216"/>
      <c r="Z129" s="216"/>
      <c r="AA129" s="238" t="b">
        <f t="shared" si="25"/>
        <v>1</v>
      </c>
      <c r="AB129" s="261">
        <f t="shared" si="26"/>
        <v>0.5</v>
      </c>
      <c r="AC129" s="262" t="b">
        <f t="shared" si="27"/>
        <v>1</v>
      </c>
      <c r="AD129" s="262" t="b">
        <f t="shared" si="28"/>
        <v>1</v>
      </c>
    </row>
    <row r="130" spans="1:30" ht="39" customHeight="1" x14ac:dyDescent="0.25">
      <c r="A130" s="270">
        <v>128</v>
      </c>
      <c r="B130" s="180" t="s">
        <v>665</v>
      </c>
      <c r="C130" s="225" t="s">
        <v>85</v>
      </c>
      <c r="D130" s="182" t="s">
        <v>666</v>
      </c>
      <c r="E130" s="226" t="s">
        <v>881</v>
      </c>
      <c r="F130" s="228" t="s">
        <v>347</v>
      </c>
      <c r="G130" s="180" t="s">
        <v>667</v>
      </c>
      <c r="H130" s="228" t="s">
        <v>55</v>
      </c>
      <c r="I130" s="229">
        <v>1.1399999999999999</v>
      </c>
      <c r="J130" s="184" t="s">
        <v>498</v>
      </c>
      <c r="K130" s="195">
        <v>5102273</v>
      </c>
      <c r="L130" s="185">
        <v>4081818.4000000004</v>
      </c>
      <c r="M130" s="179">
        <v>1020454.5999999996</v>
      </c>
      <c r="N130" s="231">
        <v>0.8</v>
      </c>
      <c r="O130" s="185"/>
      <c r="P130" s="185"/>
      <c r="Q130" s="216"/>
      <c r="R130" s="216"/>
      <c r="S130" s="216"/>
      <c r="T130" s="185">
        <v>4081818.4000000004</v>
      </c>
      <c r="U130" s="176"/>
      <c r="V130" s="176"/>
      <c r="W130" s="216"/>
      <c r="X130" s="216"/>
      <c r="Y130" s="216"/>
      <c r="Z130" s="216"/>
      <c r="AA130" s="238" t="b">
        <f t="shared" si="25"/>
        <v>1</v>
      </c>
      <c r="AB130" s="261">
        <f t="shared" si="26"/>
        <v>0.8</v>
      </c>
      <c r="AC130" s="262" t="b">
        <f t="shared" si="27"/>
        <v>1</v>
      </c>
      <c r="AD130" s="262" t="b">
        <f t="shared" si="28"/>
        <v>1</v>
      </c>
    </row>
    <row r="131" spans="1:30" ht="39.75" customHeight="1" x14ac:dyDescent="0.25">
      <c r="A131" s="270">
        <v>129</v>
      </c>
      <c r="B131" s="180" t="s">
        <v>899</v>
      </c>
      <c r="C131" s="225" t="s">
        <v>85</v>
      </c>
      <c r="D131" s="182" t="s">
        <v>443</v>
      </c>
      <c r="E131" s="226" t="s">
        <v>444</v>
      </c>
      <c r="F131" s="228" t="s">
        <v>371</v>
      </c>
      <c r="G131" s="180" t="s">
        <v>668</v>
      </c>
      <c r="H131" s="228" t="s">
        <v>55</v>
      </c>
      <c r="I131" s="229">
        <v>1.1599999999999999</v>
      </c>
      <c r="J131" s="184" t="s">
        <v>446</v>
      </c>
      <c r="K131" s="195">
        <v>5345229</v>
      </c>
      <c r="L131" s="185">
        <v>4276183.2</v>
      </c>
      <c r="M131" s="179">
        <v>1069045.7999999998</v>
      </c>
      <c r="N131" s="231">
        <v>0.8</v>
      </c>
      <c r="O131" s="185"/>
      <c r="P131" s="185"/>
      <c r="Q131" s="216"/>
      <c r="R131" s="216"/>
      <c r="S131" s="216"/>
      <c r="T131" s="185">
        <v>4276183.2</v>
      </c>
      <c r="U131" s="176"/>
      <c r="V131" s="176"/>
      <c r="W131" s="216"/>
      <c r="X131" s="216"/>
      <c r="Y131" s="216"/>
      <c r="Z131" s="216"/>
      <c r="AA131" s="238" t="b">
        <f t="shared" si="25"/>
        <v>1</v>
      </c>
      <c r="AB131" s="261">
        <f t="shared" si="26"/>
        <v>0.8</v>
      </c>
      <c r="AC131" s="262" t="b">
        <f t="shared" si="27"/>
        <v>1</v>
      </c>
      <c r="AD131" s="262" t="b">
        <f t="shared" si="28"/>
        <v>1</v>
      </c>
    </row>
    <row r="132" spans="1:30" ht="30" customHeight="1" x14ac:dyDescent="0.25">
      <c r="A132" s="283" t="s">
        <v>919</v>
      </c>
      <c r="B132" s="180" t="s">
        <v>669</v>
      </c>
      <c r="C132" s="225" t="s">
        <v>85</v>
      </c>
      <c r="D132" s="182" t="s">
        <v>670</v>
      </c>
      <c r="E132" s="226" t="s">
        <v>671</v>
      </c>
      <c r="F132" s="228" t="s">
        <v>268</v>
      </c>
      <c r="G132" s="180" t="s">
        <v>672</v>
      </c>
      <c r="H132" s="228" t="s">
        <v>82</v>
      </c>
      <c r="I132" s="229">
        <v>0.86199999999999999</v>
      </c>
      <c r="J132" s="184" t="s">
        <v>446</v>
      </c>
      <c r="K132" s="195">
        <v>5998560</v>
      </c>
      <c r="L132" s="185">
        <v>1158310.93</v>
      </c>
      <c r="M132" s="179">
        <f>K132-L132</f>
        <v>4840249.07</v>
      </c>
      <c r="N132" s="231">
        <v>0.8</v>
      </c>
      <c r="O132" s="185"/>
      <c r="P132" s="185"/>
      <c r="Q132" s="216"/>
      <c r="R132" s="216"/>
      <c r="S132" s="216"/>
      <c r="T132" s="185">
        <v>1158310.93</v>
      </c>
      <c r="U132" s="176"/>
      <c r="V132" s="176"/>
      <c r="W132" s="216"/>
      <c r="X132" s="216"/>
      <c r="Y132" s="216"/>
      <c r="Z132" s="216"/>
      <c r="AA132" s="238" t="b">
        <f t="shared" si="25"/>
        <v>1</v>
      </c>
      <c r="AB132" s="261">
        <f t="shared" si="26"/>
        <v>0.19309999999999999</v>
      </c>
      <c r="AC132" s="262" t="b">
        <f t="shared" si="27"/>
        <v>0</v>
      </c>
      <c r="AD132" s="262" t="b">
        <f t="shared" si="28"/>
        <v>1</v>
      </c>
    </row>
    <row r="133" spans="1:30" ht="20.100000000000001" customHeight="1" x14ac:dyDescent="0.25">
      <c r="A133" s="316" t="s">
        <v>45</v>
      </c>
      <c r="B133" s="317"/>
      <c r="C133" s="317"/>
      <c r="D133" s="317"/>
      <c r="E133" s="317"/>
      <c r="F133" s="317"/>
      <c r="G133" s="317"/>
      <c r="H133" s="318"/>
      <c r="I133" s="48">
        <f>SUM(I3:I132)</f>
        <v>87.493589999999955</v>
      </c>
      <c r="J133" s="232" t="s">
        <v>14</v>
      </c>
      <c r="K133" s="233">
        <f>SUM(K3:K132)</f>
        <v>368583691.57000011</v>
      </c>
      <c r="L133" s="233">
        <f>SUM(L3:L132)</f>
        <v>237581648.24999997</v>
      </c>
      <c r="M133" s="233">
        <f>SUM(M3:M132)</f>
        <v>131002043.31999993</v>
      </c>
      <c r="N133" s="52" t="s">
        <v>14</v>
      </c>
      <c r="O133" s="233">
        <f t="shared" ref="O133:Z133" si="32">SUM(O3:O132)</f>
        <v>0</v>
      </c>
      <c r="P133" s="233">
        <f t="shared" si="32"/>
        <v>0</v>
      </c>
      <c r="Q133" s="212">
        <f t="shared" si="32"/>
        <v>0</v>
      </c>
      <c r="R133" s="212">
        <f t="shared" si="32"/>
        <v>650000</v>
      </c>
      <c r="S133" s="212">
        <f t="shared" si="32"/>
        <v>21333818.920000002</v>
      </c>
      <c r="T133" s="212">
        <f t="shared" si="32"/>
        <v>182629005.14999998</v>
      </c>
      <c r="U133" s="212">
        <f t="shared" si="32"/>
        <v>27248824.18</v>
      </c>
      <c r="V133" s="212">
        <f t="shared" si="32"/>
        <v>5720000</v>
      </c>
      <c r="W133" s="212">
        <f t="shared" si="32"/>
        <v>0</v>
      </c>
      <c r="X133" s="212">
        <f t="shared" si="32"/>
        <v>0</v>
      </c>
      <c r="Y133" s="212">
        <f t="shared" si="32"/>
        <v>0</v>
      </c>
      <c r="Z133" s="212">
        <f t="shared" si="32"/>
        <v>0</v>
      </c>
      <c r="AA133" s="238" t="b">
        <f t="shared" ref="AA133:AA136" si="33">L133=SUM(O133:Z133)</f>
        <v>1</v>
      </c>
      <c r="AB133" s="261">
        <f t="shared" si="0"/>
        <v>0.64459999999999995</v>
      </c>
      <c r="AC133" s="262" t="s">
        <v>14</v>
      </c>
      <c r="AD133" s="262" t="b">
        <f t="shared" si="2"/>
        <v>1</v>
      </c>
    </row>
    <row r="134" spans="1:30" ht="20.100000000000001" customHeight="1" x14ac:dyDescent="0.25">
      <c r="A134" s="316" t="s">
        <v>38</v>
      </c>
      <c r="B134" s="317"/>
      <c r="C134" s="317"/>
      <c r="D134" s="317"/>
      <c r="E134" s="317"/>
      <c r="F134" s="317"/>
      <c r="G134" s="317"/>
      <c r="H134" s="318"/>
      <c r="I134" s="48">
        <f>SUMIF($C$3:$C$132,"K",I3:I132)</f>
        <v>15.563000000000001</v>
      </c>
      <c r="J134" s="232" t="s">
        <v>14</v>
      </c>
      <c r="K134" s="233">
        <f>SUMIF($C$3:$C$132,"K",K3:K132)</f>
        <v>87408544.699999988</v>
      </c>
      <c r="L134" s="233">
        <f>SUMIF($C$3:$C$132,"K",L3:L132)</f>
        <v>45813092.680000007</v>
      </c>
      <c r="M134" s="233">
        <f>SUMIF($C$3:$C$132,"K",M3:M132)</f>
        <v>41595452.020000003</v>
      </c>
      <c r="N134" s="52" t="s">
        <v>14</v>
      </c>
      <c r="O134" s="233">
        <f t="shared" ref="O134:Z134" si="34">SUMIF($C$3:$C$132,"K",O3:O132)</f>
        <v>0</v>
      </c>
      <c r="P134" s="233">
        <f t="shared" si="34"/>
        <v>0</v>
      </c>
      <c r="Q134" s="212">
        <f t="shared" si="34"/>
        <v>0</v>
      </c>
      <c r="R134" s="212">
        <f t="shared" si="34"/>
        <v>650000</v>
      </c>
      <c r="S134" s="212">
        <f t="shared" si="34"/>
        <v>21333818.920000002</v>
      </c>
      <c r="T134" s="212">
        <f t="shared" si="34"/>
        <v>22701882.59</v>
      </c>
      <c r="U134" s="212">
        <f t="shared" si="34"/>
        <v>1127391.17</v>
      </c>
      <c r="V134" s="212">
        <f t="shared" si="34"/>
        <v>0</v>
      </c>
      <c r="W134" s="212">
        <f t="shared" si="34"/>
        <v>0</v>
      </c>
      <c r="X134" s="212">
        <f t="shared" si="34"/>
        <v>0</v>
      </c>
      <c r="Y134" s="212">
        <f t="shared" si="34"/>
        <v>0</v>
      </c>
      <c r="Z134" s="212">
        <f t="shared" si="34"/>
        <v>0</v>
      </c>
      <c r="AA134" s="238" t="b">
        <f t="shared" si="33"/>
        <v>1</v>
      </c>
      <c r="AB134" s="261">
        <f t="shared" si="0"/>
        <v>0.52410000000000001</v>
      </c>
      <c r="AC134" s="262" t="s">
        <v>14</v>
      </c>
      <c r="AD134" s="262" t="b">
        <f t="shared" si="2"/>
        <v>1</v>
      </c>
    </row>
    <row r="135" spans="1:30" ht="20.100000000000001" customHeight="1" x14ac:dyDescent="0.25">
      <c r="A135" s="316" t="s">
        <v>39</v>
      </c>
      <c r="B135" s="317"/>
      <c r="C135" s="317"/>
      <c r="D135" s="317"/>
      <c r="E135" s="317"/>
      <c r="F135" s="317"/>
      <c r="G135" s="317"/>
      <c r="H135" s="318"/>
      <c r="I135" s="48">
        <f>SUMIF($C$3:$C$132,"N",I3:I132)</f>
        <v>60.23458999999999</v>
      </c>
      <c r="J135" s="232" t="s">
        <v>14</v>
      </c>
      <c r="K135" s="233">
        <f>SUMIF($C$3:$C$132,"N",K3:K132)</f>
        <v>206780357.87999997</v>
      </c>
      <c r="L135" s="233">
        <f>SUMIF($C$3:$C$132,"N",L3:L132)</f>
        <v>143259546.83999997</v>
      </c>
      <c r="M135" s="233">
        <f>SUMIF($C$3:$C$132,"N",M3:M132)</f>
        <v>63520811.039999992</v>
      </c>
      <c r="N135" s="52" t="s">
        <v>14</v>
      </c>
      <c r="O135" s="233">
        <f t="shared" ref="O135:Z135" si="35">SUMIF($C$3:$C$132,"N",O3:O132)</f>
        <v>0</v>
      </c>
      <c r="P135" s="233">
        <f t="shared" si="35"/>
        <v>0</v>
      </c>
      <c r="Q135" s="212">
        <f t="shared" si="35"/>
        <v>0</v>
      </c>
      <c r="R135" s="212">
        <f t="shared" si="35"/>
        <v>0</v>
      </c>
      <c r="S135" s="212">
        <f t="shared" si="35"/>
        <v>0</v>
      </c>
      <c r="T135" s="212">
        <f t="shared" si="35"/>
        <v>143259546.83999997</v>
      </c>
      <c r="U135" s="212">
        <f t="shared" si="35"/>
        <v>0</v>
      </c>
      <c r="V135" s="212">
        <f t="shared" si="35"/>
        <v>0</v>
      </c>
      <c r="W135" s="212">
        <f t="shared" si="35"/>
        <v>0</v>
      </c>
      <c r="X135" s="212">
        <f t="shared" si="35"/>
        <v>0</v>
      </c>
      <c r="Y135" s="212">
        <f t="shared" si="35"/>
        <v>0</v>
      </c>
      <c r="Z135" s="212">
        <f t="shared" si="35"/>
        <v>0</v>
      </c>
      <c r="AA135" s="238" t="b">
        <f t="shared" si="33"/>
        <v>1</v>
      </c>
      <c r="AB135" s="261">
        <f t="shared" si="0"/>
        <v>0.69279999999999997</v>
      </c>
      <c r="AC135" s="262" t="s">
        <v>14</v>
      </c>
      <c r="AD135" s="262" t="b">
        <f t="shared" si="2"/>
        <v>1</v>
      </c>
    </row>
    <row r="136" spans="1:30" ht="20.100000000000001" customHeight="1" x14ac:dyDescent="0.25">
      <c r="A136" s="313" t="s">
        <v>40</v>
      </c>
      <c r="B136" s="314"/>
      <c r="C136" s="314"/>
      <c r="D136" s="314"/>
      <c r="E136" s="314"/>
      <c r="F136" s="314"/>
      <c r="G136" s="314"/>
      <c r="H136" s="315"/>
      <c r="I136" s="53">
        <f>SUMIF($C$3:$C$132,"W",I3:I132)</f>
        <v>11.696000000000002</v>
      </c>
      <c r="J136" s="254" t="s">
        <v>14</v>
      </c>
      <c r="K136" s="235">
        <f>SUMIF($C$3:$C$132,"W",K3:K132)</f>
        <v>74394788.989999995</v>
      </c>
      <c r="L136" s="235">
        <f>SUMIF($C$3:$C$132,"W",L3:L132)</f>
        <v>48509008.730000004</v>
      </c>
      <c r="M136" s="235">
        <f>SUMIF($C$3:$C$132,"W",M3:M132)</f>
        <v>25885780.259999998</v>
      </c>
      <c r="N136" s="57" t="s">
        <v>14</v>
      </c>
      <c r="O136" s="235">
        <f t="shared" ref="O136:Z136" si="36">SUMIF($C$3:$C$132,"W",O3:O132)</f>
        <v>0</v>
      </c>
      <c r="P136" s="235">
        <f t="shared" si="36"/>
        <v>0</v>
      </c>
      <c r="Q136" s="213">
        <f t="shared" si="36"/>
        <v>0</v>
      </c>
      <c r="R136" s="213">
        <f t="shared" si="36"/>
        <v>0</v>
      </c>
      <c r="S136" s="213">
        <f t="shared" si="36"/>
        <v>0</v>
      </c>
      <c r="T136" s="213">
        <f t="shared" si="36"/>
        <v>16667575.719999999</v>
      </c>
      <c r="U136" s="213">
        <f t="shared" si="36"/>
        <v>26121433.009999998</v>
      </c>
      <c r="V136" s="213">
        <f t="shared" si="36"/>
        <v>5720000</v>
      </c>
      <c r="W136" s="213">
        <f t="shared" si="36"/>
        <v>0</v>
      </c>
      <c r="X136" s="213">
        <f t="shared" si="36"/>
        <v>0</v>
      </c>
      <c r="Y136" s="213">
        <f t="shared" si="36"/>
        <v>0</v>
      </c>
      <c r="Z136" s="213">
        <f t="shared" si="36"/>
        <v>0</v>
      </c>
      <c r="AA136" s="238" t="b">
        <f t="shared" si="33"/>
        <v>1</v>
      </c>
      <c r="AB136" s="261">
        <f t="shared" ref="AB136" si="37">ROUND(L136/K136,4)</f>
        <v>0.65200000000000002</v>
      </c>
      <c r="AC136" s="262" t="s">
        <v>14</v>
      </c>
      <c r="AD136" s="262" t="b">
        <f t="shared" ref="AD136" si="38">K136=L136+M136</f>
        <v>1</v>
      </c>
    </row>
    <row r="137" spans="1:30" x14ac:dyDescent="0.25">
      <c r="A137" s="236"/>
      <c r="K137" s="237" t="s">
        <v>910</v>
      </c>
      <c r="S137" s="258"/>
      <c r="T137" s="258"/>
    </row>
    <row r="138" spans="1:30" x14ac:dyDescent="0.25">
      <c r="A138" s="239" t="s">
        <v>25</v>
      </c>
      <c r="N138" s="262"/>
      <c r="S138" s="278"/>
      <c r="T138" s="258"/>
      <c r="U138" s="258"/>
    </row>
    <row r="139" spans="1:30" x14ac:dyDescent="0.25">
      <c r="A139" s="240" t="s">
        <v>26</v>
      </c>
      <c r="L139" s="258"/>
      <c r="N139" s="262"/>
      <c r="T139" s="258"/>
      <c r="U139" s="258"/>
    </row>
    <row r="140" spans="1:30" x14ac:dyDescent="0.25">
      <c r="A140" s="239" t="s">
        <v>43</v>
      </c>
      <c r="L140" s="258"/>
      <c r="T140" s="258"/>
    </row>
    <row r="141" spans="1:30" x14ac:dyDescent="0.25">
      <c r="A141" s="241" t="s">
        <v>47</v>
      </c>
      <c r="T141" s="258"/>
    </row>
    <row r="143" spans="1:30" x14ac:dyDescent="0.25">
      <c r="J143" s="210" t="s">
        <v>909</v>
      </c>
    </row>
    <row r="144" spans="1:30" x14ac:dyDescent="0.25">
      <c r="N144" s="262"/>
    </row>
    <row r="145" spans="14:14" x14ac:dyDescent="0.25">
      <c r="N145" s="262"/>
    </row>
  </sheetData>
  <autoFilter ref="A2:AD141" xr:uid="{00000000-0009-0000-0000-000002000000}"/>
  <mergeCells count="19">
    <mergeCell ref="O1:Z1"/>
    <mergeCell ref="A136:H136"/>
    <mergeCell ref="A135:H135"/>
    <mergeCell ref="E1:E2"/>
    <mergeCell ref="A134:H134"/>
    <mergeCell ref="N1:N2"/>
    <mergeCell ref="L1:L2"/>
    <mergeCell ref="M1:M2"/>
    <mergeCell ref="A133:H133"/>
    <mergeCell ref="H1:H2"/>
    <mergeCell ref="I1:I2"/>
    <mergeCell ref="J1:J2"/>
    <mergeCell ref="K1:K2"/>
    <mergeCell ref="A1:A2"/>
    <mergeCell ref="B1:B2"/>
    <mergeCell ref="C1:C2"/>
    <mergeCell ref="F1:F2"/>
    <mergeCell ref="G1:G2"/>
    <mergeCell ref="D1:D2"/>
  </mergeCells>
  <conditionalFormatting sqref="AA3:AA136 AB3:AD134">
    <cfRule type="cellIs" dxfId="35" priority="15" operator="equal">
      <formula>FALSE</formula>
    </cfRule>
  </conditionalFormatting>
  <conditionalFormatting sqref="AA3:AC132 AA117:AA136 AB117:AC134">
    <cfRule type="containsText" dxfId="34" priority="13" operator="containsText" text="fałsz">
      <formula>NOT(ISERROR(SEARCH("fałsz",AA3)))</formula>
    </cfRule>
  </conditionalFormatting>
  <conditionalFormatting sqref="AB136:AC136">
    <cfRule type="cellIs" dxfId="33" priority="10" operator="equal">
      <formula>FALSE</formula>
    </cfRule>
  </conditionalFormatting>
  <conditionalFormatting sqref="AB136:AC136">
    <cfRule type="containsText" dxfId="32" priority="8" operator="containsText" text="fałsz">
      <formula>NOT(ISERROR(SEARCH("fałsz",AB136)))</formula>
    </cfRule>
  </conditionalFormatting>
  <conditionalFormatting sqref="AD136">
    <cfRule type="cellIs" dxfId="31" priority="7" operator="equal">
      <formula>FALSE</formula>
    </cfRule>
  </conditionalFormatting>
  <conditionalFormatting sqref="AD136">
    <cfRule type="cellIs" dxfId="30" priority="6" operator="equal">
      <formula>FALSE</formula>
    </cfRule>
  </conditionalFormatting>
  <conditionalFormatting sqref="AB135:AC135">
    <cfRule type="cellIs" dxfId="29" priority="5" operator="equal">
      <formula>FALSE</formula>
    </cfRule>
  </conditionalFormatting>
  <conditionalFormatting sqref="AB135:AC135">
    <cfRule type="containsText" dxfId="28" priority="3" operator="containsText" text="fałsz">
      <formula>NOT(ISERROR(SEARCH("fałsz",AB135)))</formula>
    </cfRule>
  </conditionalFormatting>
  <conditionalFormatting sqref="AD135">
    <cfRule type="cellIs" dxfId="27" priority="2" operator="equal">
      <formula>FALSE</formula>
    </cfRule>
  </conditionalFormatting>
  <conditionalFormatting sqref="AD135">
    <cfRule type="cellIs" dxfId="26" priority="1" operator="equal">
      <formula>FALSE</formula>
    </cfRule>
  </conditionalFormatting>
  <dataValidations count="4">
    <dataValidation type="list" operator="equal" allowBlank="1" showInputMessage="1" showErrorMessage="1" sqref="C3:C21" xr:uid="{00000000-0002-0000-0200-000000000000}">
      <formula1>"N,K,W"</formula1>
      <formula2>0</formula2>
    </dataValidation>
    <dataValidation type="list" operator="equal" allowBlank="1" showInputMessage="1" showErrorMessage="1" sqref="H3 G4:G17 G19:G21" xr:uid="{00000000-0002-0000-0200-000001000000}">
      <formula1>"B,P,R"</formula1>
      <formula2>0</formula2>
    </dataValidation>
    <dataValidation type="list" allowBlank="1" showInputMessage="1" showErrorMessage="1" sqref="H22:H132" xr:uid="{00000000-0002-0000-0200-000002000000}">
      <formula1>"B,P,R"</formula1>
    </dataValidation>
    <dataValidation type="list" allowBlank="1" showInputMessage="1" showErrorMessage="1" sqref="C22:C132" xr:uid="{00000000-0002-0000-0200-000003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8" fitToHeight="0" orientation="landscape" r:id="rId1"/>
  <headerFooter>
    <oddHeader>&amp;LWojewództwo dolnośląskie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4"/>
  <sheetViews>
    <sheetView showGridLines="0" zoomScale="78" zoomScaleNormal="78" zoomScaleSheetLayoutView="85" workbookViewId="0">
      <selection activeCell="A3" sqref="A3:XFD6"/>
    </sheetView>
  </sheetViews>
  <sheetFormatPr defaultColWidth="9.140625" defaultRowHeight="15" x14ac:dyDescent="0.25"/>
  <cols>
    <col min="1" max="1" width="7.28515625" style="11" customWidth="1"/>
    <col min="2" max="2" width="15.7109375" style="11" customWidth="1"/>
    <col min="3" max="3" width="11.28515625" style="11" customWidth="1"/>
    <col min="4" max="4" width="19.42578125" style="11" customWidth="1"/>
    <col min="5" max="5" width="11.85546875" style="11" customWidth="1"/>
    <col min="6" max="6" width="46.5703125" style="11" customWidth="1"/>
    <col min="7" max="7" width="10.42578125" style="11" customWidth="1"/>
    <col min="8" max="9" width="15.7109375" style="11" customWidth="1"/>
    <col min="10" max="10" width="15.7109375" style="33" customWidth="1"/>
    <col min="11" max="11" width="18.5703125" style="11" customWidth="1"/>
    <col min="12" max="12" width="15.7109375" style="11" customWidth="1"/>
    <col min="13" max="13" width="15.7109375" style="1" customWidth="1"/>
    <col min="14" max="29" width="15.7109375" style="11" customWidth="1"/>
    <col min="30" max="16384" width="9.140625" style="11"/>
  </cols>
  <sheetData>
    <row r="1" spans="1:30" ht="20.100000000000001" customHeight="1" x14ac:dyDescent="0.25">
      <c r="A1" s="320" t="s">
        <v>4</v>
      </c>
      <c r="B1" s="320" t="s">
        <v>5</v>
      </c>
      <c r="C1" s="321" t="s">
        <v>46</v>
      </c>
      <c r="D1" s="323" t="s">
        <v>6</v>
      </c>
      <c r="E1" s="321" t="s">
        <v>33</v>
      </c>
      <c r="F1" s="323" t="s">
        <v>7</v>
      </c>
      <c r="G1" s="320" t="s">
        <v>27</v>
      </c>
      <c r="H1" s="320" t="s">
        <v>8</v>
      </c>
      <c r="I1" s="320" t="s">
        <v>24</v>
      </c>
      <c r="J1" s="326" t="s">
        <v>9</v>
      </c>
      <c r="K1" s="320" t="s">
        <v>10</v>
      </c>
      <c r="L1" s="323" t="s">
        <v>13</v>
      </c>
      <c r="M1" s="320" t="s">
        <v>11</v>
      </c>
      <c r="N1" s="322" t="s">
        <v>12</v>
      </c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</row>
    <row r="2" spans="1:30" ht="20.100000000000001" customHeight="1" x14ac:dyDescent="0.25">
      <c r="A2" s="320"/>
      <c r="B2" s="320"/>
      <c r="C2" s="322"/>
      <c r="D2" s="324"/>
      <c r="E2" s="322"/>
      <c r="F2" s="324"/>
      <c r="G2" s="320"/>
      <c r="H2" s="320"/>
      <c r="I2" s="320"/>
      <c r="J2" s="326"/>
      <c r="K2" s="320"/>
      <c r="L2" s="324"/>
      <c r="M2" s="320"/>
      <c r="N2" s="32">
        <v>2019</v>
      </c>
      <c r="O2" s="32">
        <v>2020</v>
      </c>
      <c r="P2" s="32">
        <v>2021</v>
      </c>
      <c r="Q2" s="32">
        <v>2022</v>
      </c>
      <c r="R2" s="32">
        <v>2023</v>
      </c>
      <c r="S2" s="32">
        <v>2024</v>
      </c>
      <c r="T2" s="32">
        <v>2025</v>
      </c>
      <c r="U2" s="32">
        <v>2026</v>
      </c>
      <c r="V2" s="32">
        <v>2027</v>
      </c>
      <c r="W2" s="32">
        <v>2028</v>
      </c>
      <c r="X2" s="160">
        <v>2029</v>
      </c>
      <c r="Y2" s="160">
        <v>2030</v>
      </c>
      <c r="Z2" s="1" t="s">
        <v>29</v>
      </c>
      <c r="AA2" s="1" t="s">
        <v>30</v>
      </c>
      <c r="AB2" s="1" t="s">
        <v>31</v>
      </c>
      <c r="AC2" s="37" t="s">
        <v>32</v>
      </c>
    </row>
    <row r="3" spans="1:30" s="40" customFormat="1" ht="54" customHeight="1" x14ac:dyDescent="0.25">
      <c r="A3" s="45"/>
      <c r="B3" s="180"/>
      <c r="C3" s="181"/>
      <c r="D3" s="182"/>
      <c r="E3" s="182"/>
      <c r="F3" s="180"/>
      <c r="G3" s="180"/>
      <c r="H3" s="183"/>
      <c r="I3" s="184"/>
      <c r="J3" s="195"/>
      <c r="K3" s="185"/>
      <c r="L3" s="179"/>
      <c r="M3" s="46"/>
      <c r="N3" s="44"/>
      <c r="O3" s="44"/>
      <c r="P3" s="47"/>
      <c r="Q3" s="47"/>
      <c r="R3" s="47"/>
      <c r="S3" s="179"/>
      <c r="T3" s="178"/>
      <c r="U3" s="47"/>
      <c r="V3" s="47"/>
      <c r="W3" s="47"/>
      <c r="X3" s="47"/>
      <c r="Y3" s="47"/>
      <c r="Z3" s="1"/>
      <c r="AA3" s="38"/>
      <c r="AB3" s="39"/>
      <c r="AC3" s="39"/>
      <c r="AD3" s="41"/>
    </row>
    <row r="4" spans="1:30" s="40" customFormat="1" ht="30" customHeight="1" x14ac:dyDescent="0.25">
      <c r="A4" s="218"/>
      <c r="B4" s="186"/>
      <c r="C4" s="187"/>
      <c r="D4" s="188"/>
      <c r="E4" s="188"/>
      <c r="F4" s="186"/>
      <c r="G4" s="186"/>
      <c r="H4" s="189"/>
      <c r="I4" s="190"/>
      <c r="J4" s="197"/>
      <c r="K4" s="191"/>
      <c r="L4" s="178"/>
      <c r="M4" s="46"/>
      <c r="N4" s="44"/>
      <c r="O4" s="44"/>
      <c r="P4" s="47"/>
      <c r="Q4" s="47"/>
      <c r="R4" s="47"/>
      <c r="S4" s="178"/>
      <c r="T4" s="178"/>
      <c r="U4" s="47"/>
      <c r="V4" s="47"/>
      <c r="W4" s="47"/>
      <c r="X4" s="47"/>
      <c r="Y4" s="47"/>
      <c r="Z4" s="1"/>
      <c r="AA4" s="38"/>
      <c r="AB4" s="39"/>
      <c r="AC4" s="39"/>
      <c r="AD4" s="41"/>
    </row>
    <row r="5" spans="1:30" s="40" customFormat="1" ht="39.75" customHeight="1" x14ac:dyDescent="0.25">
      <c r="A5" s="45"/>
      <c r="B5" s="180"/>
      <c r="C5" s="181"/>
      <c r="D5" s="182"/>
      <c r="E5" s="182"/>
      <c r="F5" s="180"/>
      <c r="G5" s="180"/>
      <c r="H5" s="183"/>
      <c r="I5" s="184"/>
      <c r="J5" s="195"/>
      <c r="K5" s="185"/>
      <c r="L5" s="179"/>
      <c r="M5" s="46"/>
      <c r="N5" s="44"/>
      <c r="O5" s="44"/>
      <c r="P5" s="47"/>
      <c r="Q5" s="47"/>
      <c r="R5" s="47"/>
      <c r="S5" s="179"/>
      <c r="T5" s="178"/>
      <c r="U5" s="47"/>
      <c r="V5" s="47"/>
      <c r="W5" s="47"/>
      <c r="X5" s="47"/>
      <c r="Y5" s="47"/>
      <c r="Z5" s="1"/>
      <c r="AA5" s="38"/>
      <c r="AB5" s="39"/>
      <c r="AC5" s="39"/>
      <c r="AD5" s="41"/>
    </row>
    <row r="6" spans="1:30" s="40" customFormat="1" ht="30" customHeight="1" x14ac:dyDescent="0.25">
      <c r="A6" s="45"/>
      <c r="B6" s="180"/>
      <c r="C6" s="180"/>
      <c r="D6" s="182"/>
      <c r="E6" s="182"/>
      <c r="F6" s="207"/>
      <c r="G6" s="180"/>
      <c r="H6" s="183"/>
      <c r="I6" s="184"/>
      <c r="J6" s="195"/>
      <c r="K6" s="185"/>
      <c r="L6" s="179"/>
      <c r="M6" s="46"/>
      <c r="N6" s="44"/>
      <c r="O6" s="44"/>
      <c r="P6" s="47"/>
      <c r="Q6" s="47"/>
      <c r="R6" s="47"/>
      <c r="S6" s="179"/>
      <c r="T6" s="178"/>
      <c r="U6" s="47"/>
      <c r="V6" s="47"/>
      <c r="W6" s="47"/>
      <c r="X6" s="47"/>
      <c r="Y6" s="47"/>
      <c r="Z6" s="1"/>
      <c r="AA6" s="38"/>
      <c r="AB6" s="39"/>
      <c r="AC6" s="39"/>
      <c r="AD6" s="41"/>
    </row>
    <row r="7" spans="1:30" ht="20.100000000000001" customHeight="1" x14ac:dyDescent="0.25">
      <c r="A7" s="325" t="s">
        <v>45</v>
      </c>
      <c r="B7" s="325"/>
      <c r="C7" s="325"/>
      <c r="D7" s="325"/>
      <c r="E7" s="325"/>
      <c r="F7" s="325"/>
      <c r="G7" s="325"/>
      <c r="H7" s="48">
        <f>SUM(H3:H6)</f>
        <v>0</v>
      </c>
      <c r="I7" s="49" t="s">
        <v>14</v>
      </c>
      <c r="J7" s="50">
        <f>SUM(J3:J6)</f>
        <v>0</v>
      </c>
      <c r="K7" s="51">
        <f>SUM(K3:K6)</f>
        <v>0</v>
      </c>
      <c r="L7" s="51">
        <f>SUM(L3:L6)</f>
        <v>0</v>
      </c>
      <c r="M7" s="52" t="s">
        <v>14</v>
      </c>
      <c r="N7" s="58">
        <f t="shared" ref="N7:Y7" si="0">SUM(N3:N6)</f>
        <v>0</v>
      </c>
      <c r="O7" s="58">
        <f t="shared" si="0"/>
        <v>0</v>
      </c>
      <c r="P7" s="58">
        <f t="shared" si="0"/>
        <v>0</v>
      </c>
      <c r="Q7" s="58">
        <f t="shared" si="0"/>
        <v>0</v>
      </c>
      <c r="R7" s="58">
        <f t="shared" si="0"/>
        <v>0</v>
      </c>
      <c r="S7" s="58">
        <f t="shared" si="0"/>
        <v>0</v>
      </c>
      <c r="T7" s="58">
        <f t="shared" si="0"/>
        <v>0</v>
      </c>
      <c r="U7" s="58">
        <f t="shared" si="0"/>
        <v>0</v>
      </c>
      <c r="V7" s="58">
        <f t="shared" si="0"/>
        <v>0</v>
      </c>
      <c r="W7" s="58">
        <f t="shared" si="0"/>
        <v>0</v>
      </c>
      <c r="X7" s="58">
        <f t="shared" si="0"/>
        <v>0</v>
      </c>
      <c r="Y7" s="58">
        <f t="shared" si="0"/>
        <v>0</v>
      </c>
      <c r="Z7" s="1" t="b">
        <f t="shared" ref="Z7:Z9" si="1">K7=SUM(N7:Y7)</f>
        <v>1</v>
      </c>
      <c r="AA7" s="38" t="e">
        <f t="shared" ref="AA7:AA9" si="2">ROUND(K7/J7,4)</f>
        <v>#DIV/0!</v>
      </c>
      <c r="AB7" s="39" t="s">
        <v>14</v>
      </c>
      <c r="AC7" s="39" t="b">
        <f t="shared" ref="AC7:AC9" si="3">J7=K7+L7</f>
        <v>1</v>
      </c>
      <c r="AD7" s="31"/>
    </row>
    <row r="8" spans="1:30" ht="20.100000000000001" customHeight="1" x14ac:dyDescent="0.25">
      <c r="A8" s="325" t="s">
        <v>39</v>
      </c>
      <c r="B8" s="325"/>
      <c r="C8" s="325"/>
      <c r="D8" s="325"/>
      <c r="E8" s="325"/>
      <c r="F8" s="325"/>
      <c r="G8" s="325"/>
      <c r="H8" s="48">
        <f>SUMIF($C$3:$C$6,"N",H3:H6)</f>
        <v>0</v>
      </c>
      <c r="I8" s="49" t="s">
        <v>14</v>
      </c>
      <c r="J8" s="50">
        <f>SUMIF($C$3:$C$6,"N",J3:J6)</f>
        <v>0</v>
      </c>
      <c r="K8" s="51">
        <f>SUMIF($C$3:$C$6,"N",K3:K6)</f>
        <v>0</v>
      </c>
      <c r="L8" s="51">
        <f>SUMIF($C$3:$C$6,"N",L3:L6)</f>
        <v>0</v>
      </c>
      <c r="M8" s="52" t="s">
        <v>14</v>
      </c>
      <c r="N8" s="58">
        <f t="shared" ref="N8:Y8" si="4">SUMIF($C$3:$C$6,"N",N3:N6)</f>
        <v>0</v>
      </c>
      <c r="O8" s="58">
        <f t="shared" si="4"/>
        <v>0</v>
      </c>
      <c r="P8" s="58">
        <f t="shared" si="4"/>
        <v>0</v>
      </c>
      <c r="Q8" s="58">
        <f t="shared" si="4"/>
        <v>0</v>
      </c>
      <c r="R8" s="58">
        <f t="shared" si="4"/>
        <v>0</v>
      </c>
      <c r="S8" s="58">
        <f t="shared" si="4"/>
        <v>0</v>
      </c>
      <c r="T8" s="58">
        <f t="shared" si="4"/>
        <v>0</v>
      </c>
      <c r="U8" s="58">
        <f t="shared" si="4"/>
        <v>0</v>
      </c>
      <c r="V8" s="58">
        <f t="shared" si="4"/>
        <v>0</v>
      </c>
      <c r="W8" s="58">
        <f t="shared" si="4"/>
        <v>0</v>
      </c>
      <c r="X8" s="58">
        <f t="shared" si="4"/>
        <v>0</v>
      </c>
      <c r="Y8" s="58">
        <f t="shared" si="4"/>
        <v>0</v>
      </c>
      <c r="Z8" s="1" t="b">
        <f t="shared" si="1"/>
        <v>1</v>
      </c>
      <c r="AA8" s="38" t="e">
        <f t="shared" si="2"/>
        <v>#DIV/0!</v>
      </c>
      <c r="AB8" s="39" t="s">
        <v>14</v>
      </c>
      <c r="AC8" s="39" t="b">
        <f t="shared" si="3"/>
        <v>1</v>
      </c>
      <c r="AD8" s="31"/>
    </row>
    <row r="9" spans="1:30" ht="20.100000000000001" customHeight="1" x14ac:dyDescent="0.25">
      <c r="A9" s="319" t="s">
        <v>40</v>
      </c>
      <c r="B9" s="319"/>
      <c r="C9" s="319"/>
      <c r="D9" s="319"/>
      <c r="E9" s="319"/>
      <c r="F9" s="319"/>
      <c r="G9" s="319"/>
      <c r="H9" s="53">
        <f>SUMIF($C$3:$C$6,"W",H3:H6)</f>
        <v>0</v>
      </c>
      <c r="I9" s="54" t="s">
        <v>14</v>
      </c>
      <c r="J9" s="55">
        <f>SUMIF($C$3:$C$6,"W",J3:J6)</f>
        <v>0</v>
      </c>
      <c r="K9" s="56">
        <f>SUMIF($C$3:$C$6,"W",K3:K6)</f>
        <v>0</v>
      </c>
      <c r="L9" s="56">
        <f>SUMIF($C$3:$C$6,"W",L3:L6)</f>
        <v>0</v>
      </c>
      <c r="M9" s="57" t="s">
        <v>14</v>
      </c>
      <c r="N9" s="59">
        <f t="shared" ref="N9:Y9" si="5">SUMIF($C$3:$C$6,"W",N3:N6)</f>
        <v>0</v>
      </c>
      <c r="O9" s="59">
        <f t="shared" si="5"/>
        <v>0</v>
      </c>
      <c r="P9" s="59">
        <f t="shared" si="5"/>
        <v>0</v>
      </c>
      <c r="Q9" s="59">
        <f t="shared" si="5"/>
        <v>0</v>
      </c>
      <c r="R9" s="59">
        <f t="shared" si="5"/>
        <v>0</v>
      </c>
      <c r="S9" s="59">
        <f t="shared" si="5"/>
        <v>0</v>
      </c>
      <c r="T9" s="59">
        <f t="shared" si="5"/>
        <v>0</v>
      </c>
      <c r="U9" s="59">
        <f t="shared" si="5"/>
        <v>0</v>
      </c>
      <c r="V9" s="59">
        <f t="shared" si="5"/>
        <v>0</v>
      </c>
      <c r="W9" s="59">
        <f t="shared" si="5"/>
        <v>0</v>
      </c>
      <c r="X9" s="59">
        <f t="shared" si="5"/>
        <v>0</v>
      </c>
      <c r="Y9" s="59">
        <f t="shared" si="5"/>
        <v>0</v>
      </c>
      <c r="Z9" s="1" t="b">
        <f t="shared" si="1"/>
        <v>1</v>
      </c>
      <c r="AA9" s="38" t="e">
        <f t="shared" si="2"/>
        <v>#DIV/0!</v>
      </c>
      <c r="AB9" s="39" t="s">
        <v>14</v>
      </c>
      <c r="AC9" s="39" t="b">
        <f t="shared" si="3"/>
        <v>1</v>
      </c>
      <c r="AD9" s="31"/>
    </row>
    <row r="10" spans="1:30" x14ac:dyDescent="0.25">
      <c r="A10" s="34"/>
    </row>
    <row r="11" spans="1:30" x14ac:dyDescent="0.25">
      <c r="A11" s="29" t="s">
        <v>25</v>
      </c>
    </row>
    <row r="12" spans="1:30" x14ac:dyDescent="0.25">
      <c r="A12" s="30" t="s">
        <v>26</v>
      </c>
    </row>
    <row r="13" spans="1:30" x14ac:dyDescent="0.25">
      <c r="A13" s="29" t="s">
        <v>36</v>
      </c>
    </row>
    <row r="14" spans="1:30" x14ac:dyDescent="0.25">
      <c r="A14" s="35"/>
    </row>
  </sheetData>
  <mergeCells count="17">
    <mergeCell ref="J1:J2"/>
    <mergeCell ref="K1:K2"/>
    <mergeCell ref="L1:L2"/>
    <mergeCell ref="M1:M2"/>
    <mergeCell ref="N1:Y1"/>
    <mergeCell ref="A9:G9"/>
    <mergeCell ref="I1:I2"/>
    <mergeCell ref="A1:A2"/>
    <mergeCell ref="B1:B2"/>
    <mergeCell ref="C1:C2"/>
    <mergeCell ref="F1:F2"/>
    <mergeCell ref="G1:G2"/>
    <mergeCell ref="H1:H2"/>
    <mergeCell ref="D1:D2"/>
    <mergeCell ref="A7:G7"/>
    <mergeCell ref="E1:E2"/>
    <mergeCell ref="A8:G8"/>
  </mergeCells>
  <conditionalFormatting sqref="AC9 Z3:Z9 AA3:AD6">
    <cfRule type="cellIs" dxfId="25" priority="14" operator="equal">
      <formula>FALSE</formula>
    </cfRule>
  </conditionalFormatting>
  <conditionalFormatting sqref="AD9">
    <cfRule type="cellIs" dxfId="24" priority="19" operator="equal">
      <formula>FALSE</formula>
    </cfRule>
  </conditionalFormatting>
  <conditionalFormatting sqref="AD9">
    <cfRule type="cellIs" dxfId="23" priority="18" operator="equal">
      <formula>FALSE</formula>
    </cfRule>
  </conditionalFormatting>
  <conditionalFormatting sqref="AA9:AB9">
    <cfRule type="cellIs" dxfId="22" priority="17" operator="equal">
      <formula>FALSE</formula>
    </cfRule>
  </conditionalFormatting>
  <conditionalFormatting sqref="AA9:AB9 Z3:Z9 Z3:AB6">
    <cfRule type="containsText" dxfId="21" priority="15" operator="containsText" text="fałsz">
      <formula>NOT(ISERROR(SEARCH("fałsz",Z3)))</formula>
    </cfRule>
  </conditionalFormatting>
  <conditionalFormatting sqref="AC9">
    <cfRule type="cellIs" dxfId="20" priority="13" operator="equal">
      <formula>FALSE</formula>
    </cfRule>
  </conditionalFormatting>
  <conditionalFormatting sqref="AD7:AD8">
    <cfRule type="cellIs" dxfId="19" priority="12" operator="equal">
      <formula>FALSE</formula>
    </cfRule>
  </conditionalFormatting>
  <conditionalFormatting sqref="AD7:AD8">
    <cfRule type="cellIs" dxfId="18" priority="11" operator="equal">
      <formula>FALSE</formula>
    </cfRule>
  </conditionalFormatting>
  <conditionalFormatting sqref="AA7:AB7">
    <cfRule type="cellIs" dxfId="17" priority="10" operator="equal">
      <formula>FALSE</formula>
    </cfRule>
  </conditionalFormatting>
  <conditionalFormatting sqref="AA7:AB7">
    <cfRule type="containsText" dxfId="16" priority="8" operator="containsText" text="fałsz">
      <formula>NOT(ISERROR(SEARCH("fałsz",AA7)))</formula>
    </cfRule>
  </conditionalFormatting>
  <conditionalFormatting sqref="AC7">
    <cfRule type="cellIs" dxfId="15" priority="7" operator="equal">
      <formula>FALSE</formula>
    </cfRule>
  </conditionalFormatting>
  <conditionalFormatting sqref="AC7">
    <cfRule type="cellIs" dxfId="14" priority="6" operator="equal">
      <formula>FALSE</formula>
    </cfRule>
  </conditionalFormatting>
  <conditionalFormatting sqref="AA8:AB8">
    <cfRule type="cellIs" dxfId="13" priority="5" operator="equal">
      <formula>FALSE</formula>
    </cfRule>
  </conditionalFormatting>
  <conditionalFormatting sqref="AA8:AB8">
    <cfRule type="containsText" dxfId="12" priority="3" operator="containsText" text="fałsz">
      <formula>NOT(ISERROR(SEARCH("fałsz",AA8)))</formula>
    </cfRule>
  </conditionalFormatting>
  <conditionalFormatting sqref="AC8">
    <cfRule type="cellIs" dxfId="11" priority="2" operator="equal">
      <formula>FALSE</formula>
    </cfRule>
  </conditionalFormatting>
  <conditionalFormatting sqref="AC8">
    <cfRule type="cellIs" dxfId="10" priority="1" operator="equal">
      <formula>FALSE</formula>
    </cfRule>
  </conditionalFormatting>
  <dataValidations count="2">
    <dataValidation type="list" allowBlank="1" showInputMessage="1" showErrorMessage="1" sqref="G3:G6" xr:uid="{00000000-0002-0000-0300-000000000000}">
      <formula1>"B,P,R"</formula1>
    </dataValidation>
    <dataValidation type="list" allowBlank="1" showInputMessage="1" showErrorMessage="1" sqref="C3:C6" xr:uid="{00000000-0002-0000-03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dolnośląskie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50"/>
  <sheetViews>
    <sheetView showGridLines="0" zoomScale="90" zoomScaleNormal="90" zoomScaleSheetLayoutView="85" workbookViewId="0">
      <selection activeCell="Q7" sqref="Q7"/>
    </sheetView>
  </sheetViews>
  <sheetFormatPr defaultColWidth="9.140625" defaultRowHeight="15" x14ac:dyDescent="0.25"/>
  <cols>
    <col min="1" max="1" width="7.5703125" style="217" customWidth="1"/>
    <col min="2" max="2" width="12.140625" style="217" customWidth="1"/>
    <col min="3" max="3" width="8" style="217" customWidth="1"/>
    <col min="4" max="4" width="19.28515625" style="217" customWidth="1"/>
    <col min="5" max="5" width="10.5703125" style="217" customWidth="1"/>
    <col min="6" max="6" width="11.85546875" style="217" customWidth="1"/>
    <col min="7" max="7" width="45.85546875" style="217" customWidth="1"/>
    <col min="8" max="8" width="10.7109375" style="217" customWidth="1"/>
    <col min="9" max="9" width="13.140625" style="217" customWidth="1"/>
    <col min="10" max="11" width="15.7109375" style="217" customWidth="1"/>
    <col min="12" max="12" width="17.7109375" style="217" customWidth="1"/>
    <col min="13" max="13" width="15.7109375" style="217" customWidth="1"/>
    <col min="14" max="14" width="15.7109375" style="238" customWidth="1"/>
    <col min="15" max="26" width="15.7109375" style="217" customWidth="1"/>
    <col min="27" max="30" width="15.7109375" style="11" customWidth="1"/>
    <col min="31" max="16384" width="9.140625" style="11"/>
  </cols>
  <sheetData>
    <row r="1" spans="1:30" ht="20.100000000000001" customHeight="1" x14ac:dyDescent="0.25">
      <c r="A1" s="307" t="s">
        <v>4</v>
      </c>
      <c r="B1" s="307" t="s">
        <v>5</v>
      </c>
      <c r="C1" s="308" t="s">
        <v>46</v>
      </c>
      <c r="D1" s="303" t="s">
        <v>6</v>
      </c>
      <c r="E1" s="303" t="s">
        <v>33</v>
      </c>
      <c r="F1" s="303" t="s">
        <v>15</v>
      </c>
      <c r="G1" s="307" t="s">
        <v>7</v>
      </c>
      <c r="H1" s="307" t="s">
        <v>27</v>
      </c>
      <c r="I1" s="307" t="s">
        <v>8</v>
      </c>
      <c r="J1" s="307" t="s">
        <v>28</v>
      </c>
      <c r="K1" s="307" t="s">
        <v>9</v>
      </c>
      <c r="L1" s="307" t="s">
        <v>10</v>
      </c>
      <c r="M1" s="303" t="s">
        <v>13</v>
      </c>
      <c r="N1" s="307" t="s">
        <v>11</v>
      </c>
      <c r="O1" s="309" t="s">
        <v>12</v>
      </c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</row>
    <row r="2" spans="1:30" ht="20.100000000000001" customHeight="1" x14ac:dyDescent="0.25">
      <c r="A2" s="307"/>
      <c r="B2" s="307"/>
      <c r="C2" s="309"/>
      <c r="D2" s="304"/>
      <c r="E2" s="304"/>
      <c r="F2" s="304"/>
      <c r="G2" s="307"/>
      <c r="H2" s="307"/>
      <c r="I2" s="307"/>
      <c r="J2" s="307"/>
      <c r="K2" s="307"/>
      <c r="L2" s="307"/>
      <c r="M2" s="304"/>
      <c r="N2" s="307"/>
      <c r="O2" s="211">
        <v>2019</v>
      </c>
      <c r="P2" s="211">
        <v>2020</v>
      </c>
      <c r="Q2" s="211">
        <v>2021</v>
      </c>
      <c r="R2" s="211">
        <v>2022</v>
      </c>
      <c r="S2" s="211">
        <v>2023</v>
      </c>
      <c r="T2" s="211">
        <v>2024</v>
      </c>
      <c r="U2" s="211">
        <v>2025</v>
      </c>
      <c r="V2" s="211">
        <v>2026</v>
      </c>
      <c r="W2" s="211">
        <v>2027</v>
      </c>
      <c r="X2" s="211">
        <v>2028</v>
      </c>
      <c r="Y2" s="211">
        <v>2029</v>
      </c>
      <c r="Z2" s="211">
        <v>2030</v>
      </c>
      <c r="AA2" s="1" t="s">
        <v>29</v>
      </c>
      <c r="AB2" s="1" t="s">
        <v>30</v>
      </c>
      <c r="AC2" s="1" t="s">
        <v>31</v>
      </c>
      <c r="AD2" s="37" t="s">
        <v>32</v>
      </c>
    </row>
    <row r="3" spans="1:30" ht="30" customHeight="1" x14ac:dyDescent="0.25">
      <c r="A3" s="216">
        <v>16</v>
      </c>
      <c r="B3" s="180" t="s">
        <v>673</v>
      </c>
      <c r="C3" s="181" t="s">
        <v>85</v>
      </c>
      <c r="D3" s="182" t="s">
        <v>674</v>
      </c>
      <c r="E3" s="182" t="s">
        <v>675</v>
      </c>
      <c r="F3" s="180" t="s">
        <v>581</v>
      </c>
      <c r="G3" s="180" t="s">
        <v>676</v>
      </c>
      <c r="H3" s="180" t="s">
        <v>55</v>
      </c>
      <c r="I3" s="183">
        <v>0.52</v>
      </c>
      <c r="J3" s="184" t="s">
        <v>378</v>
      </c>
      <c r="K3" s="195">
        <v>2351333</v>
      </c>
      <c r="L3" s="185">
        <v>1175666.5</v>
      </c>
      <c r="M3" s="179">
        <v>1175666.5</v>
      </c>
      <c r="N3" s="214">
        <v>0.5</v>
      </c>
      <c r="O3" s="185"/>
      <c r="P3" s="185"/>
      <c r="Q3" s="216"/>
      <c r="R3" s="216"/>
      <c r="S3" s="216"/>
      <c r="T3" s="185">
        <v>1175666.5</v>
      </c>
      <c r="U3" s="176"/>
      <c r="V3" s="176"/>
      <c r="W3" s="216"/>
      <c r="X3" s="216"/>
      <c r="Y3" s="216"/>
      <c r="Z3" s="216"/>
      <c r="AA3" s="1" t="b">
        <f t="shared" ref="AA3:AA38" si="0">L3=SUM(O3:Z3)</f>
        <v>1</v>
      </c>
      <c r="AB3" s="38">
        <f t="shared" ref="AB3:AB38" si="1">ROUND(L3/K3,4)</f>
        <v>0.5</v>
      </c>
      <c r="AC3" s="39" t="b">
        <f t="shared" ref="AC3:AC38" si="2">AB3=N3</f>
        <v>1</v>
      </c>
      <c r="AD3" s="39" t="b">
        <f t="shared" ref="AD3:AD38" si="3">K3=L3+M3</f>
        <v>1</v>
      </c>
    </row>
    <row r="4" spans="1:30" ht="30" customHeight="1" x14ac:dyDescent="0.25">
      <c r="A4" s="216">
        <v>17</v>
      </c>
      <c r="B4" s="180" t="s">
        <v>679</v>
      </c>
      <c r="C4" s="181" t="s">
        <v>85</v>
      </c>
      <c r="D4" s="182" t="s">
        <v>680</v>
      </c>
      <c r="E4" s="182" t="s">
        <v>681</v>
      </c>
      <c r="F4" s="180" t="s">
        <v>324</v>
      </c>
      <c r="G4" s="180" t="s">
        <v>682</v>
      </c>
      <c r="H4" s="180" t="s">
        <v>55</v>
      </c>
      <c r="I4" s="183">
        <v>0.52200000000000002</v>
      </c>
      <c r="J4" s="184" t="s">
        <v>171</v>
      </c>
      <c r="K4" s="195">
        <v>655016</v>
      </c>
      <c r="L4" s="185">
        <v>393009.6</v>
      </c>
      <c r="M4" s="179">
        <v>262006.40000000002</v>
      </c>
      <c r="N4" s="214">
        <v>0.6</v>
      </c>
      <c r="O4" s="185"/>
      <c r="P4" s="185"/>
      <c r="Q4" s="216"/>
      <c r="R4" s="216"/>
      <c r="S4" s="216"/>
      <c r="T4" s="185">
        <v>393009.6</v>
      </c>
      <c r="U4" s="197"/>
      <c r="V4" s="176"/>
      <c r="W4" s="216"/>
      <c r="X4" s="216"/>
      <c r="Y4" s="216"/>
      <c r="Z4" s="216"/>
      <c r="AA4" s="1" t="b">
        <f t="shared" si="0"/>
        <v>1</v>
      </c>
      <c r="AB4" s="38">
        <f t="shared" si="1"/>
        <v>0.6</v>
      </c>
      <c r="AC4" s="39" t="b">
        <f t="shared" si="2"/>
        <v>1</v>
      </c>
      <c r="AD4" s="39" t="b">
        <f t="shared" si="3"/>
        <v>1</v>
      </c>
    </row>
    <row r="5" spans="1:30" ht="30" customHeight="1" x14ac:dyDescent="0.25">
      <c r="A5" s="248">
        <v>18</v>
      </c>
      <c r="B5" s="186" t="s">
        <v>683</v>
      </c>
      <c r="C5" s="187" t="s">
        <v>91</v>
      </c>
      <c r="D5" s="188" t="s">
        <v>684</v>
      </c>
      <c r="E5" s="188" t="s">
        <v>685</v>
      </c>
      <c r="F5" s="186" t="s">
        <v>516</v>
      </c>
      <c r="G5" s="186" t="s">
        <v>686</v>
      </c>
      <c r="H5" s="186" t="s">
        <v>55</v>
      </c>
      <c r="I5" s="189">
        <v>0.92</v>
      </c>
      <c r="J5" s="190" t="s">
        <v>687</v>
      </c>
      <c r="K5" s="197">
        <v>5998870</v>
      </c>
      <c r="L5" s="191">
        <v>2999435</v>
      </c>
      <c r="M5" s="178">
        <v>2999435</v>
      </c>
      <c r="N5" s="215">
        <v>0.5</v>
      </c>
      <c r="O5" s="185"/>
      <c r="P5" s="185"/>
      <c r="Q5" s="216"/>
      <c r="R5" s="216"/>
      <c r="S5" s="216"/>
      <c r="T5" s="191">
        <v>105780</v>
      </c>
      <c r="U5" s="176">
        <v>1102240</v>
      </c>
      <c r="V5" s="176">
        <v>1791415</v>
      </c>
      <c r="W5" s="216"/>
      <c r="X5" s="216"/>
      <c r="Y5" s="216"/>
      <c r="Z5" s="216"/>
      <c r="AA5" s="1" t="b">
        <f t="shared" si="0"/>
        <v>1</v>
      </c>
      <c r="AB5" s="38">
        <f t="shared" si="1"/>
        <v>0.5</v>
      </c>
      <c r="AC5" s="39" t="b">
        <f t="shared" si="2"/>
        <v>1</v>
      </c>
      <c r="AD5" s="39" t="b">
        <f t="shared" si="3"/>
        <v>1</v>
      </c>
    </row>
    <row r="6" spans="1:30" ht="30" customHeight="1" x14ac:dyDescent="0.25">
      <c r="A6" s="216">
        <v>19</v>
      </c>
      <c r="B6" s="180" t="s">
        <v>692</v>
      </c>
      <c r="C6" s="181" t="s">
        <v>85</v>
      </c>
      <c r="D6" s="182" t="s">
        <v>693</v>
      </c>
      <c r="E6" s="182" t="s">
        <v>694</v>
      </c>
      <c r="F6" s="180" t="s">
        <v>647</v>
      </c>
      <c r="G6" s="180" t="s">
        <v>695</v>
      </c>
      <c r="H6" s="180" t="s">
        <v>55</v>
      </c>
      <c r="I6" s="183">
        <v>0.26500000000000001</v>
      </c>
      <c r="J6" s="184" t="s">
        <v>696</v>
      </c>
      <c r="K6" s="195">
        <v>170577</v>
      </c>
      <c r="L6" s="185">
        <v>119403.9</v>
      </c>
      <c r="M6" s="179">
        <v>51173.100000000006</v>
      </c>
      <c r="N6" s="214">
        <v>0.7</v>
      </c>
      <c r="O6" s="185"/>
      <c r="P6" s="185"/>
      <c r="Q6" s="216"/>
      <c r="R6" s="216"/>
      <c r="S6" s="216"/>
      <c r="T6" s="185">
        <v>119403.9</v>
      </c>
      <c r="U6" s="176"/>
      <c r="V6" s="176"/>
      <c r="W6" s="216"/>
      <c r="X6" s="216"/>
      <c r="Y6" s="216"/>
      <c r="Z6" s="216"/>
      <c r="AA6" s="1" t="b">
        <f t="shared" si="0"/>
        <v>1</v>
      </c>
      <c r="AB6" s="38">
        <f t="shared" si="1"/>
        <v>0.7</v>
      </c>
      <c r="AC6" s="39" t="b">
        <f t="shared" si="2"/>
        <v>1</v>
      </c>
      <c r="AD6" s="39" t="b">
        <f t="shared" si="3"/>
        <v>1</v>
      </c>
    </row>
    <row r="7" spans="1:30" ht="40.5" customHeight="1" x14ac:dyDescent="0.25">
      <c r="A7" s="216">
        <v>20</v>
      </c>
      <c r="B7" s="180" t="s">
        <v>699</v>
      </c>
      <c r="C7" s="181" t="s">
        <v>85</v>
      </c>
      <c r="D7" s="182" t="s">
        <v>700</v>
      </c>
      <c r="E7" s="182" t="s">
        <v>701</v>
      </c>
      <c r="F7" s="180" t="s">
        <v>362</v>
      </c>
      <c r="G7" s="180" t="s">
        <v>702</v>
      </c>
      <c r="H7" s="180"/>
      <c r="I7" s="183">
        <v>0.30299999999999999</v>
      </c>
      <c r="J7" s="184" t="s">
        <v>703</v>
      </c>
      <c r="K7" s="195">
        <v>435194</v>
      </c>
      <c r="L7" s="185">
        <v>304635.8</v>
      </c>
      <c r="M7" s="179">
        <v>130558.20000000001</v>
      </c>
      <c r="N7" s="214">
        <v>0.7</v>
      </c>
      <c r="O7" s="185"/>
      <c r="P7" s="185"/>
      <c r="Q7" s="216"/>
      <c r="R7" s="216"/>
      <c r="S7" s="216"/>
      <c r="T7" s="185">
        <v>304635.8</v>
      </c>
      <c r="U7" s="206"/>
      <c r="V7" s="208"/>
      <c r="W7" s="216"/>
      <c r="X7" s="216"/>
      <c r="Y7" s="216"/>
      <c r="Z7" s="216"/>
      <c r="AA7" s="1" t="b">
        <f t="shared" si="0"/>
        <v>1</v>
      </c>
      <c r="AB7" s="38">
        <f t="shared" si="1"/>
        <v>0.7</v>
      </c>
      <c r="AC7" s="39" t="b">
        <f t="shared" si="2"/>
        <v>1</v>
      </c>
      <c r="AD7" s="39" t="b">
        <f t="shared" si="3"/>
        <v>1</v>
      </c>
    </row>
    <row r="8" spans="1:30" ht="30" customHeight="1" x14ac:dyDescent="0.25">
      <c r="A8" s="216">
        <v>21</v>
      </c>
      <c r="B8" s="180" t="s">
        <v>704</v>
      </c>
      <c r="C8" s="181" t="s">
        <v>85</v>
      </c>
      <c r="D8" s="182" t="s">
        <v>705</v>
      </c>
      <c r="E8" s="182" t="s">
        <v>706</v>
      </c>
      <c r="F8" s="180" t="s">
        <v>707</v>
      </c>
      <c r="G8" s="180" t="s">
        <v>708</v>
      </c>
      <c r="H8" s="180" t="s">
        <v>55</v>
      </c>
      <c r="I8" s="183">
        <v>0.312</v>
      </c>
      <c r="J8" s="184" t="s">
        <v>186</v>
      </c>
      <c r="K8" s="195">
        <v>5000000</v>
      </c>
      <c r="L8" s="185">
        <v>4000000</v>
      </c>
      <c r="M8" s="179">
        <v>1000000</v>
      </c>
      <c r="N8" s="214">
        <v>0.8</v>
      </c>
      <c r="O8" s="185"/>
      <c r="P8" s="185"/>
      <c r="Q8" s="216"/>
      <c r="R8" s="216"/>
      <c r="S8" s="216"/>
      <c r="T8" s="185">
        <v>4000000</v>
      </c>
      <c r="U8" s="206"/>
      <c r="V8" s="208"/>
      <c r="W8" s="216"/>
      <c r="X8" s="216"/>
      <c r="Y8" s="216"/>
      <c r="Z8" s="216"/>
      <c r="AA8" s="1" t="b">
        <f t="shared" si="0"/>
        <v>1</v>
      </c>
      <c r="AB8" s="38">
        <f t="shared" si="1"/>
        <v>0.8</v>
      </c>
      <c r="AC8" s="39" t="b">
        <f t="shared" si="2"/>
        <v>1</v>
      </c>
      <c r="AD8" s="39" t="b">
        <f t="shared" si="3"/>
        <v>1</v>
      </c>
    </row>
    <row r="9" spans="1:30" ht="30" customHeight="1" x14ac:dyDescent="0.25">
      <c r="A9" s="216">
        <v>22</v>
      </c>
      <c r="B9" s="180" t="s">
        <v>709</v>
      </c>
      <c r="C9" s="181" t="s">
        <v>85</v>
      </c>
      <c r="D9" s="182" t="s">
        <v>710</v>
      </c>
      <c r="E9" s="182" t="s">
        <v>869</v>
      </c>
      <c r="F9" s="180" t="s">
        <v>362</v>
      </c>
      <c r="G9" s="180" t="s">
        <v>711</v>
      </c>
      <c r="H9" s="180" t="s">
        <v>55</v>
      </c>
      <c r="I9" s="183">
        <v>0.46800000000000003</v>
      </c>
      <c r="J9" s="184" t="s">
        <v>348</v>
      </c>
      <c r="K9" s="195">
        <v>542240</v>
      </c>
      <c r="L9" s="185">
        <v>433792</v>
      </c>
      <c r="M9" s="179">
        <v>108448</v>
      </c>
      <c r="N9" s="214">
        <v>0.8</v>
      </c>
      <c r="O9" s="185"/>
      <c r="P9" s="185"/>
      <c r="Q9" s="216"/>
      <c r="R9" s="216"/>
      <c r="S9" s="216"/>
      <c r="T9" s="185">
        <v>433792</v>
      </c>
      <c r="U9" s="197"/>
      <c r="V9" s="208"/>
      <c r="W9" s="216"/>
      <c r="X9" s="216"/>
      <c r="Y9" s="216"/>
      <c r="Z9" s="216"/>
      <c r="AA9" s="1" t="b">
        <f t="shared" si="0"/>
        <v>1</v>
      </c>
      <c r="AB9" s="38">
        <f t="shared" si="1"/>
        <v>0.8</v>
      </c>
      <c r="AC9" s="39" t="b">
        <f t="shared" si="2"/>
        <v>1</v>
      </c>
      <c r="AD9" s="39" t="b">
        <f t="shared" si="3"/>
        <v>1</v>
      </c>
    </row>
    <row r="10" spans="1:30" ht="30" customHeight="1" x14ac:dyDescent="0.25">
      <c r="A10" s="216">
        <v>23</v>
      </c>
      <c r="B10" s="180" t="s">
        <v>712</v>
      </c>
      <c r="C10" s="181" t="s">
        <v>85</v>
      </c>
      <c r="D10" s="182" t="s">
        <v>713</v>
      </c>
      <c r="E10" s="182" t="s">
        <v>714</v>
      </c>
      <c r="F10" s="180" t="s">
        <v>491</v>
      </c>
      <c r="G10" s="180" t="s">
        <v>715</v>
      </c>
      <c r="H10" s="180" t="s">
        <v>55</v>
      </c>
      <c r="I10" s="183">
        <v>0.254</v>
      </c>
      <c r="J10" s="184" t="s">
        <v>716</v>
      </c>
      <c r="K10" s="195">
        <v>741000</v>
      </c>
      <c r="L10" s="185">
        <v>592800</v>
      </c>
      <c r="M10" s="179">
        <v>148200</v>
      </c>
      <c r="N10" s="214">
        <v>0.8</v>
      </c>
      <c r="O10" s="185"/>
      <c r="P10" s="185"/>
      <c r="Q10" s="216"/>
      <c r="R10" s="216"/>
      <c r="S10" s="216"/>
      <c r="T10" s="185">
        <v>592800</v>
      </c>
      <c r="U10" s="206"/>
      <c r="V10" s="208"/>
      <c r="W10" s="216"/>
      <c r="X10" s="216"/>
      <c r="Y10" s="216"/>
      <c r="Z10" s="216"/>
      <c r="AA10" s="1" t="b">
        <f t="shared" si="0"/>
        <v>1</v>
      </c>
      <c r="AB10" s="38">
        <f t="shared" si="1"/>
        <v>0.8</v>
      </c>
      <c r="AC10" s="39" t="b">
        <f t="shared" si="2"/>
        <v>1</v>
      </c>
      <c r="AD10" s="39" t="b">
        <f t="shared" si="3"/>
        <v>1</v>
      </c>
    </row>
    <row r="11" spans="1:30" ht="30" customHeight="1" x14ac:dyDescent="0.25">
      <c r="A11" s="216">
        <v>24</v>
      </c>
      <c r="B11" s="180" t="s">
        <v>721</v>
      </c>
      <c r="C11" s="181" t="s">
        <v>85</v>
      </c>
      <c r="D11" s="182" t="s">
        <v>722</v>
      </c>
      <c r="E11" s="182" t="s">
        <v>723</v>
      </c>
      <c r="F11" s="180" t="s">
        <v>491</v>
      </c>
      <c r="G11" s="180" t="s">
        <v>724</v>
      </c>
      <c r="H11" s="180" t="s">
        <v>55</v>
      </c>
      <c r="I11" s="183">
        <v>0.42499999999999999</v>
      </c>
      <c r="J11" s="184" t="s">
        <v>725</v>
      </c>
      <c r="K11" s="195">
        <v>1496162</v>
      </c>
      <c r="L11" s="185">
        <v>897697.2</v>
      </c>
      <c r="M11" s="179">
        <v>598464.80000000005</v>
      </c>
      <c r="N11" s="214">
        <v>0.6</v>
      </c>
      <c r="O11" s="185"/>
      <c r="P11" s="185"/>
      <c r="Q11" s="216"/>
      <c r="R11" s="216"/>
      <c r="S11" s="216"/>
      <c r="T11" s="185">
        <v>897697.2</v>
      </c>
      <c r="U11" s="206"/>
      <c r="V11" s="176"/>
      <c r="W11" s="216"/>
      <c r="X11" s="216"/>
      <c r="Y11" s="216"/>
      <c r="Z11" s="216"/>
      <c r="AA11" s="1" t="b">
        <f t="shared" si="0"/>
        <v>1</v>
      </c>
      <c r="AB11" s="38">
        <f t="shared" si="1"/>
        <v>0.6</v>
      </c>
      <c r="AC11" s="39" t="b">
        <f t="shared" si="2"/>
        <v>1</v>
      </c>
      <c r="AD11" s="39" t="b">
        <f t="shared" si="3"/>
        <v>1</v>
      </c>
    </row>
    <row r="12" spans="1:30" ht="30" customHeight="1" x14ac:dyDescent="0.25">
      <c r="A12" s="216">
        <v>25</v>
      </c>
      <c r="B12" s="180" t="s">
        <v>726</v>
      </c>
      <c r="C12" s="181" t="s">
        <v>85</v>
      </c>
      <c r="D12" s="182" t="s">
        <v>634</v>
      </c>
      <c r="E12" s="182" t="s">
        <v>635</v>
      </c>
      <c r="F12" s="180" t="s">
        <v>256</v>
      </c>
      <c r="G12" s="180" t="s">
        <v>727</v>
      </c>
      <c r="H12" s="180" t="s">
        <v>61</v>
      </c>
      <c r="I12" s="183">
        <v>1.25</v>
      </c>
      <c r="J12" s="184" t="s">
        <v>637</v>
      </c>
      <c r="K12" s="195">
        <v>2248869</v>
      </c>
      <c r="L12" s="185">
        <v>1124434.5</v>
      </c>
      <c r="M12" s="179">
        <v>1124434.5</v>
      </c>
      <c r="N12" s="214">
        <v>0.5</v>
      </c>
      <c r="O12" s="185"/>
      <c r="P12" s="185"/>
      <c r="Q12" s="216"/>
      <c r="R12" s="216"/>
      <c r="S12" s="216"/>
      <c r="T12" s="185">
        <v>1124434.5</v>
      </c>
      <c r="U12" s="176"/>
      <c r="V12" s="176"/>
      <c r="W12" s="216"/>
      <c r="X12" s="216"/>
      <c r="Y12" s="216"/>
      <c r="Z12" s="216"/>
      <c r="AA12" s="1" t="b">
        <f t="shared" si="0"/>
        <v>1</v>
      </c>
      <c r="AB12" s="38">
        <f t="shared" si="1"/>
        <v>0.5</v>
      </c>
      <c r="AC12" s="39" t="b">
        <f t="shared" si="2"/>
        <v>1</v>
      </c>
      <c r="AD12" s="39" t="b">
        <f t="shared" si="3"/>
        <v>1</v>
      </c>
    </row>
    <row r="13" spans="1:30" ht="30" customHeight="1" x14ac:dyDescent="0.25">
      <c r="A13" s="216">
        <v>26</v>
      </c>
      <c r="B13" s="180" t="s">
        <v>728</v>
      </c>
      <c r="C13" s="181" t="s">
        <v>85</v>
      </c>
      <c r="D13" s="182" t="s">
        <v>360</v>
      </c>
      <c r="E13" s="182" t="s">
        <v>361</v>
      </c>
      <c r="F13" s="180" t="s">
        <v>362</v>
      </c>
      <c r="G13" s="180" t="s">
        <v>729</v>
      </c>
      <c r="H13" s="180" t="s">
        <v>55</v>
      </c>
      <c r="I13" s="183">
        <v>0.46600000000000003</v>
      </c>
      <c r="J13" s="184" t="s">
        <v>730</v>
      </c>
      <c r="K13" s="195">
        <v>947726</v>
      </c>
      <c r="L13" s="185">
        <v>758180.8</v>
      </c>
      <c r="M13" s="179">
        <v>189545.19999999995</v>
      </c>
      <c r="N13" s="214">
        <v>0.8</v>
      </c>
      <c r="O13" s="185"/>
      <c r="P13" s="185"/>
      <c r="Q13" s="216"/>
      <c r="R13" s="216"/>
      <c r="S13" s="216"/>
      <c r="T13" s="185">
        <v>758180.8</v>
      </c>
      <c r="U13" s="176"/>
      <c r="V13" s="176"/>
      <c r="W13" s="216"/>
      <c r="X13" s="216"/>
      <c r="Y13" s="216"/>
      <c r="Z13" s="216"/>
      <c r="AA13" s="1" t="b">
        <f t="shared" si="0"/>
        <v>1</v>
      </c>
      <c r="AB13" s="38">
        <f t="shared" si="1"/>
        <v>0.8</v>
      </c>
      <c r="AC13" s="39" t="b">
        <f t="shared" si="2"/>
        <v>1</v>
      </c>
      <c r="AD13" s="39" t="b">
        <f t="shared" si="3"/>
        <v>1</v>
      </c>
    </row>
    <row r="14" spans="1:30" ht="30" customHeight="1" x14ac:dyDescent="0.25">
      <c r="A14" s="216">
        <v>27</v>
      </c>
      <c r="B14" s="180" t="s">
        <v>731</v>
      </c>
      <c r="C14" s="181" t="s">
        <v>85</v>
      </c>
      <c r="D14" s="182" t="s">
        <v>732</v>
      </c>
      <c r="E14" s="182" t="s">
        <v>733</v>
      </c>
      <c r="F14" s="180" t="s">
        <v>561</v>
      </c>
      <c r="G14" s="180" t="s">
        <v>734</v>
      </c>
      <c r="H14" s="180" t="s">
        <v>55</v>
      </c>
      <c r="I14" s="183">
        <v>0.44800000000000001</v>
      </c>
      <c r="J14" s="184" t="s">
        <v>108</v>
      </c>
      <c r="K14" s="195">
        <v>1614955</v>
      </c>
      <c r="L14" s="185">
        <v>1130468.5</v>
      </c>
      <c r="M14" s="179">
        <v>484486.5</v>
      </c>
      <c r="N14" s="214">
        <v>0.7</v>
      </c>
      <c r="O14" s="185"/>
      <c r="P14" s="185"/>
      <c r="Q14" s="216"/>
      <c r="R14" s="216"/>
      <c r="S14" s="216"/>
      <c r="T14" s="185">
        <v>1130468.5</v>
      </c>
      <c r="U14" s="176"/>
      <c r="V14" s="176"/>
      <c r="W14" s="216"/>
      <c r="X14" s="216"/>
      <c r="Y14" s="216"/>
      <c r="Z14" s="216"/>
      <c r="AA14" s="1" t="b">
        <f t="shared" si="0"/>
        <v>1</v>
      </c>
      <c r="AB14" s="38">
        <f t="shared" si="1"/>
        <v>0.7</v>
      </c>
      <c r="AC14" s="39" t="b">
        <f t="shared" si="2"/>
        <v>1</v>
      </c>
      <c r="AD14" s="39" t="b">
        <f t="shared" si="3"/>
        <v>1</v>
      </c>
    </row>
    <row r="15" spans="1:30" ht="30" customHeight="1" x14ac:dyDescent="0.25">
      <c r="A15" s="216">
        <v>28</v>
      </c>
      <c r="B15" s="180" t="s">
        <v>735</v>
      </c>
      <c r="C15" s="181" t="s">
        <v>85</v>
      </c>
      <c r="D15" s="182" t="s">
        <v>473</v>
      </c>
      <c r="E15" s="182" t="s">
        <v>873</v>
      </c>
      <c r="F15" s="180" t="s">
        <v>371</v>
      </c>
      <c r="G15" s="180" t="s">
        <v>736</v>
      </c>
      <c r="H15" s="180" t="s">
        <v>55</v>
      </c>
      <c r="I15" s="183">
        <v>0.26</v>
      </c>
      <c r="J15" s="184" t="s">
        <v>511</v>
      </c>
      <c r="K15" s="195">
        <v>2142015</v>
      </c>
      <c r="L15" s="185">
        <v>1713612</v>
      </c>
      <c r="M15" s="179">
        <v>428403</v>
      </c>
      <c r="N15" s="214">
        <v>0.8</v>
      </c>
      <c r="O15" s="185"/>
      <c r="P15" s="185"/>
      <c r="Q15" s="216"/>
      <c r="R15" s="216"/>
      <c r="S15" s="216"/>
      <c r="T15" s="185">
        <v>1713612</v>
      </c>
      <c r="U15" s="176"/>
      <c r="V15" s="176"/>
      <c r="W15" s="216"/>
      <c r="X15" s="216"/>
      <c r="Y15" s="216"/>
      <c r="Z15" s="216"/>
      <c r="AA15" s="1" t="b">
        <f t="shared" si="0"/>
        <v>1</v>
      </c>
      <c r="AB15" s="38">
        <f t="shared" si="1"/>
        <v>0.8</v>
      </c>
      <c r="AC15" s="39" t="b">
        <f t="shared" si="2"/>
        <v>1</v>
      </c>
      <c r="AD15" s="39" t="b">
        <f t="shared" si="3"/>
        <v>1</v>
      </c>
    </row>
    <row r="16" spans="1:30" ht="43.5" customHeight="1" x14ac:dyDescent="0.25">
      <c r="A16" s="248">
        <v>29</v>
      </c>
      <c r="B16" s="186" t="s">
        <v>737</v>
      </c>
      <c r="C16" s="187" t="s">
        <v>91</v>
      </c>
      <c r="D16" s="188" t="s">
        <v>738</v>
      </c>
      <c r="E16" s="188" t="s">
        <v>205</v>
      </c>
      <c r="F16" s="186" t="s">
        <v>206</v>
      </c>
      <c r="G16" s="186" t="s">
        <v>739</v>
      </c>
      <c r="H16" s="186" t="s">
        <v>82</v>
      </c>
      <c r="I16" s="189">
        <v>1.75</v>
      </c>
      <c r="J16" s="190" t="s">
        <v>178</v>
      </c>
      <c r="K16" s="197">
        <v>15104890</v>
      </c>
      <c r="L16" s="191">
        <v>12083912</v>
      </c>
      <c r="M16" s="178">
        <v>3020978</v>
      </c>
      <c r="N16" s="215">
        <v>0.8</v>
      </c>
      <c r="O16" s="185"/>
      <c r="P16" s="185"/>
      <c r="Q16" s="216"/>
      <c r="R16" s="216"/>
      <c r="S16" s="216"/>
      <c r="T16" s="191">
        <v>2169785.6</v>
      </c>
      <c r="U16" s="176">
        <v>9914126.4000000004</v>
      </c>
      <c r="V16" s="176"/>
      <c r="W16" s="216"/>
      <c r="X16" s="216"/>
      <c r="Y16" s="216"/>
      <c r="Z16" s="216"/>
      <c r="AA16" s="1" t="b">
        <f t="shared" si="0"/>
        <v>1</v>
      </c>
      <c r="AB16" s="38">
        <f t="shared" si="1"/>
        <v>0.8</v>
      </c>
      <c r="AC16" s="39" t="b">
        <f t="shared" si="2"/>
        <v>1</v>
      </c>
      <c r="AD16" s="39" t="b">
        <f t="shared" si="3"/>
        <v>1</v>
      </c>
    </row>
    <row r="17" spans="1:30" ht="30" customHeight="1" x14ac:dyDescent="0.25">
      <c r="A17" s="216">
        <v>30</v>
      </c>
      <c r="B17" s="180" t="s">
        <v>744</v>
      </c>
      <c r="C17" s="181" t="s">
        <v>85</v>
      </c>
      <c r="D17" s="182" t="s">
        <v>745</v>
      </c>
      <c r="E17" s="182" t="s">
        <v>746</v>
      </c>
      <c r="F17" s="180" t="s">
        <v>347</v>
      </c>
      <c r="G17" s="180" t="s">
        <v>747</v>
      </c>
      <c r="H17" s="180" t="s">
        <v>55</v>
      </c>
      <c r="I17" s="183">
        <v>0.4</v>
      </c>
      <c r="J17" s="184" t="s">
        <v>748</v>
      </c>
      <c r="K17" s="195">
        <v>596164</v>
      </c>
      <c r="L17" s="185">
        <v>417314.8</v>
      </c>
      <c r="M17" s="179">
        <v>178849.2</v>
      </c>
      <c r="N17" s="214">
        <v>0.7</v>
      </c>
      <c r="O17" s="185"/>
      <c r="P17" s="185"/>
      <c r="Q17" s="216"/>
      <c r="R17" s="216"/>
      <c r="S17" s="216"/>
      <c r="T17" s="185">
        <v>417314.8</v>
      </c>
      <c r="U17" s="176"/>
      <c r="V17" s="176"/>
      <c r="W17" s="216"/>
      <c r="X17" s="216"/>
      <c r="Y17" s="216"/>
      <c r="Z17" s="216"/>
      <c r="AA17" s="1" t="b">
        <f t="shared" si="0"/>
        <v>1</v>
      </c>
      <c r="AB17" s="38">
        <f t="shared" si="1"/>
        <v>0.7</v>
      </c>
      <c r="AC17" s="39" t="b">
        <f t="shared" si="2"/>
        <v>1</v>
      </c>
      <c r="AD17" s="39" t="b">
        <f t="shared" si="3"/>
        <v>1</v>
      </c>
    </row>
    <row r="18" spans="1:30" ht="58.5" customHeight="1" x14ac:dyDescent="0.25">
      <c r="A18" s="216">
        <v>31</v>
      </c>
      <c r="B18" s="180" t="s">
        <v>749</v>
      </c>
      <c r="C18" s="181" t="s">
        <v>85</v>
      </c>
      <c r="D18" s="182" t="s">
        <v>750</v>
      </c>
      <c r="E18" s="182" t="s">
        <v>751</v>
      </c>
      <c r="F18" s="180" t="s">
        <v>516</v>
      </c>
      <c r="G18" s="180" t="s">
        <v>752</v>
      </c>
      <c r="H18" s="180" t="s">
        <v>82</v>
      </c>
      <c r="I18" s="183">
        <v>0.52</v>
      </c>
      <c r="J18" s="184" t="s">
        <v>89</v>
      </c>
      <c r="K18" s="195">
        <v>4480000</v>
      </c>
      <c r="L18" s="185">
        <v>3584000</v>
      </c>
      <c r="M18" s="179">
        <v>896000</v>
      </c>
      <c r="N18" s="214">
        <v>0.8</v>
      </c>
      <c r="O18" s="185"/>
      <c r="P18" s="185"/>
      <c r="Q18" s="216"/>
      <c r="R18" s="216"/>
      <c r="S18" s="216"/>
      <c r="T18" s="185">
        <v>3584000</v>
      </c>
      <c r="U18" s="206"/>
      <c r="V18" s="208"/>
      <c r="W18" s="216"/>
      <c r="X18" s="216"/>
      <c r="Y18" s="216"/>
      <c r="Z18" s="216"/>
      <c r="AA18" s="1" t="b">
        <f t="shared" si="0"/>
        <v>1</v>
      </c>
      <c r="AB18" s="38">
        <f t="shared" si="1"/>
        <v>0.8</v>
      </c>
      <c r="AC18" s="39" t="b">
        <f t="shared" si="2"/>
        <v>1</v>
      </c>
      <c r="AD18" s="39" t="b">
        <f t="shared" si="3"/>
        <v>1</v>
      </c>
    </row>
    <row r="19" spans="1:30" ht="30" customHeight="1" x14ac:dyDescent="0.25">
      <c r="A19" s="216">
        <v>32</v>
      </c>
      <c r="B19" s="180" t="s">
        <v>753</v>
      </c>
      <c r="C19" s="181" t="s">
        <v>85</v>
      </c>
      <c r="D19" s="182" t="s">
        <v>625</v>
      </c>
      <c r="E19" s="182" t="s">
        <v>626</v>
      </c>
      <c r="F19" s="180" t="s">
        <v>280</v>
      </c>
      <c r="G19" s="180" t="s">
        <v>754</v>
      </c>
      <c r="H19" s="180" t="s">
        <v>61</v>
      </c>
      <c r="I19" s="183">
        <v>0.33500000000000002</v>
      </c>
      <c r="J19" s="184" t="s">
        <v>89</v>
      </c>
      <c r="K19" s="195">
        <v>812400</v>
      </c>
      <c r="L19" s="185">
        <v>487440</v>
      </c>
      <c r="M19" s="179">
        <v>324960</v>
      </c>
      <c r="N19" s="214">
        <v>0.6</v>
      </c>
      <c r="O19" s="185"/>
      <c r="P19" s="185"/>
      <c r="Q19" s="216"/>
      <c r="R19" s="216"/>
      <c r="S19" s="216"/>
      <c r="T19" s="185">
        <v>487440</v>
      </c>
      <c r="U19" s="176"/>
      <c r="V19" s="176"/>
      <c r="W19" s="216"/>
      <c r="X19" s="216"/>
      <c r="Y19" s="216"/>
      <c r="Z19" s="216"/>
      <c r="AA19" s="1" t="b">
        <f t="shared" si="0"/>
        <v>1</v>
      </c>
      <c r="AB19" s="38">
        <f t="shared" si="1"/>
        <v>0.6</v>
      </c>
      <c r="AC19" s="39" t="b">
        <f t="shared" si="2"/>
        <v>1</v>
      </c>
      <c r="AD19" s="39" t="b">
        <f t="shared" si="3"/>
        <v>1</v>
      </c>
    </row>
    <row r="20" spans="1:30" ht="30" customHeight="1" x14ac:dyDescent="0.25">
      <c r="A20" s="216">
        <v>33</v>
      </c>
      <c r="B20" s="180" t="s">
        <v>755</v>
      </c>
      <c r="C20" s="181" t="s">
        <v>85</v>
      </c>
      <c r="D20" s="182" t="s">
        <v>684</v>
      </c>
      <c r="E20" s="182" t="s">
        <v>685</v>
      </c>
      <c r="F20" s="180" t="s">
        <v>516</v>
      </c>
      <c r="G20" s="180" t="s">
        <v>756</v>
      </c>
      <c r="H20" s="180" t="s">
        <v>61</v>
      </c>
      <c r="I20" s="183">
        <v>2.3519999999999999</v>
      </c>
      <c r="J20" s="184" t="s">
        <v>487</v>
      </c>
      <c r="K20" s="195">
        <v>1905000</v>
      </c>
      <c r="L20" s="185">
        <v>952500</v>
      </c>
      <c r="M20" s="179">
        <v>952500</v>
      </c>
      <c r="N20" s="214">
        <v>0.5</v>
      </c>
      <c r="O20" s="185"/>
      <c r="P20" s="185"/>
      <c r="Q20" s="216"/>
      <c r="R20" s="216"/>
      <c r="S20" s="216"/>
      <c r="T20" s="185">
        <v>952500</v>
      </c>
      <c r="U20" s="176"/>
      <c r="V20" s="176"/>
      <c r="W20" s="216"/>
      <c r="X20" s="216"/>
      <c r="Y20" s="216"/>
      <c r="Z20" s="216"/>
      <c r="AA20" s="1" t="b">
        <f t="shared" si="0"/>
        <v>1</v>
      </c>
      <c r="AB20" s="38">
        <f t="shared" si="1"/>
        <v>0.5</v>
      </c>
      <c r="AC20" s="39" t="b">
        <f t="shared" si="2"/>
        <v>1</v>
      </c>
      <c r="AD20" s="39" t="b">
        <f t="shared" si="3"/>
        <v>1</v>
      </c>
    </row>
    <row r="21" spans="1:30" ht="30" customHeight="1" x14ac:dyDescent="0.25">
      <c r="A21" s="216">
        <v>34</v>
      </c>
      <c r="B21" s="180" t="s">
        <v>757</v>
      </c>
      <c r="C21" s="181" t="s">
        <v>85</v>
      </c>
      <c r="D21" s="182" t="s">
        <v>758</v>
      </c>
      <c r="E21" s="182" t="s">
        <v>759</v>
      </c>
      <c r="F21" s="180" t="s">
        <v>516</v>
      </c>
      <c r="G21" s="180" t="s">
        <v>760</v>
      </c>
      <c r="H21" s="180" t="s">
        <v>55</v>
      </c>
      <c r="I21" s="183">
        <v>0.65</v>
      </c>
      <c r="J21" s="184" t="s">
        <v>468</v>
      </c>
      <c r="K21" s="195">
        <v>3102551</v>
      </c>
      <c r="L21" s="185">
        <v>1551275.5</v>
      </c>
      <c r="M21" s="179">
        <v>1551275.5</v>
      </c>
      <c r="N21" s="214">
        <v>0.5</v>
      </c>
      <c r="O21" s="185"/>
      <c r="P21" s="185"/>
      <c r="Q21" s="216"/>
      <c r="R21" s="216"/>
      <c r="S21" s="216"/>
      <c r="T21" s="185">
        <v>1551275.5</v>
      </c>
      <c r="U21" s="197"/>
      <c r="V21" s="208"/>
      <c r="W21" s="216"/>
      <c r="X21" s="216"/>
      <c r="Y21" s="216"/>
      <c r="Z21" s="216"/>
      <c r="AA21" s="1" t="b">
        <f t="shared" si="0"/>
        <v>1</v>
      </c>
      <c r="AB21" s="38">
        <f t="shared" si="1"/>
        <v>0.5</v>
      </c>
      <c r="AC21" s="39" t="b">
        <f t="shared" si="2"/>
        <v>1</v>
      </c>
      <c r="AD21" s="39" t="b">
        <f t="shared" si="3"/>
        <v>1</v>
      </c>
    </row>
    <row r="22" spans="1:30" ht="30" customHeight="1" x14ac:dyDescent="0.25">
      <c r="A22" s="248">
        <v>35</v>
      </c>
      <c r="B22" s="186" t="s">
        <v>767</v>
      </c>
      <c r="C22" s="187" t="s">
        <v>91</v>
      </c>
      <c r="D22" s="188" t="s">
        <v>768</v>
      </c>
      <c r="E22" s="188" t="s">
        <v>879</v>
      </c>
      <c r="F22" s="186" t="s">
        <v>377</v>
      </c>
      <c r="G22" s="186" t="s">
        <v>769</v>
      </c>
      <c r="H22" s="186" t="s">
        <v>55</v>
      </c>
      <c r="I22" s="189">
        <v>0.91</v>
      </c>
      <c r="J22" s="190" t="s">
        <v>770</v>
      </c>
      <c r="K22" s="197">
        <v>5276557</v>
      </c>
      <c r="L22" s="191">
        <v>2638278.5</v>
      </c>
      <c r="M22" s="178">
        <v>2638278.5</v>
      </c>
      <c r="N22" s="215">
        <v>0.5</v>
      </c>
      <c r="O22" s="185"/>
      <c r="P22" s="185"/>
      <c r="Q22" s="216"/>
      <c r="R22" s="216"/>
      <c r="S22" s="216"/>
      <c r="T22" s="191">
        <v>1846795</v>
      </c>
      <c r="U22" s="176">
        <v>791483.5</v>
      </c>
      <c r="V22" s="176"/>
      <c r="W22" s="216"/>
      <c r="X22" s="216"/>
      <c r="Y22" s="216"/>
      <c r="Z22" s="216"/>
      <c r="AA22" s="1" t="b">
        <f t="shared" si="0"/>
        <v>1</v>
      </c>
      <c r="AB22" s="38">
        <f t="shared" si="1"/>
        <v>0.5</v>
      </c>
      <c r="AC22" s="39" t="b">
        <f t="shared" si="2"/>
        <v>1</v>
      </c>
      <c r="AD22" s="39" t="b">
        <f t="shared" si="3"/>
        <v>1</v>
      </c>
    </row>
    <row r="23" spans="1:30" ht="30" customHeight="1" x14ac:dyDescent="0.25">
      <c r="A23" s="216">
        <v>36</v>
      </c>
      <c r="B23" s="180" t="s">
        <v>773</v>
      </c>
      <c r="C23" s="181" t="s">
        <v>85</v>
      </c>
      <c r="D23" s="182" t="s">
        <v>774</v>
      </c>
      <c r="E23" s="182" t="s">
        <v>878</v>
      </c>
      <c r="F23" s="180" t="s">
        <v>647</v>
      </c>
      <c r="G23" s="180" t="s">
        <v>775</v>
      </c>
      <c r="H23" s="180" t="s">
        <v>55</v>
      </c>
      <c r="I23" s="183">
        <v>2.9499999999999998E-2</v>
      </c>
      <c r="J23" s="184" t="s">
        <v>171</v>
      </c>
      <c r="K23" s="195">
        <v>2697093</v>
      </c>
      <c r="L23" s="185">
        <v>1618255.8</v>
      </c>
      <c r="M23" s="179">
        <v>1078837.2</v>
      </c>
      <c r="N23" s="214">
        <v>0.6</v>
      </c>
      <c r="O23" s="185"/>
      <c r="P23" s="185"/>
      <c r="Q23" s="216"/>
      <c r="R23" s="216"/>
      <c r="S23" s="216"/>
      <c r="T23" s="185">
        <v>1618255.8</v>
      </c>
      <c r="U23" s="197"/>
      <c r="V23" s="208"/>
      <c r="W23" s="216"/>
      <c r="X23" s="216"/>
      <c r="Y23" s="216"/>
      <c r="Z23" s="216"/>
      <c r="AA23" s="1" t="b">
        <f t="shared" si="0"/>
        <v>1</v>
      </c>
      <c r="AB23" s="38">
        <f t="shared" si="1"/>
        <v>0.6</v>
      </c>
      <c r="AC23" s="39" t="b">
        <f t="shared" si="2"/>
        <v>1</v>
      </c>
      <c r="AD23" s="39" t="b">
        <f t="shared" si="3"/>
        <v>1</v>
      </c>
    </row>
    <row r="24" spans="1:30" ht="58.5" customHeight="1" x14ac:dyDescent="0.25">
      <c r="A24" s="216">
        <v>37</v>
      </c>
      <c r="B24" s="180" t="s">
        <v>783</v>
      </c>
      <c r="C24" s="181" t="s">
        <v>85</v>
      </c>
      <c r="D24" s="182" t="s">
        <v>552</v>
      </c>
      <c r="E24" s="182" t="s">
        <v>553</v>
      </c>
      <c r="F24" s="180" t="s">
        <v>206</v>
      </c>
      <c r="G24" s="180" t="s">
        <v>784</v>
      </c>
      <c r="H24" s="180" t="s">
        <v>82</v>
      </c>
      <c r="I24" s="183">
        <v>0.191</v>
      </c>
      <c r="J24" s="184" t="s">
        <v>181</v>
      </c>
      <c r="K24" s="195">
        <v>2200964</v>
      </c>
      <c r="L24" s="185">
        <v>1100482</v>
      </c>
      <c r="M24" s="179">
        <v>1100482</v>
      </c>
      <c r="N24" s="214">
        <v>0.5</v>
      </c>
      <c r="O24" s="185"/>
      <c r="P24" s="185"/>
      <c r="Q24" s="216"/>
      <c r="R24" s="216"/>
      <c r="S24" s="216"/>
      <c r="T24" s="185">
        <v>1100482</v>
      </c>
      <c r="U24" s="176"/>
      <c r="V24" s="176"/>
      <c r="W24" s="216"/>
      <c r="X24" s="216"/>
      <c r="Y24" s="216"/>
      <c r="Z24" s="216"/>
      <c r="AA24" s="1" t="b">
        <f t="shared" si="0"/>
        <v>1</v>
      </c>
      <c r="AB24" s="38">
        <f t="shared" si="1"/>
        <v>0.5</v>
      </c>
      <c r="AC24" s="39" t="b">
        <f t="shared" si="2"/>
        <v>1</v>
      </c>
      <c r="AD24" s="39" t="b">
        <f t="shared" si="3"/>
        <v>1</v>
      </c>
    </row>
    <row r="25" spans="1:30" ht="30" customHeight="1" x14ac:dyDescent="0.25">
      <c r="A25" s="216">
        <v>38</v>
      </c>
      <c r="B25" s="180" t="s">
        <v>785</v>
      </c>
      <c r="C25" s="181" t="s">
        <v>85</v>
      </c>
      <c r="D25" s="182" t="s">
        <v>786</v>
      </c>
      <c r="E25" s="182" t="s">
        <v>787</v>
      </c>
      <c r="F25" s="180" t="s">
        <v>516</v>
      </c>
      <c r="G25" s="180" t="s">
        <v>788</v>
      </c>
      <c r="H25" s="180" t="s">
        <v>82</v>
      </c>
      <c r="I25" s="183">
        <v>0.55400000000000005</v>
      </c>
      <c r="J25" s="184" t="s">
        <v>89</v>
      </c>
      <c r="K25" s="195">
        <v>3351347</v>
      </c>
      <c r="L25" s="185">
        <v>1675673.5</v>
      </c>
      <c r="M25" s="179">
        <v>1675673.5</v>
      </c>
      <c r="N25" s="214">
        <v>0.5</v>
      </c>
      <c r="O25" s="185"/>
      <c r="P25" s="185"/>
      <c r="Q25" s="216"/>
      <c r="R25" s="216"/>
      <c r="S25" s="216"/>
      <c r="T25" s="185">
        <v>1675673.5</v>
      </c>
      <c r="U25" s="176"/>
      <c r="V25" s="176"/>
      <c r="W25" s="216"/>
      <c r="X25" s="216"/>
      <c r="Y25" s="216"/>
      <c r="Z25" s="216"/>
      <c r="AA25" s="1" t="b">
        <f t="shared" si="0"/>
        <v>1</v>
      </c>
      <c r="AB25" s="38">
        <f t="shared" si="1"/>
        <v>0.5</v>
      </c>
      <c r="AC25" s="39" t="b">
        <f t="shared" si="2"/>
        <v>1</v>
      </c>
      <c r="AD25" s="39" t="b">
        <f t="shared" si="3"/>
        <v>1</v>
      </c>
    </row>
    <row r="26" spans="1:30" ht="30" customHeight="1" x14ac:dyDescent="0.25">
      <c r="A26" s="248">
        <v>39</v>
      </c>
      <c r="B26" s="186" t="s">
        <v>789</v>
      </c>
      <c r="C26" s="187" t="s">
        <v>91</v>
      </c>
      <c r="D26" s="188" t="s">
        <v>629</v>
      </c>
      <c r="E26" s="188" t="s">
        <v>630</v>
      </c>
      <c r="F26" s="186" t="s">
        <v>201</v>
      </c>
      <c r="G26" s="186" t="s">
        <v>790</v>
      </c>
      <c r="H26" s="186" t="s">
        <v>55</v>
      </c>
      <c r="I26" s="189">
        <v>0.21199999999999999</v>
      </c>
      <c r="J26" s="190" t="s">
        <v>791</v>
      </c>
      <c r="K26" s="197">
        <v>1787589.05</v>
      </c>
      <c r="L26" s="191">
        <v>1251312.3400000001</v>
      </c>
      <c r="M26" s="178">
        <v>536276.71</v>
      </c>
      <c r="N26" s="215">
        <v>0.7</v>
      </c>
      <c r="O26" s="185"/>
      <c r="P26" s="185"/>
      <c r="Q26" s="216"/>
      <c r="R26" s="216"/>
      <c r="S26" s="216"/>
      <c r="T26" s="191">
        <v>676459.88</v>
      </c>
      <c r="U26" s="176">
        <v>574852.46</v>
      </c>
      <c r="V26" s="176"/>
      <c r="W26" s="216"/>
      <c r="X26" s="216"/>
      <c r="Y26" s="216"/>
      <c r="Z26" s="216"/>
      <c r="AA26" s="1" t="b">
        <f t="shared" si="0"/>
        <v>1</v>
      </c>
      <c r="AB26" s="38">
        <f t="shared" si="1"/>
        <v>0.7</v>
      </c>
      <c r="AC26" s="39" t="b">
        <f t="shared" si="2"/>
        <v>1</v>
      </c>
      <c r="AD26" s="39" t="b">
        <f t="shared" si="3"/>
        <v>1</v>
      </c>
    </row>
    <row r="27" spans="1:30" ht="50.25" customHeight="1" x14ac:dyDescent="0.25">
      <c r="A27" s="216">
        <v>40</v>
      </c>
      <c r="B27" s="180" t="s">
        <v>792</v>
      </c>
      <c r="C27" s="181" t="s">
        <v>85</v>
      </c>
      <c r="D27" s="182" t="s">
        <v>793</v>
      </c>
      <c r="E27" s="182" t="s">
        <v>794</v>
      </c>
      <c r="F27" s="180" t="s">
        <v>435</v>
      </c>
      <c r="G27" s="180" t="s">
        <v>795</v>
      </c>
      <c r="H27" s="180" t="s">
        <v>82</v>
      </c>
      <c r="I27" s="183">
        <v>0.17</v>
      </c>
      <c r="J27" s="184" t="s">
        <v>89</v>
      </c>
      <c r="K27" s="195">
        <v>1919117</v>
      </c>
      <c r="L27" s="185">
        <v>1343381.9</v>
      </c>
      <c r="M27" s="179">
        <v>575735.10000000009</v>
      </c>
      <c r="N27" s="214">
        <v>0.7</v>
      </c>
      <c r="O27" s="185"/>
      <c r="P27" s="185"/>
      <c r="Q27" s="216"/>
      <c r="R27" s="216"/>
      <c r="S27" s="216"/>
      <c r="T27" s="185">
        <v>1343381.9</v>
      </c>
      <c r="U27" s="206"/>
      <c r="V27" s="208"/>
      <c r="W27" s="216"/>
      <c r="X27" s="216"/>
      <c r="Y27" s="216"/>
      <c r="Z27" s="216"/>
      <c r="AA27" s="1" t="b">
        <f t="shared" si="0"/>
        <v>1</v>
      </c>
      <c r="AB27" s="38">
        <f t="shared" si="1"/>
        <v>0.7</v>
      </c>
      <c r="AC27" s="39" t="b">
        <f t="shared" si="2"/>
        <v>1</v>
      </c>
      <c r="AD27" s="39" t="b">
        <f t="shared" si="3"/>
        <v>1</v>
      </c>
    </row>
    <row r="28" spans="1:30" ht="96.75" customHeight="1" x14ac:dyDescent="0.25">
      <c r="A28" s="216">
        <v>41</v>
      </c>
      <c r="B28" s="180" t="s">
        <v>800</v>
      </c>
      <c r="C28" s="181" t="s">
        <v>85</v>
      </c>
      <c r="D28" s="182" t="s">
        <v>801</v>
      </c>
      <c r="E28" s="182" t="s">
        <v>802</v>
      </c>
      <c r="F28" s="180" t="s">
        <v>477</v>
      </c>
      <c r="G28" s="180" t="s">
        <v>803</v>
      </c>
      <c r="H28" s="180" t="s">
        <v>82</v>
      </c>
      <c r="I28" s="183">
        <v>0.60599999999999998</v>
      </c>
      <c r="J28" s="184" t="s">
        <v>171</v>
      </c>
      <c r="K28" s="195">
        <v>8910571</v>
      </c>
      <c r="L28" s="185">
        <v>4455285.5</v>
      </c>
      <c r="M28" s="179">
        <v>4455285.5</v>
      </c>
      <c r="N28" s="214">
        <v>0.5</v>
      </c>
      <c r="O28" s="185"/>
      <c r="P28" s="185"/>
      <c r="Q28" s="216"/>
      <c r="R28" s="216"/>
      <c r="S28" s="216"/>
      <c r="T28" s="185">
        <v>4455285.5</v>
      </c>
      <c r="U28" s="176"/>
      <c r="V28" s="176"/>
      <c r="W28" s="216"/>
      <c r="X28" s="216"/>
      <c r="Y28" s="216"/>
      <c r="Z28" s="216"/>
      <c r="AA28" s="1" t="b">
        <f t="shared" si="0"/>
        <v>1</v>
      </c>
      <c r="AB28" s="38">
        <f t="shared" si="1"/>
        <v>0.5</v>
      </c>
      <c r="AC28" s="39" t="b">
        <f t="shared" si="2"/>
        <v>1</v>
      </c>
      <c r="AD28" s="39" t="b">
        <f t="shared" si="3"/>
        <v>1</v>
      </c>
    </row>
    <row r="29" spans="1:30" ht="30" customHeight="1" x14ac:dyDescent="0.25">
      <c r="A29" s="216">
        <v>42</v>
      </c>
      <c r="B29" s="180" t="s">
        <v>804</v>
      </c>
      <c r="C29" s="181" t="s">
        <v>85</v>
      </c>
      <c r="D29" s="182" t="s">
        <v>805</v>
      </c>
      <c r="E29" s="182" t="s">
        <v>877</v>
      </c>
      <c r="F29" s="180" t="s">
        <v>707</v>
      </c>
      <c r="G29" s="180" t="s">
        <v>806</v>
      </c>
      <c r="H29" s="180" t="s">
        <v>55</v>
      </c>
      <c r="I29" s="183">
        <v>0.83</v>
      </c>
      <c r="J29" s="184" t="s">
        <v>703</v>
      </c>
      <c r="K29" s="195">
        <v>7593548.9100000001</v>
      </c>
      <c r="L29" s="185">
        <v>5315484.24</v>
      </c>
      <c r="M29" s="179">
        <v>2278064.67</v>
      </c>
      <c r="N29" s="214">
        <v>0.7</v>
      </c>
      <c r="O29" s="185"/>
      <c r="P29" s="185"/>
      <c r="Q29" s="216"/>
      <c r="R29" s="216"/>
      <c r="S29" s="216"/>
      <c r="T29" s="185">
        <v>5315484.24</v>
      </c>
      <c r="U29" s="206"/>
      <c r="V29" s="208"/>
      <c r="W29" s="216"/>
      <c r="X29" s="216"/>
      <c r="Y29" s="216"/>
      <c r="Z29" s="216"/>
      <c r="AA29" s="1" t="b">
        <f t="shared" si="0"/>
        <v>1</v>
      </c>
      <c r="AB29" s="38">
        <f t="shared" si="1"/>
        <v>0.7</v>
      </c>
      <c r="AC29" s="39" t="b">
        <f t="shared" si="2"/>
        <v>1</v>
      </c>
      <c r="AD29" s="39" t="b">
        <f t="shared" si="3"/>
        <v>1</v>
      </c>
    </row>
    <row r="30" spans="1:30" ht="30" customHeight="1" x14ac:dyDescent="0.25">
      <c r="A30" s="216">
        <v>43</v>
      </c>
      <c r="B30" s="180" t="s">
        <v>807</v>
      </c>
      <c r="C30" s="181" t="s">
        <v>85</v>
      </c>
      <c r="D30" s="182" t="s">
        <v>594</v>
      </c>
      <c r="E30" s="182" t="s">
        <v>595</v>
      </c>
      <c r="F30" s="180" t="s">
        <v>206</v>
      </c>
      <c r="G30" s="180" t="s">
        <v>808</v>
      </c>
      <c r="H30" s="180" t="s">
        <v>82</v>
      </c>
      <c r="I30" s="183">
        <v>0.108</v>
      </c>
      <c r="J30" s="184" t="s">
        <v>89</v>
      </c>
      <c r="K30" s="195">
        <v>1413500</v>
      </c>
      <c r="L30" s="185">
        <v>989450</v>
      </c>
      <c r="M30" s="179">
        <v>424050</v>
      </c>
      <c r="N30" s="214">
        <v>0.7</v>
      </c>
      <c r="O30" s="185"/>
      <c r="P30" s="185"/>
      <c r="Q30" s="216"/>
      <c r="R30" s="216"/>
      <c r="S30" s="216"/>
      <c r="T30" s="185">
        <v>989450</v>
      </c>
      <c r="U30" s="197"/>
      <c r="V30" s="176"/>
      <c r="W30" s="216"/>
      <c r="X30" s="216"/>
      <c r="Y30" s="216"/>
      <c r="Z30" s="216"/>
      <c r="AA30" s="1" t="b">
        <f t="shared" si="0"/>
        <v>1</v>
      </c>
      <c r="AB30" s="38">
        <f t="shared" si="1"/>
        <v>0.7</v>
      </c>
      <c r="AC30" s="39" t="b">
        <f t="shared" si="2"/>
        <v>1</v>
      </c>
      <c r="AD30" s="39" t="b">
        <f t="shared" si="3"/>
        <v>1</v>
      </c>
    </row>
    <row r="31" spans="1:30" ht="30" customHeight="1" x14ac:dyDescent="0.25">
      <c r="A31" s="216">
        <v>44</v>
      </c>
      <c r="B31" s="180" t="s">
        <v>809</v>
      </c>
      <c r="C31" s="181" t="s">
        <v>85</v>
      </c>
      <c r="D31" s="182" t="s">
        <v>810</v>
      </c>
      <c r="E31" s="182" t="s">
        <v>811</v>
      </c>
      <c r="F31" s="180" t="s">
        <v>707</v>
      </c>
      <c r="G31" s="180" t="s">
        <v>812</v>
      </c>
      <c r="H31" s="180" t="s">
        <v>61</v>
      </c>
      <c r="I31" s="183">
        <v>0.53</v>
      </c>
      <c r="J31" s="184" t="s">
        <v>89</v>
      </c>
      <c r="K31" s="195">
        <v>1993513</v>
      </c>
      <c r="L31" s="185">
        <v>996756.5</v>
      </c>
      <c r="M31" s="179">
        <v>996756.5</v>
      </c>
      <c r="N31" s="214">
        <v>0.5</v>
      </c>
      <c r="O31" s="185"/>
      <c r="P31" s="185"/>
      <c r="Q31" s="216"/>
      <c r="R31" s="216"/>
      <c r="S31" s="216"/>
      <c r="T31" s="185">
        <v>996756.5</v>
      </c>
      <c r="U31" s="176"/>
      <c r="V31" s="176"/>
      <c r="W31" s="216"/>
      <c r="X31" s="216"/>
      <c r="Y31" s="216"/>
      <c r="Z31" s="216"/>
      <c r="AA31" s="1" t="b">
        <f t="shared" si="0"/>
        <v>1</v>
      </c>
      <c r="AB31" s="38">
        <f t="shared" si="1"/>
        <v>0.5</v>
      </c>
      <c r="AC31" s="39" t="b">
        <f t="shared" si="2"/>
        <v>1</v>
      </c>
      <c r="AD31" s="39" t="b">
        <f t="shared" si="3"/>
        <v>1</v>
      </c>
    </row>
    <row r="32" spans="1:30" ht="30" customHeight="1" x14ac:dyDescent="0.25">
      <c r="A32" s="216">
        <v>45</v>
      </c>
      <c r="B32" s="180" t="s">
        <v>813</v>
      </c>
      <c r="C32" s="181" t="s">
        <v>85</v>
      </c>
      <c r="D32" s="182" t="s">
        <v>814</v>
      </c>
      <c r="E32" s="182" t="s">
        <v>815</v>
      </c>
      <c r="F32" s="180" t="s">
        <v>491</v>
      </c>
      <c r="G32" s="180" t="s">
        <v>816</v>
      </c>
      <c r="H32" s="180" t="s">
        <v>55</v>
      </c>
      <c r="I32" s="183">
        <v>0.34499999999999997</v>
      </c>
      <c r="J32" s="184" t="s">
        <v>817</v>
      </c>
      <c r="K32" s="195">
        <v>2634820</v>
      </c>
      <c r="L32" s="185">
        <v>1317410</v>
      </c>
      <c r="M32" s="179">
        <v>1317410</v>
      </c>
      <c r="N32" s="214">
        <v>0.5</v>
      </c>
      <c r="O32" s="185"/>
      <c r="P32" s="185"/>
      <c r="Q32" s="216"/>
      <c r="R32" s="216"/>
      <c r="S32" s="216"/>
      <c r="T32" s="185">
        <v>1317410</v>
      </c>
      <c r="U32" s="176"/>
      <c r="V32" s="176"/>
      <c r="W32" s="216"/>
      <c r="X32" s="216"/>
      <c r="Y32" s="216"/>
      <c r="Z32" s="216"/>
      <c r="AA32" s="1" t="b">
        <f t="shared" si="0"/>
        <v>1</v>
      </c>
      <c r="AB32" s="38">
        <f t="shared" si="1"/>
        <v>0.5</v>
      </c>
      <c r="AC32" s="39" t="b">
        <f t="shared" si="2"/>
        <v>1</v>
      </c>
      <c r="AD32" s="39" t="b">
        <f t="shared" si="3"/>
        <v>1</v>
      </c>
    </row>
    <row r="33" spans="1:30" ht="30" customHeight="1" x14ac:dyDescent="0.25">
      <c r="A33" s="248">
        <v>46</v>
      </c>
      <c r="B33" s="186" t="s">
        <v>818</v>
      </c>
      <c r="C33" s="187" t="s">
        <v>91</v>
      </c>
      <c r="D33" s="188" t="s">
        <v>266</v>
      </c>
      <c r="E33" s="188" t="s">
        <v>267</v>
      </c>
      <c r="F33" s="186" t="s">
        <v>268</v>
      </c>
      <c r="G33" s="186" t="s">
        <v>819</v>
      </c>
      <c r="H33" s="186" t="s">
        <v>82</v>
      </c>
      <c r="I33" s="189">
        <v>2.54</v>
      </c>
      <c r="J33" s="190" t="s">
        <v>820</v>
      </c>
      <c r="K33" s="197">
        <v>13306464</v>
      </c>
      <c r="L33" s="191">
        <v>9314524.8000000007</v>
      </c>
      <c r="M33" s="178">
        <v>3991939.1999999993</v>
      </c>
      <c r="N33" s="215">
        <v>0.7</v>
      </c>
      <c r="O33" s="185"/>
      <c r="P33" s="185"/>
      <c r="Q33" s="216"/>
      <c r="R33" s="216"/>
      <c r="S33" s="216"/>
      <c r="T33" s="191">
        <v>1439200</v>
      </c>
      <c r="U33" s="197">
        <v>5012700</v>
      </c>
      <c r="V33" s="176">
        <v>2862624.8</v>
      </c>
      <c r="W33" s="216"/>
      <c r="X33" s="216"/>
      <c r="Y33" s="216"/>
      <c r="Z33" s="216"/>
      <c r="AA33" s="1" t="b">
        <f t="shared" si="0"/>
        <v>1</v>
      </c>
      <c r="AB33" s="38">
        <f t="shared" si="1"/>
        <v>0.7</v>
      </c>
      <c r="AC33" s="39" t="b">
        <f t="shared" si="2"/>
        <v>1</v>
      </c>
      <c r="AD33" s="39" t="b">
        <f t="shared" si="3"/>
        <v>1</v>
      </c>
    </row>
    <row r="34" spans="1:30" ht="30" customHeight="1" x14ac:dyDescent="0.25">
      <c r="A34" s="216">
        <v>47</v>
      </c>
      <c r="B34" s="180" t="s">
        <v>821</v>
      </c>
      <c r="C34" s="181" t="s">
        <v>85</v>
      </c>
      <c r="D34" s="182" t="s">
        <v>822</v>
      </c>
      <c r="E34" s="182" t="s">
        <v>823</v>
      </c>
      <c r="F34" s="180" t="s">
        <v>362</v>
      </c>
      <c r="G34" s="180" t="s">
        <v>824</v>
      </c>
      <c r="H34" s="180" t="s">
        <v>55</v>
      </c>
      <c r="I34" s="183">
        <v>0.3</v>
      </c>
      <c r="J34" s="184" t="s">
        <v>356</v>
      </c>
      <c r="K34" s="195">
        <v>322352</v>
      </c>
      <c r="L34" s="185">
        <v>161176</v>
      </c>
      <c r="M34" s="179">
        <v>161176</v>
      </c>
      <c r="N34" s="214">
        <v>0.5</v>
      </c>
      <c r="O34" s="185"/>
      <c r="P34" s="185"/>
      <c r="Q34" s="216"/>
      <c r="R34" s="216"/>
      <c r="S34" s="216"/>
      <c r="T34" s="185">
        <v>161176</v>
      </c>
      <c r="U34" s="206"/>
      <c r="V34" s="208"/>
      <c r="W34" s="216"/>
      <c r="X34" s="216"/>
      <c r="Y34" s="216"/>
      <c r="Z34" s="216"/>
      <c r="AA34" s="1" t="b">
        <f t="shared" si="0"/>
        <v>1</v>
      </c>
      <c r="AB34" s="38">
        <f t="shared" si="1"/>
        <v>0.5</v>
      </c>
      <c r="AC34" s="39" t="b">
        <f t="shared" si="2"/>
        <v>1</v>
      </c>
      <c r="AD34" s="39" t="b">
        <f t="shared" si="3"/>
        <v>1</v>
      </c>
    </row>
    <row r="35" spans="1:30" ht="51" customHeight="1" x14ac:dyDescent="0.25">
      <c r="A35" s="216">
        <v>48</v>
      </c>
      <c r="B35" s="180" t="s">
        <v>829</v>
      </c>
      <c r="C35" s="181" t="s">
        <v>85</v>
      </c>
      <c r="D35" s="182" t="s">
        <v>830</v>
      </c>
      <c r="E35" s="182" t="s">
        <v>831</v>
      </c>
      <c r="F35" s="180" t="s">
        <v>832</v>
      </c>
      <c r="G35" s="180" t="s">
        <v>833</v>
      </c>
      <c r="H35" s="180" t="s">
        <v>61</v>
      </c>
      <c r="I35" s="183">
        <v>2.11</v>
      </c>
      <c r="J35" s="184" t="s">
        <v>99</v>
      </c>
      <c r="K35" s="195">
        <v>2026925</v>
      </c>
      <c r="L35" s="185">
        <v>1418847.5</v>
      </c>
      <c r="M35" s="179">
        <v>608077.5</v>
      </c>
      <c r="N35" s="214">
        <v>0.7</v>
      </c>
      <c r="O35" s="185"/>
      <c r="P35" s="185"/>
      <c r="Q35" s="216"/>
      <c r="R35" s="216"/>
      <c r="S35" s="216"/>
      <c r="T35" s="185">
        <v>1418847.5</v>
      </c>
      <c r="U35" s="206"/>
      <c r="V35" s="176"/>
      <c r="W35" s="216"/>
      <c r="X35" s="216"/>
      <c r="Y35" s="216"/>
      <c r="Z35" s="216"/>
      <c r="AA35" s="1" t="b">
        <f t="shared" si="0"/>
        <v>1</v>
      </c>
      <c r="AB35" s="38">
        <f t="shared" si="1"/>
        <v>0.7</v>
      </c>
      <c r="AC35" s="39" t="b">
        <f t="shared" si="2"/>
        <v>1</v>
      </c>
      <c r="AD35" s="39" t="b">
        <f t="shared" si="3"/>
        <v>1</v>
      </c>
    </row>
    <row r="36" spans="1:30" ht="30" customHeight="1" x14ac:dyDescent="0.25">
      <c r="A36" s="216">
        <v>49</v>
      </c>
      <c r="B36" s="180" t="s">
        <v>837</v>
      </c>
      <c r="C36" s="181" t="s">
        <v>85</v>
      </c>
      <c r="D36" s="182" t="s">
        <v>245</v>
      </c>
      <c r="E36" s="182" t="s">
        <v>246</v>
      </c>
      <c r="F36" s="180" t="s">
        <v>195</v>
      </c>
      <c r="G36" s="180" t="s">
        <v>838</v>
      </c>
      <c r="H36" s="180" t="s">
        <v>55</v>
      </c>
      <c r="I36" s="183">
        <v>0.15</v>
      </c>
      <c r="J36" s="184" t="s">
        <v>311</v>
      </c>
      <c r="K36" s="195">
        <v>2088209</v>
      </c>
      <c r="L36" s="185">
        <v>1461746.3</v>
      </c>
      <c r="M36" s="179">
        <v>626462.69999999995</v>
      </c>
      <c r="N36" s="214">
        <v>0.7</v>
      </c>
      <c r="O36" s="185"/>
      <c r="P36" s="185"/>
      <c r="Q36" s="216"/>
      <c r="R36" s="216"/>
      <c r="S36" s="216"/>
      <c r="T36" s="185">
        <v>1461746.3</v>
      </c>
      <c r="U36" s="206"/>
      <c r="V36" s="208"/>
      <c r="W36" s="216"/>
      <c r="X36" s="216"/>
      <c r="Y36" s="216"/>
      <c r="Z36" s="216"/>
      <c r="AA36" s="1" t="b">
        <f t="shared" si="0"/>
        <v>1</v>
      </c>
      <c r="AB36" s="38">
        <f t="shared" si="1"/>
        <v>0.7</v>
      </c>
      <c r="AC36" s="39" t="b">
        <f t="shared" si="2"/>
        <v>1</v>
      </c>
      <c r="AD36" s="39" t="b">
        <f t="shared" si="3"/>
        <v>1</v>
      </c>
    </row>
    <row r="37" spans="1:30" ht="30" customHeight="1" x14ac:dyDescent="0.25">
      <c r="A37" s="248">
        <v>50</v>
      </c>
      <c r="B37" s="186" t="s">
        <v>839</v>
      </c>
      <c r="C37" s="187" t="s">
        <v>91</v>
      </c>
      <c r="D37" s="188" t="s">
        <v>840</v>
      </c>
      <c r="E37" s="188" t="s">
        <v>841</v>
      </c>
      <c r="F37" s="186" t="s">
        <v>280</v>
      </c>
      <c r="G37" s="186" t="s">
        <v>842</v>
      </c>
      <c r="H37" s="186" t="s">
        <v>55</v>
      </c>
      <c r="I37" s="189">
        <v>0.48</v>
      </c>
      <c r="J37" s="190" t="s">
        <v>843</v>
      </c>
      <c r="K37" s="197">
        <v>1540665</v>
      </c>
      <c r="L37" s="191">
        <v>770332.5</v>
      </c>
      <c r="M37" s="178">
        <v>770332.5</v>
      </c>
      <c r="N37" s="215">
        <v>0.5</v>
      </c>
      <c r="O37" s="185"/>
      <c r="P37" s="185"/>
      <c r="Q37" s="216"/>
      <c r="R37" s="216"/>
      <c r="S37" s="216"/>
      <c r="T37" s="191">
        <v>273250</v>
      </c>
      <c r="U37" s="197">
        <v>497082.5</v>
      </c>
      <c r="V37" s="176"/>
      <c r="W37" s="216"/>
      <c r="X37" s="216"/>
      <c r="Y37" s="216"/>
      <c r="Z37" s="216"/>
      <c r="AA37" s="1" t="b">
        <f t="shared" si="0"/>
        <v>1</v>
      </c>
      <c r="AB37" s="38">
        <f t="shared" si="1"/>
        <v>0.5</v>
      </c>
      <c r="AC37" s="39" t="b">
        <f t="shared" si="2"/>
        <v>1</v>
      </c>
      <c r="AD37" s="39" t="b">
        <f t="shared" si="3"/>
        <v>1</v>
      </c>
    </row>
    <row r="38" spans="1:30" ht="30" customHeight="1" x14ac:dyDescent="0.25">
      <c r="A38" s="216">
        <v>51</v>
      </c>
      <c r="B38" s="180" t="s">
        <v>844</v>
      </c>
      <c r="C38" s="181" t="s">
        <v>85</v>
      </c>
      <c r="D38" s="182" t="s">
        <v>845</v>
      </c>
      <c r="E38" s="182" t="s">
        <v>846</v>
      </c>
      <c r="F38" s="180" t="s">
        <v>435</v>
      </c>
      <c r="G38" s="180" t="s">
        <v>847</v>
      </c>
      <c r="H38" s="180" t="s">
        <v>55</v>
      </c>
      <c r="I38" s="183">
        <v>0.27500000000000002</v>
      </c>
      <c r="J38" s="184" t="s">
        <v>495</v>
      </c>
      <c r="K38" s="195">
        <v>1749617</v>
      </c>
      <c r="L38" s="185">
        <v>874808.5</v>
      </c>
      <c r="M38" s="179">
        <v>874808.5</v>
      </c>
      <c r="N38" s="214">
        <v>0.5</v>
      </c>
      <c r="O38" s="185"/>
      <c r="P38" s="185"/>
      <c r="Q38" s="216"/>
      <c r="R38" s="216"/>
      <c r="S38" s="216"/>
      <c r="T38" s="185">
        <v>874808.5</v>
      </c>
      <c r="U38" s="176"/>
      <c r="V38" s="176"/>
      <c r="W38" s="216"/>
      <c r="X38" s="216"/>
      <c r="Y38" s="216"/>
      <c r="Z38" s="216"/>
      <c r="AA38" s="1" t="b">
        <f t="shared" si="0"/>
        <v>1</v>
      </c>
      <c r="AB38" s="38">
        <f t="shared" si="1"/>
        <v>0.5</v>
      </c>
      <c r="AC38" s="39" t="b">
        <f t="shared" si="2"/>
        <v>1</v>
      </c>
      <c r="AD38" s="39" t="b">
        <f t="shared" si="3"/>
        <v>1</v>
      </c>
    </row>
    <row r="39" spans="1:30" ht="30" customHeight="1" x14ac:dyDescent="0.25">
      <c r="A39" s="248">
        <v>52</v>
      </c>
      <c r="B39" s="186" t="s">
        <v>849</v>
      </c>
      <c r="C39" s="187" t="s">
        <v>91</v>
      </c>
      <c r="D39" s="188" t="s">
        <v>850</v>
      </c>
      <c r="E39" s="188" t="s">
        <v>851</v>
      </c>
      <c r="F39" s="186" t="s">
        <v>535</v>
      </c>
      <c r="G39" s="186" t="s">
        <v>852</v>
      </c>
      <c r="H39" s="186" t="s">
        <v>55</v>
      </c>
      <c r="I39" s="189">
        <v>0.97</v>
      </c>
      <c r="J39" s="190" t="s">
        <v>292</v>
      </c>
      <c r="K39" s="197">
        <v>11993206.48</v>
      </c>
      <c r="L39" s="191">
        <v>9594565.1799999997</v>
      </c>
      <c r="M39" s="178">
        <v>2398641.3000000007</v>
      </c>
      <c r="N39" s="215">
        <v>0.8</v>
      </c>
      <c r="O39" s="185"/>
      <c r="P39" s="185"/>
      <c r="Q39" s="216"/>
      <c r="R39" s="216"/>
      <c r="S39" s="216"/>
      <c r="T39" s="191">
        <v>4000000</v>
      </c>
      <c r="U39" s="197">
        <v>5594565.1799999997</v>
      </c>
      <c r="V39" s="176"/>
      <c r="W39" s="216"/>
      <c r="X39" s="216"/>
      <c r="Y39" s="216"/>
      <c r="Z39" s="216"/>
      <c r="AA39" s="1" t="b">
        <f t="shared" ref="AA39:AA42" si="4">L39=SUM(O39:Z39)</f>
        <v>1</v>
      </c>
      <c r="AB39" s="38">
        <f t="shared" ref="AB39:AB42" si="5">ROUND(L39/K39,4)</f>
        <v>0.8</v>
      </c>
      <c r="AC39" s="39" t="b">
        <f t="shared" ref="AC39:AC42" si="6">AB39=N39</f>
        <v>1</v>
      </c>
      <c r="AD39" s="39" t="b">
        <f t="shared" ref="AD39:AD42" si="7">K39=L39+M39</f>
        <v>1</v>
      </c>
    </row>
    <row r="40" spans="1:30" ht="30" customHeight="1" x14ac:dyDescent="0.25">
      <c r="A40" s="216">
        <v>53</v>
      </c>
      <c r="B40" s="180" t="s">
        <v>853</v>
      </c>
      <c r="C40" s="181" t="s">
        <v>85</v>
      </c>
      <c r="D40" s="182" t="s">
        <v>854</v>
      </c>
      <c r="E40" s="182" t="s">
        <v>855</v>
      </c>
      <c r="F40" s="180" t="s">
        <v>491</v>
      </c>
      <c r="G40" s="180" t="s">
        <v>856</v>
      </c>
      <c r="H40" s="180" t="s">
        <v>61</v>
      </c>
      <c r="I40" s="183">
        <v>1.4999999999999999E-2</v>
      </c>
      <c r="J40" s="184" t="s">
        <v>404</v>
      </c>
      <c r="K40" s="195">
        <v>286443</v>
      </c>
      <c r="L40" s="185">
        <v>143221.5</v>
      </c>
      <c r="M40" s="179">
        <v>143221.5</v>
      </c>
      <c r="N40" s="214">
        <v>0.5</v>
      </c>
      <c r="O40" s="185"/>
      <c r="P40" s="185"/>
      <c r="Q40" s="216"/>
      <c r="R40" s="216"/>
      <c r="S40" s="216"/>
      <c r="T40" s="185">
        <v>143221.5</v>
      </c>
      <c r="U40" s="197"/>
      <c r="V40" s="176"/>
      <c r="W40" s="216"/>
      <c r="X40" s="216"/>
      <c r="Y40" s="216"/>
      <c r="Z40" s="216"/>
      <c r="AA40" s="1" t="b">
        <f t="shared" si="4"/>
        <v>1</v>
      </c>
      <c r="AB40" s="38">
        <f t="shared" si="5"/>
        <v>0.5</v>
      </c>
      <c r="AC40" s="39" t="b">
        <f t="shared" si="6"/>
        <v>1</v>
      </c>
      <c r="AD40" s="39" t="b">
        <f t="shared" si="7"/>
        <v>1</v>
      </c>
    </row>
    <row r="41" spans="1:30" ht="30" customHeight="1" x14ac:dyDescent="0.25">
      <c r="A41" s="216">
        <v>54</v>
      </c>
      <c r="B41" s="180" t="s">
        <v>857</v>
      </c>
      <c r="C41" s="181" t="s">
        <v>85</v>
      </c>
      <c r="D41" s="182" t="s">
        <v>858</v>
      </c>
      <c r="E41" s="182" t="s">
        <v>787</v>
      </c>
      <c r="F41" s="180" t="s">
        <v>516</v>
      </c>
      <c r="G41" s="180" t="s">
        <v>859</v>
      </c>
      <c r="H41" s="180" t="s">
        <v>55</v>
      </c>
      <c r="I41" s="183">
        <v>0.20499999999999999</v>
      </c>
      <c r="J41" s="184" t="s">
        <v>171</v>
      </c>
      <c r="K41" s="195">
        <v>793644</v>
      </c>
      <c r="L41" s="185">
        <v>396822</v>
      </c>
      <c r="M41" s="179">
        <v>396822</v>
      </c>
      <c r="N41" s="214">
        <v>0.5</v>
      </c>
      <c r="O41" s="185"/>
      <c r="P41" s="185"/>
      <c r="Q41" s="216"/>
      <c r="R41" s="216"/>
      <c r="S41" s="216"/>
      <c r="T41" s="185">
        <v>396822</v>
      </c>
      <c r="U41" s="176"/>
      <c r="V41" s="176"/>
      <c r="W41" s="216"/>
      <c r="X41" s="216"/>
      <c r="Y41" s="216"/>
      <c r="Z41" s="216"/>
      <c r="AA41" s="1" t="b">
        <f t="shared" si="4"/>
        <v>1</v>
      </c>
      <c r="AB41" s="38">
        <f t="shared" si="5"/>
        <v>0.5</v>
      </c>
      <c r="AC41" s="39" t="b">
        <f t="shared" si="6"/>
        <v>1</v>
      </c>
      <c r="AD41" s="39" t="b">
        <f t="shared" si="7"/>
        <v>1</v>
      </c>
    </row>
    <row r="42" spans="1:30" s="217" customFormat="1" ht="30" customHeight="1" x14ac:dyDescent="0.25">
      <c r="A42" s="216">
        <v>55</v>
      </c>
      <c r="B42" s="180" t="s">
        <v>860</v>
      </c>
      <c r="C42" s="181" t="s">
        <v>85</v>
      </c>
      <c r="D42" s="182" t="s">
        <v>680</v>
      </c>
      <c r="E42" s="182" t="s">
        <v>681</v>
      </c>
      <c r="F42" s="180" t="s">
        <v>324</v>
      </c>
      <c r="G42" s="180" t="s">
        <v>861</v>
      </c>
      <c r="H42" s="180" t="s">
        <v>55</v>
      </c>
      <c r="I42" s="183">
        <v>0.1</v>
      </c>
      <c r="J42" s="184" t="s">
        <v>171</v>
      </c>
      <c r="K42" s="195">
        <v>202692</v>
      </c>
      <c r="L42" s="185">
        <v>121615.2</v>
      </c>
      <c r="M42" s="179">
        <v>81076.800000000003</v>
      </c>
      <c r="N42" s="214">
        <v>0.6</v>
      </c>
      <c r="O42" s="185"/>
      <c r="P42" s="185"/>
      <c r="Q42" s="216"/>
      <c r="R42" s="216"/>
      <c r="S42" s="216"/>
      <c r="T42" s="185">
        <v>121615.2</v>
      </c>
      <c r="U42" s="197"/>
      <c r="V42" s="176"/>
      <c r="W42" s="216"/>
      <c r="X42" s="216"/>
      <c r="Y42" s="216"/>
      <c r="Z42" s="216"/>
      <c r="AA42" s="1" t="b">
        <f t="shared" si="4"/>
        <v>1</v>
      </c>
      <c r="AB42" s="38">
        <f t="shared" si="5"/>
        <v>0.6</v>
      </c>
      <c r="AC42" s="39" t="b">
        <f t="shared" si="6"/>
        <v>1</v>
      </c>
      <c r="AD42" s="39" t="b">
        <f t="shared" si="7"/>
        <v>1</v>
      </c>
    </row>
    <row r="43" spans="1:30" ht="20.100000000000001" customHeight="1" x14ac:dyDescent="0.25">
      <c r="A43" s="328" t="s">
        <v>45</v>
      </c>
      <c r="B43" s="328"/>
      <c r="C43" s="328"/>
      <c r="D43" s="328"/>
      <c r="E43" s="328"/>
      <c r="F43" s="328"/>
      <c r="G43" s="328"/>
      <c r="H43" s="328"/>
      <c r="I43" s="48">
        <f>SUM(I3:I42)</f>
        <v>24.0505</v>
      </c>
      <c r="J43" s="232" t="s">
        <v>14</v>
      </c>
      <c r="K43" s="233">
        <f>SUM(K3:K42)</f>
        <v>124433799.44</v>
      </c>
      <c r="L43" s="233">
        <f>SUM(L3:L42)</f>
        <v>81679007.859999999</v>
      </c>
      <c r="M43" s="233">
        <f>SUM(M3:M42)</f>
        <v>42754791.579999998</v>
      </c>
      <c r="N43" s="52" t="s">
        <v>14</v>
      </c>
      <c r="O43" s="249">
        <f t="shared" ref="O43:Z43" si="8">SUM(O3:O42)</f>
        <v>0</v>
      </c>
      <c r="P43" s="249">
        <f t="shared" si="8"/>
        <v>0</v>
      </c>
      <c r="Q43" s="249">
        <f t="shared" si="8"/>
        <v>0</v>
      </c>
      <c r="R43" s="249">
        <f t="shared" si="8"/>
        <v>0</v>
      </c>
      <c r="S43" s="249">
        <f t="shared" si="8"/>
        <v>0</v>
      </c>
      <c r="T43" s="249">
        <f t="shared" si="8"/>
        <v>53537918.020000003</v>
      </c>
      <c r="U43" s="249">
        <f t="shared" si="8"/>
        <v>23487050.039999999</v>
      </c>
      <c r="V43" s="249">
        <f t="shared" si="8"/>
        <v>4654039.8</v>
      </c>
      <c r="W43" s="249">
        <f t="shared" si="8"/>
        <v>0</v>
      </c>
      <c r="X43" s="249">
        <f t="shared" si="8"/>
        <v>0</v>
      </c>
      <c r="Y43" s="249">
        <f t="shared" si="8"/>
        <v>0</v>
      </c>
      <c r="Z43" s="249">
        <f t="shared" si="8"/>
        <v>0</v>
      </c>
      <c r="AA43" s="1" t="b">
        <f t="shared" ref="AA43:AA45" si="9">L43=SUM(O43:Z43)</f>
        <v>1</v>
      </c>
      <c r="AB43" s="38">
        <f>ROUND(L43/K43,4)</f>
        <v>0.65639999999999998</v>
      </c>
      <c r="AC43" s="39" t="s">
        <v>14</v>
      </c>
      <c r="AD43" s="39" t="b">
        <f t="shared" ref="AD43" si="10">K43=L43+M43</f>
        <v>1</v>
      </c>
    </row>
    <row r="44" spans="1:30" ht="20.100000000000001" customHeight="1" x14ac:dyDescent="0.25">
      <c r="A44" s="316" t="s">
        <v>39</v>
      </c>
      <c r="B44" s="317"/>
      <c r="C44" s="317"/>
      <c r="D44" s="317"/>
      <c r="E44" s="317"/>
      <c r="F44" s="317"/>
      <c r="G44" s="317"/>
      <c r="H44" s="318"/>
      <c r="I44" s="48">
        <f>SUMIF($C$3:$C$42,"N",I3:I42)</f>
        <v>16.268500000000003</v>
      </c>
      <c r="J44" s="232" t="s">
        <v>14</v>
      </c>
      <c r="K44" s="233">
        <f>SUMIF($C$3:$C$42,"N",K3:K42)</f>
        <v>69425557.909999996</v>
      </c>
      <c r="L44" s="233">
        <f>SUMIF($C$3:$C$42,"N",L3:L42)</f>
        <v>43026647.539999999</v>
      </c>
      <c r="M44" s="233">
        <f>SUMIF($C$3:$C$42,"N",M3:M42)</f>
        <v>26398910.369999997</v>
      </c>
      <c r="N44" s="52" t="s">
        <v>14</v>
      </c>
      <c r="O44" s="249">
        <f t="shared" ref="O44:Z44" si="11">SUMIF($C$3:$C$42,"N",O3:O42)</f>
        <v>0</v>
      </c>
      <c r="P44" s="249">
        <f t="shared" si="11"/>
        <v>0</v>
      </c>
      <c r="Q44" s="249">
        <f t="shared" si="11"/>
        <v>0</v>
      </c>
      <c r="R44" s="249">
        <f t="shared" si="11"/>
        <v>0</v>
      </c>
      <c r="S44" s="249">
        <f t="shared" si="11"/>
        <v>0</v>
      </c>
      <c r="T44" s="249">
        <f t="shared" si="11"/>
        <v>43026647.539999999</v>
      </c>
      <c r="U44" s="249">
        <f t="shared" si="11"/>
        <v>0</v>
      </c>
      <c r="V44" s="249">
        <f t="shared" si="11"/>
        <v>0</v>
      </c>
      <c r="W44" s="249">
        <f t="shared" si="11"/>
        <v>0</v>
      </c>
      <c r="X44" s="249">
        <f t="shared" si="11"/>
        <v>0</v>
      </c>
      <c r="Y44" s="249">
        <f t="shared" si="11"/>
        <v>0</v>
      </c>
      <c r="Z44" s="249">
        <f t="shared" si="11"/>
        <v>0</v>
      </c>
      <c r="AA44" s="1" t="b">
        <f t="shared" si="9"/>
        <v>1</v>
      </c>
      <c r="AB44" s="38">
        <f t="shared" ref="AB44" si="12">ROUND(L44/K44,4)</f>
        <v>0.61980000000000002</v>
      </c>
      <c r="AC44" s="39" t="s">
        <v>14</v>
      </c>
      <c r="AD44" s="39" t="b">
        <f t="shared" ref="AD44" si="13">K44=L44+M44</f>
        <v>1</v>
      </c>
    </row>
    <row r="45" spans="1:30" ht="20.100000000000001" customHeight="1" x14ac:dyDescent="0.25">
      <c r="A45" s="329" t="s">
        <v>40</v>
      </c>
      <c r="B45" s="329"/>
      <c r="C45" s="329"/>
      <c r="D45" s="329"/>
      <c r="E45" s="329"/>
      <c r="F45" s="329"/>
      <c r="G45" s="329"/>
      <c r="H45" s="329"/>
      <c r="I45" s="53">
        <f>SUMIF($C$3:$C$42,"W",I3:I42)</f>
        <v>7.7820000000000009</v>
      </c>
      <c r="J45" s="234" t="s">
        <v>14</v>
      </c>
      <c r="K45" s="235">
        <f>SUMIF($C$3:$C$42,"W",K3:K42)</f>
        <v>55008241.530000001</v>
      </c>
      <c r="L45" s="235">
        <f>SUMIF($C$3:$C$42,"W",L3:L42)</f>
        <v>38652360.32</v>
      </c>
      <c r="M45" s="235">
        <f>SUMIF($C$3:$C$42,"W",M3:M42)</f>
        <v>16355881.210000001</v>
      </c>
      <c r="N45" s="57" t="s">
        <v>14</v>
      </c>
      <c r="O45" s="250">
        <f t="shared" ref="O45:Z45" si="14">SUMIF($C$3:$C$42,"W",O3:O42)</f>
        <v>0</v>
      </c>
      <c r="P45" s="250">
        <f t="shared" si="14"/>
        <v>0</v>
      </c>
      <c r="Q45" s="250">
        <f t="shared" si="14"/>
        <v>0</v>
      </c>
      <c r="R45" s="250">
        <f t="shared" si="14"/>
        <v>0</v>
      </c>
      <c r="S45" s="250">
        <f t="shared" si="14"/>
        <v>0</v>
      </c>
      <c r="T45" s="250">
        <f t="shared" si="14"/>
        <v>10511270.48</v>
      </c>
      <c r="U45" s="250">
        <f t="shared" si="14"/>
        <v>23487050.039999999</v>
      </c>
      <c r="V45" s="250">
        <f t="shared" si="14"/>
        <v>4654039.8</v>
      </c>
      <c r="W45" s="250">
        <f t="shared" si="14"/>
        <v>0</v>
      </c>
      <c r="X45" s="250">
        <f t="shared" si="14"/>
        <v>0</v>
      </c>
      <c r="Y45" s="250">
        <f t="shared" si="14"/>
        <v>0</v>
      </c>
      <c r="Z45" s="250">
        <f t="shared" si="14"/>
        <v>0</v>
      </c>
      <c r="AA45" s="1" t="b">
        <f t="shared" si="9"/>
        <v>1</v>
      </c>
      <c r="AB45" s="38">
        <f t="shared" ref="AB45" si="15">ROUND(L45/K45,4)</f>
        <v>0.70269999999999999</v>
      </c>
      <c r="AC45" s="39" t="s">
        <v>14</v>
      </c>
      <c r="AD45" s="39" t="b">
        <f t="shared" ref="AD45" si="16">K45=L45+M45</f>
        <v>1</v>
      </c>
    </row>
    <row r="46" spans="1:30" x14ac:dyDescent="0.25">
      <c r="A46" s="251"/>
      <c r="AD46" s="31"/>
    </row>
    <row r="47" spans="1:30" x14ac:dyDescent="0.25">
      <c r="A47" s="239" t="s">
        <v>25</v>
      </c>
    </row>
    <row r="48" spans="1:30" x14ac:dyDescent="0.25">
      <c r="A48" s="240" t="s">
        <v>26</v>
      </c>
    </row>
    <row r="49" spans="1:1" x14ac:dyDescent="0.25">
      <c r="A49" s="239" t="s">
        <v>36</v>
      </c>
    </row>
    <row r="50" spans="1:1" x14ac:dyDescent="0.25">
      <c r="A50" s="252"/>
    </row>
  </sheetData>
  <mergeCells count="18">
    <mergeCell ref="A44:H44"/>
    <mergeCell ref="D1:D2"/>
    <mergeCell ref="A45:H45"/>
    <mergeCell ref="E1:E2"/>
    <mergeCell ref="O1:Z1"/>
    <mergeCell ref="M1:M2"/>
    <mergeCell ref="N1:N2"/>
    <mergeCell ref="A43:H43"/>
    <mergeCell ref="I1:I2"/>
    <mergeCell ref="J1:J2"/>
    <mergeCell ref="K1:K2"/>
    <mergeCell ref="L1:L2"/>
    <mergeCell ref="A1:A2"/>
    <mergeCell ref="B1:B2"/>
    <mergeCell ref="C1:C2"/>
    <mergeCell ref="F1:F2"/>
    <mergeCell ref="G1:G2"/>
    <mergeCell ref="H1:H2"/>
  </mergeCells>
  <conditionalFormatting sqref="AD46 AA3:AA45 AB3:AD43">
    <cfRule type="cellIs" dxfId="9" priority="20" operator="equal">
      <formula>FALSE</formula>
    </cfRule>
  </conditionalFormatting>
  <conditionalFormatting sqref="AB43:AC43 AA39:AA45 AA3:AC42">
    <cfRule type="containsText" dxfId="8" priority="13" operator="containsText" text="fałsz">
      <formula>NOT(ISERROR(SEARCH("fałsz",AA3)))</formula>
    </cfRule>
  </conditionalFormatting>
  <conditionalFormatting sqref="AB45:AC45">
    <cfRule type="cellIs" dxfId="7" priority="10" operator="equal">
      <formula>FALSE</formula>
    </cfRule>
  </conditionalFormatting>
  <conditionalFormatting sqref="AB45:AC45">
    <cfRule type="containsText" dxfId="6" priority="8" operator="containsText" text="fałsz">
      <formula>NOT(ISERROR(SEARCH("fałsz",AB45)))</formula>
    </cfRule>
  </conditionalFormatting>
  <conditionalFormatting sqref="AD45">
    <cfRule type="cellIs" dxfId="5" priority="7" operator="equal">
      <formula>FALSE</formula>
    </cfRule>
  </conditionalFormatting>
  <conditionalFormatting sqref="AD45">
    <cfRule type="cellIs" dxfId="4" priority="6" operator="equal">
      <formula>FALSE</formula>
    </cfRule>
  </conditionalFormatting>
  <conditionalFormatting sqref="AB44:AC44">
    <cfRule type="containsText" dxfId="3" priority="3" operator="containsText" text="fałsz">
      <formula>NOT(ISERROR(SEARCH("fałsz",AB44)))</formula>
    </cfRule>
  </conditionalFormatting>
  <conditionalFormatting sqref="AB44:AC44">
    <cfRule type="cellIs" dxfId="2" priority="5" operator="equal">
      <formula>FALSE</formula>
    </cfRule>
  </conditionalFormatting>
  <conditionalFormatting sqref="AD44">
    <cfRule type="cellIs" dxfId="1" priority="2" operator="equal">
      <formula>FALSE</formula>
    </cfRule>
  </conditionalFormatting>
  <conditionalFormatting sqref="AD44">
    <cfRule type="cellIs" dxfId="0" priority="1" operator="equal">
      <formula>FALSE</formula>
    </cfRule>
  </conditionalFormatting>
  <dataValidations count="2">
    <dataValidation type="list" allowBlank="1" showInputMessage="1" showErrorMessage="1" sqref="H3:H42" xr:uid="{00000000-0002-0000-0400-000000000000}">
      <formula1>"B,P,R"</formula1>
    </dataValidation>
    <dataValidation type="list" allowBlank="1" showInputMessage="1" showErrorMessage="1" sqref="C3:C42" xr:uid="{00000000-0002-0000-04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dolnośląskie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Bielicka Marzena</dc:creator>
  <cp:lastModifiedBy>Urszula Czerkawska</cp:lastModifiedBy>
  <cp:lastPrinted>2024-09-25T11:00:02Z</cp:lastPrinted>
  <dcterms:created xsi:type="dcterms:W3CDTF">2019-02-25T10:53:14Z</dcterms:created>
  <dcterms:modified xsi:type="dcterms:W3CDTF">2024-10-17T06:16:38Z</dcterms:modified>
</cp:coreProperties>
</file>