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<sst xmlns="http://schemas.openxmlformats.org/spreadsheetml/2006/main" count="111" uniqueCount="92">
  <si>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</si>
  <si>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</si>
  <si>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</si>
  <si>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</si>
  <si>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</si>
  <si>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</si>
  <si>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</si>
  <si>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</si>
  <si>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</si>
  <si>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</si>
  <si>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</si>
  <si>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</si>
  <si>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</si>
  <si>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</si>
  <si>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</si>
  <si>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</si>
  <si>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</si>
  <si>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</si>
  <si>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</si>
  <si>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</si>
  <si>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</si>
  <si>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</si>
  <si>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</si>
  <si>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</si>
  <si>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</si>
  <si>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</si>
  <si>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</si>
  <si>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</si>
  <si>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</si>
  <si>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</si>
  <si>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</si>
  <si>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</si>
  <si>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</si>
  <si>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</si>
  <si>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</si>
  <si>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</si>
  <si>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</si>
  <si>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</si>
  <si>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</si>
  <si>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</si>
  <si>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</si>
  <si>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</si>
  <si>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</si>
  <si>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</si>
  <si>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</si>
  <si>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</si>
  <si>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</si>
  <si>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</si>
  <si>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</si>
  <si>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</si>
  <si>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</si>
  <si>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</si>
  <si>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</si>
  <si>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wydatki z tytułu udzielania poręczeń i gwarancji</t>
  </si>
  <si>
    <t>świadczenia na rzecz osób fizycznych</t>
  </si>
  <si>
    <t>Dotacje §§ 200 i 620</t>
  </si>
  <si>
    <t>w tym: inwestycyjne § 620</t>
  </si>
  <si>
    <t>tytul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</si>
  <si>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</si>
  <si>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</si>
  <si>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</si>
  <si>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</si>
  <si>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</si>
  <si>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</si>
  <si>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</si>
  <si>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</si>
  <si>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</si>
  <si>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</si>
  <si>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</si>
  <si>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</si>
  <si>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</si>
  <si>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</si>
  <si>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</si>
  <si>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</si>
  <si>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</si>
  <si>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</si>
  <si>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</si>
  <si>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</si>
  <si>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</si>
  <si>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</si>
  <si>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</si>
  <si>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</si>
  <si>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</si>
  <si>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</si>
  <si>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</si>
  <si>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</si>
  <si>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</si>
  <si>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</si>
  <si>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</si>
  <si>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wydatki na wynagrodzenia i pochodne od wynagrodzeń</t>
  </si>
  <si>
    <t>niewykorzystane środki pieniężne o których mowa w art..217 ust.2 pkt.8 ustawy o finansach publicznych</t>
  </si>
  <si>
    <t>otrzymane ze środków z Funduszu Przeciwdziałania COVID-19 (m.in. z Rządowego Funduszu Inwestycji Lokalnych)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</si>
</sst>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166" fontId="7" fillId="0" borderId="19" xfId="0" applyNumberFormat="1" applyFont="1" applyBorder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40" borderId="19" xfId="71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40" borderId="20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4" fontId="7" fillId="50" borderId="20" xfId="0" applyNumberFormat="1" applyFont="1" applyFill="1" applyBorder="1" applyAlignment="1">
      <alignment horizontal="right" vertical="center"/>
    </xf>
    <xf numFmtId="4" fontId="12" fillId="51" borderId="20" xfId="0" applyNumberFormat="1" applyFont="1" applyFill="1" applyBorder="1" applyAlignment="1">
      <alignment horizontal="right" vertical="center"/>
    </xf>
    <xf numFmtId="4" fontId="12" fillId="51" borderId="21" xfId="0" applyNumberFormat="1" applyFont="1" applyFill="1" applyBorder="1" applyAlignment="1">
      <alignment horizontal="right" vertical="center"/>
    </xf>
    <xf numFmtId="0" fontId="55" fillId="51" borderId="19" xfId="89" applyFont="1" applyFill="1" applyBorder="1" applyAlignment="1">
      <alignment horizontal="left" vertical="center" wrapText="1"/>
      <protection/>
    </xf>
    <xf numFmtId="164" fontId="12" fillId="50" borderId="19" xfId="71" applyNumberFormat="1" applyFont="1" applyFill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2" fillId="40" borderId="19" xfId="0" applyFont="1" applyFill="1" applyBorder="1" applyAlignment="1">
      <alignment horizontal="left" vertical="center" wrapText="1"/>
    </xf>
    <xf numFmtId="0" fontId="13" fillId="51" borderId="19" xfId="0" applyFont="1" applyFill="1" applyBorder="1" applyAlignment="1">
      <alignment horizontal="left" vertical="center" wrapText="1"/>
    </xf>
    <xf numFmtId="4" fontId="13" fillId="51" borderId="19" xfId="0" applyNumberFormat="1" applyFont="1" applyFill="1" applyBorder="1" applyAlignment="1">
      <alignment horizontal="right" vertical="center"/>
    </xf>
    <xf numFmtId="164" fontId="13" fillId="51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1" borderId="19" xfId="0" applyNumberFormat="1" applyFont="1" applyFill="1" applyBorder="1" applyAlignment="1">
      <alignment horizontal="right" vertical="center"/>
    </xf>
    <xf numFmtId="164" fontId="5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1" borderId="19" xfId="0" applyFont="1" applyFill="1" applyBorder="1" applyAlignment="1">
      <alignment horizontal="left" vertical="center" wrapText="1" indent="1"/>
    </xf>
    <xf numFmtId="4" fontId="12" fillId="51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1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 inden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5" fillId="0" borderId="19" xfId="89" applyFont="1" applyFill="1" applyBorder="1" applyAlignment="1">
      <alignment horizontal="left" vertical="center" wrapText="1"/>
      <protection/>
    </xf>
    <xf numFmtId="0" fontId="5" fillId="50" borderId="19" xfId="0" applyFont="1" applyFill="1" applyBorder="1" applyAlignment="1">
      <alignment horizontal="left" vertical="center" wrapText="1" indent="1"/>
    </xf>
    <xf numFmtId="4" fontId="5" fillId="50" borderId="19" xfId="0" applyNumberFormat="1" applyFont="1" applyFill="1" applyBorder="1" applyAlignment="1">
      <alignment horizontal="right" vertical="center"/>
    </xf>
    <xf numFmtId="164" fontId="5" fillId="50" borderId="19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2" fillId="51" borderId="19" xfId="0" applyNumberFormat="1" applyFont="1" applyFill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7" fillId="0" borderId="20" xfId="0" applyNumberFormat="1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4" fontId="5" fillId="40" borderId="20" xfId="0" applyNumberFormat="1" applyFont="1" applyFill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6"/>
  <sheetViews>
    <sheetView tabSelected="1" workbookViewId="0" topLeftCell="B1">
      <selection activeCell="B2" sqref="B2:B3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110" t="str">
        <f>CONCATENATE("Informacja z wykonania budżetów województw za ",$D$93," ",$C$94," rok    ",$C$96,"")</f>
        <v>Informacja z wykonania budżetów województw za IV Kwartały 2021 rok    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2:8" ht="60" customHeight="1">
      <c r="B2" s="102" t="s">
        <v>0</v>
      </c>
      <c r="C2" s="13" t="s">
        <v>28</v>
      </c>
      <c r="D2" s="13" t="s">
        <v>29</v>
      </c>
      <c r="E2" s="13" t="s">
        <v>30</v>
      </c>
      <c r="F2" s="14" t="s">
        <v>2</v>
      </c>
      <c r="G2" s="13" t="s">
        <v>18</v>
      </c>
      <c r="H2" s="13" t="s">
        <v>3</v>
      </c>
    </row>
    <row r="3" spans="2:8" ht="9.75" customHeight="1">
      <c r="B3" s="102"/>
      <c r="C3" s="95" t="s">
        <v>63</v>
      </c>
      <c r="D3" s="95"/>
      <c r="E3" s="95"/>
      <c r="F3" s="95" t="s">
        <v>4</v>
      </c>
      <c r="G3" s="95"/>
      <c r="H3" s="95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71" t="s">
        <v>5</v>
      </c>
      <c r="C5" s="72">
        <f>21843643459.89</f>
        <v>21843643459.89</v>
      </c>
      <c r="D5" s="72">
        <f>22826558202.36</f>
        <v>22826558202.36</v>
      </c>
      <c r="E5" s="72">
        <f>22839517606.96</f>
        <v>22839517606.96</v>
      </c>
      <c r="F5" s="73">
        <f aca="true" t="shared" si="0" ref="F5:F35">IF($D$5=0,"",100*$D5/$D$5)</f>
        <v>100</v>
      </c>
      <c r="G5" s="73">
        <f>IF(C5=0,"",100*D5/C5)</f>
        <v>104.49977470230577</v>
      </c>
      <c r="H5" s="73"/>
      <c r="I5" s="35"/>
      <c r="J5" s="35"/>
      <c r="K5" s="35"/>
      <c r="L5" s="35"/>
      <c r="M5" s="35"/>
    </row>
    <row r="6" spans="2:13" ht="25.5" customHeight="1">
      <c r="B6" s="56" t="s">
        <v>44</v>
      </c>
      <c r="C6" s="22">
        <f>C5-C11-C31</f>
        <v>11124906979.439999</v>
      </c>
      <c r="D6" s="22">
        <f>D5-D11-D31</f>
        <v>12698763482.710001</v>
      </c>
      <c r="E6" s="22">
        <f>E5-E11-E31</f>
        <v>12628260698.49</v>
      </c>
      <c r="F6" s="30">
        <f t="shared" si="0"/>
        <v>55.63152959869831</v>
      </c>
      <c r="G6" s="30">
        <f aca="true" t="shared" si="1" ref="G6:G38">IF(C6=0,"",100*D6/C6)</f>
        <v>114.14714303839712</v>
      </c>
      <c r="H6" s="30">
        <f>IF($D$6=0,"",100*$D6/$D$6)</f>
        <v>99.99999999999999</v>
      </c>
      <c r="I6" s="35"/>
      <c r="J6" s="35"/>
      <c r="K6" s="35"/>
      <c r="L6" s="35"/>
      <c r="M6" s="35"/>
    </row>
    <row r="7" spans="2:13" ht="22.5" customHeight="1">
      <c r="B7" s="17" t="s">
        <v>26</v>
      </c>
      <c r="C7" s="20">
        <f>7933705922</f>
        <v>7933705922</v>
      </c>
      <c r="D7" s="20">
        <f>9239933501.02</f>
        <v>9239933501.02</v>
      </c>
      <c r="E7" s="20">
        <f>9230989958.63</f>
        <v>9230989958.63</v>
      </c>
      <c r="F7" s="31">
        <f t="shared" si="0"/>
        <v>40.47887298254495</v>
      </c>
      <c r="G7" s="31">
        <f t="shared" si="1"/>
        <v>116.46428027282758</v>
      </c>
      <c r="H7" s="31">
        <f>IF($D$6=0,"",100*$D7/$D$6)</f>
        <v>72.76246631099657</v>
      </c>
      <c r="I7" s="35"/>
      <c r="J7" s="35"/>
      <c r="K7" s="35"/>
      <c r="L7" s="35"/>
      <c r="M7" s="35"/>
    </row>
    <row r="8" spans="2:13" ht="22.5" customHeight="1">
      <c r="B8" s="29" t="s">
        <v>19</v>
      </c>
      <c r="C8" s="21">
        <f>1836041095</f>
        <v>1836041095</v>
      </c>
      <c r="D8" s="21">
        <f>1983431946</f>
        <v>1983431946</v>
      </c>
      <c r="E8" s="21">
        <f>1920655793</f>
        <v>1920655793</v>
      </c>
      <c r="F8" s="31">
        <f t="shared" si="0"/>
        <v>8.68914151847446</v>
      </c>
      <c r="G8" s="31">
        <f t="shared" si="1"/>
        <v>108.02764444659665</v>
      </c>
      <c r="H8" s="31">
        <f>IF($D$6=0,"",100*$D8/$D$6)</f>
        <v>15.61909510875245</v>
      </c>
      <c r="I8" s="35"/>
      <c r="J8" s="35"/>
      <c r="K8" s="35"/>
      <c r="L8" s="35"/>
      <c r="M8" s="35"/>
    </row>
    <row r="9" spans="2:13" ht="12.75">
      <c r="B9" s="29" t="s">
        <v>20</v>
      </c>
      <c r="C9" s="21">
        <f>250481673.83</f>
        <v>250481673.83</v>
      </c>
      <c r="D9" s="74">
        <f>287024482.99</f>
        <v>287024482.99</v>
      </c>
      <c r="E9" s="21">
        <f>287024478.11</f>
        <v>287024478.11</v>
      </c>
      <c r="F9" s="31">
        <f t="shared" si="0"/>
        <v>1.2574146327514457</v>
      </c>
      <c r="G9" s="31">
        <f t="shared" si="1"/>
        <v>114.58901507692786</v>
      </c>
      <c r="H9" s="31">
        <f>IF($D$6=0,"",100*$D9/$D$6)</f>
        <v>2.2602553656566493</v>
      </c>
      <c r="I9" s="35"/>
      <c r="J9" s="35"/>
      <c r="K9" s="35"/>
      <c r="L9" s="35"/>
      <c r="M9" s="35"/>
    </row>
    <row r="10" spans="2:13" ht="12.75">
      <c r="B10" s="29" t="s">
        <v>21</v>
      </c>
      <c r="C10" s="21">
        <f>C6-C7-C8-C9</f>
        <v>1104678288.6099987</v>
      </c>
      <c r="D10" s="21">
        <f>D6-D7-D8-D9</f>
        <v>1188373552.7000005</v>
      </c>
      <c r="E10" s="21">
        <f>E6-E7-E8-E9</f>
        <v>1189590468.7500005</v>
      </c>
      <c r="F10" s="31">
        <f t="shared" si="0"/>
        <v>5.206100464927457</v>
      </c>
      <c r="G10" s="31">
        <f t="shared" si="1"/>
        <v>107.57643786005012</v>
      </c>
      <c r="H10" s="31">
        <f>IF($D$6=0,"",100*$D10/$D$6)</f>
        <v>9.358183214594321</v>
      </c>
      <c r="I10" s="35"/>
      <c r="J10" s="35"/>
      <c r="K10" s="35"/>
      <c r="L10" s="35"/>
      <c r="M10" s="35"/>
    </row>
    <row r="11" spans="2:13" ht="12.75">
      <c r="B11" s="71" t="s">
        <v>78</v>
      </c>
      <c r="C11" s="72">
        <f>C12+C27+C29</f>
        <v>7061736761.45</v>
      </c>
      <c r="D11" s="72">
        <f>D12+D27+D29</f>
        <v>6453699667.65</v>
      </c>
      <c r="E11" s="72">
        <f>E12+E27+E29</f>
        <v>6544189618.469999</v>
      </c>
      <c r="F11" s="73">
        <f t="shared" si="0"/>
        <v>28.272767232086537</v>
      </c>
      <c r="G11" s="73">
        <f t="shared" si="1"/>
        <v>91.3896947119401</v>
      </c>
      <c r="H11" s="75"/>
      <c r="I11" s="35"/>
      <c r="J11" s="35"/>
      <c r="K11" s="35"/>
      <c r="L11" s="35"/>
      <c r="M11" s="35"/>
    </row>
    <row r="12" spans="2:13" ht="12.75">
      <c r="B12" s="71" t="s">
        <v>79</v>
      </c>
      <c r="C12" s="72">
        <f>C13+C15+C17+C19+C21+C23+C25</f>
        <v>1599074639.33</v>
      </c>
      <c r="D12" s="72">
        <f>D13+D15+D17+D19+D21+D23+D25</f>
        <v>1450970984.68</v>
      </c>
      <c r="E12" s="72">
        <f>E13+E15+E17+E19+E21+E23+E25</f>
        <v>1437815479.49</v>
      </c>
      <c r="F12" s="73">
        <f t="shared" si="0"/>
        <v>6.356503559656166</v>
      </c>
      <c r="G12" s="73">
        <f t="shared" si="1"/>
        <v>90.73816499822334</v>
      </c>
      <c r="H12" s="26"/>
      <c r="I12" s="35"/>
      <c r="J12" s="35"/>
      <c r="K12" s="35"/>
      <c r="L12" s="35"/>
      <c r="M12" s="35"/>
    </row>
    <row r="13" spans="2:13" ht="22.5" customHeight="1">
      <c r="B13" s="29" t="s">
        <v>9</v>
      </c>
      <c r="C13" s="21">
        <f>1079596979.45</f>
        <v>1079596979.45</v>
      </c>
      <c r="D13" s="21">
        <f>944287164.33</f>
        <v>944287164.33</v>
      </c>
      <c r="E13" s="21">
        <f>958016762.27</f>
        <v>958016762.27</v>
      </c>
      <c r="F13" s="31">
        <f t="shared" si="0"/>
        <v>4.136791696578995</v>
      </c>
      <c r="G13" s="31">
        <f t="shared" si="1"/>
        <v>87.46663637490599</v>
      </c>
      <c r="H13" s="26"/>
      <c r="I13" s="35"/>
      <c r="J13" s="35"/>
      <c r="K13" s="35"/>
      <c r="L13" s="35"/>
      <c r="M13" s="35"/>
    </row>
    <row r="14" spans="2:13" ht="11.25" customHeight="1">
      <c r="B14" s="78" t="s">
        <v>6</v>
      </c>
      <c r="C14" s="21">
        <f>11456346.65</f>
        <v>11456346.65</v>
      </c>
      <c r="D14" s="21">
        <f>10457782.87</f>
        <v>10457782.87</v>
      </c>
      <c r="E14" s="21">
        <f>10457782.87</f>
        <v>10457782.87</v>
      </c>
      <c r="F14" s="31">
        <f t="shared" si="0"/>
        <v>0.045814102929099425</v>
      </c>
      <c r="G14" s="31">
        <f t="shared" si="1"/>
        <v>91.2837503044655</v>
      </c>
      <c r="H14" s="26"/>
      <c r="I14" s="35"/>
      <c r="J14" s="35"/>
      <c r="K14" s="35"/>
      <c r="L14" s="35"/>
      <c r="M14" s="35"/>
    </row>
    <row r="15" spans="2:13" ht="11.25" customHeight="1">
      <c r="B15" s="29" t="s">
        <v>7</v>
      </c>
      <c r="C15" s="21">
        <f>85649626.34</f>
        <v>85649626.34</v>
      </c>
      <c r="D15" s="21">
        <f>66363491.67</f>
        <v>66363491.67</v>
      </c>
      <c r="E15" s="21">
        <f>66410885.62</f>
        <v>66410885.62</v>
      </c>
      <c r="F15" s="31">
        <f t="shared" si="0"/>
        <v>0.29072929471749615</v>
      </c>
      <c r="G15" s="31">
        <f t="shared" si="1"/>
        <v>77.48252328219088</v>
      </c>
      <c r="H15" s="26"/>
      <c r="I15" s="35"/>
      <c r="J15" s="35"/>
      <c r="K15" s="35"/>
      <c r="L15" s="35"/>
      <c r="M15" s="35"/>
    </row>
    <row r="16" spans="2:13" ht="10.5" customHeight="1">
      <c r="B16" s="78" t="s">
        <v>6</v>
      </c>
      <c r="C16" s="21">
        <f>58129990.44</f>
        <v>58129990.44</v>
      </c>
      <c r="D16" s="21">
        <f>39638215.14</f>
        <v>39638215.14</v>
      </c>
      <c r="E16" s="21">
        <f>39643442.96</f>
        <v>39643442.96</v>
      </c>
      <c r="F16" s="31">
        <f t="shared" si="0"/>
        <v>0.17364954798968277</v>
      </c>
      <c r="G16" s="31">
        <f t="shared" si="1"/>
        <v>68.18892423681604</v>
      </c>
      <c r="H16" s="26"/>
      <c r="I16" s="35"/>
      <c r="J16" s="35"/>
      <c r="K16" s="35"/>
      <c r="L16" s="35"/>
      <c r="M16" s="35"/>
    </row>
    <row r="17" spans="2:13" ht="35.25" customHeight="1">
      <c r="B17" s="29" t="s">
        <v>10</v>
      </c>
      <c r="C17" s="21">
        <f>39149893</f>
        <v>39149893</v>
      </c>
      <c r="D17" s="21">
        <f>35379279.58</f>
        <v>35379279.58</v>
      </c>
      <c r="E17" s="21">
        <f>36043451.51</f>
        <v>36043451.51</v>
      </c>
      <c r="F17" s="31">
        <f t="shared" si="0"/>
        <v>0.154991739299279</v>
      </c>
      <c r="G17" s="31">
        <f t="shared" si="1"/>
        <v>90.36877720202199</v>
      </c>
      <c r="H17" s="26"/>
      <c r="I17" s="35"/>
      <c r="J17" s="35"/>
      <c r="K17" s="35"/>
      <c r="L17" s="35"/>
      <c r="M17" s="35"/>
    </row>
    <row r="18" spans="2:13" ht="9.75" customHeight="1">
      <c r="B18" s="78" t="s">
        <v>6</v>
      </c>
      <c r="C18" s="21">
        <f>85100</f>
        <v>85100</v>
      </c>
      <c r="D18" s="21">
        <f>72606.9</f>
        <v>72606.9</v>
      </c>
      <c r="E18" s="21">
        <f>85100</f>
        <v>85100</v>
      </c>
      <c r="F18" s="31">
        <f t="shared" si="0"/>
        <v>0.0003180808046326199</v>
      </c>
      <c r="G18" s="31">
        <f t="shared" si="1"/>
        <v>85.31950646298472</v>
      </c>
      <c r="H18" s="26"/>
      <c r="I18" s="35"/>
      <c r="J18" s="35"/>
      <c r="K18" s="35"/>
      <c r="L18" s="35"/>
      <c r="M18" s="35"/>
    </row>
    <row r="19" spans="2:13" ht="33.75" customHeight="1">
      <c r="B19" s="29" t="s">
        <v>11</v>
      </c>
      <c r="C19" s="21">
        <f>75524673.22</f>
        <v>75524673.22</v>
      </c>
      <c r="D19" s="21">
        <f>62947548.92</f>
        <v>62947548.92</v>
      </c>
      <c r="E19" s="21">
        <f>63329879.91</f>
        <v>63329879.91</v>
      </c>
      <c r="F19" s="31">
        <f t="shared" si="0"/>
        <v>0.2757645211422717</v>
      </c>
      <c r="G19" s="31">
        <f t="shared" si="1"/>
        <v>83.34699937944333</v>
      </c>
      <c r="H19" s="26"/>
      <c r="I19" s="35"/>
      <c r="J19" s="35"/>
      <c r="K19" s="35"/>
      <c r="L19" s="35"/>
      <c r="M19" s="35"/>
    </row>
    <row r="20" spans="2:13" ht="11.25" customHeight="1">
      <c r="B20" s="78" t="s">
        <v>6</v>
      </c>
      <c r="C20" s="21">
        <f>16923312.22</f>
        <v>16923312.22</v>
      </c>
      <c r="D20" s="21">
        <f>5763709.66</f>
        <v>5763709.66</v>
      </c>
      <c r="E20" s="21">
        <f>5767958.66</f>
        <v>5767958.66</v>
      </c>
      <c r="F20" s="31">
        <f t="shared" si="0"/>
        <v>0.025250016270101112</v>
      </c>
      <c r="G20" s="31">
        <f t="shared" si="1"/>
        <v>34.05781081784001</v>
      </c>
      <c r="H20" s="26"/>
      <c r="I20" s="35"/>
      <c r="J20" s="35"/>
      <c r="K20" s="35"/>
      <c r="L20" s="35"/>
      <c r="M20" s="35"/>
    </row>
    <row r="21" spans="2:13" ht="45" customHeight="1">
      <c r="B21" s="29" t="s">
        <v>65</v>
      </c>
      <c r="C21" s="21">
        <f>181176714.32</f>
        <v>181176714.32</v>
      </c>
      <c r="D21" s="21">
        <f>161123944.44</f>
        <v>161123944.44</v>
      </c>
      <c r="E21" s="21">
        <f>161123944.44</f>
        <v>161123944.44</v>
      </c>
      <c r="F21" s="31">
        <f t="shared" si="0"/>
        <v>0.7058617554675486</v>
      </c>
      <c r="G21" s="31">
        <f t="shared" si="1"/>
        <v>88.93192761814736</v>
      </c>
      <c r="H21" s="26"/>
      <c r="I21" s="35"/>
      <c r="J21" s="35"/>
      <c r="K21" s="35"/>
      <c r="L21" s="35"/>
      <c r="M21" s="35"/>
    </row>
    <row r="22" spans="2:13" ht="12.75">
      <c r="B22" s="78" t="s">
        <v>6</v>
      </c>
      <c r="C22" s="21">
        <f>118103213.78</f>
        <v>118103213.78</v>
      </c>
      <c r="D22" s="21">
        <f>99792973.56</f>
        <v>99792973.56</v>
      </c>
      <c r="E22" s="21">
        <f>99792973.56</f>
        <v>99792973.56</v>
      </c>
      <c r="F22" s="31">
        <f t="shared" si="0"/>
        <v>0.43717923953021776</v>
      </c>
      <c r="G22" s="31">
        <f t="shared" si="1"/>
        <v>84.49640815523622</v>
      </c>
      <c r="H22" s="26"/>
      <c r="I22" s="35"/>
      <c r="J22" s="35"/>
      <c r="K22" s="35"/>
      <c r="L22" s="35"/>
      <c r="M22" s="35"/>
    </row>
    <row r="23" spans="2:13" ht="21.75" customHeight="1">
      <c r="B23" s="29" t="s">
        <v>8</v>
      </c>
      <c r="C23" s="21">
        <f>57554000</f>
        <v>57554000</v>
      </c>
      <c r="D23" s="21">
        <f>57348965.14</f>
        <v>57348965.14</v>
      </c>
      <c r="E23" s="21">
        <f>57348965.14</f>
        <v>57348965.14</v>
      </c>
      <c r="F23" s="31">
        <f t="shared" si="0"/>
        <v>0.25123789855481055</v>
      </c>
      <c r="G23" s="31">
        <f t="shared" si="1"/>
        <v>99.64375219793585</v>
      </c>
      <c r="H23" s="26"/>
      <c r="I23" s="35"/>
      <c r="J23" s="35"/>
      <c r="K23" s="35"/>
      <c r="L23" s="35"/>
      <c r="M23" s="35"/>
    </row>
    <row r="24" spans="2:13" ht="12.75">
      <c r="B24" s="78" t="s">
        <v>6</v>
      </c>
      <c r="C24" s="21">
        <f>7977583</f>
        <v>7977583</v>
      </c>
      <c r="D24" s="21">
        <f>7969453.81</f>
        <v>7969453.81</v>
      </c>
      <c r="E24" s="21">
        <f>7969453.81</f>
        <v>7969453.81</v>
      </c>
      <c r="F24" s="31">
        <f t="shared" si="0"/>
        <v>0.034913076861390564</v>
      </c>
      <c r="G24" s="31">
        <f t="shared" si="1"/>
        <v>99.89809958730608</v>
      </c>
      <c r="H24" s="26"/>
      <c r="I24" s="35"/>
      <c r="J24" s="35"/>
      <c r="K24" s="35"/>
      <c r="L24" s="35"/>
      <c r="M24" s="35"/>
    </row>
    <row r="25" spans="2:13" ht="45">
      <c r="B25" s="92" t="s">
        <v>91</v>
      </c>
      <c r="C25" s="93">
        <f>80422753</f>
        <v>80422753</v>
      </c>
      <c r="D25" s="93">
        <f>123520590.6</f>
        <v>123520590.6</v>
      </c>
      <c r="E25" s="93">
        <f>95541590.6</f>
        <v>95541590.6</v>
      </c>
      <c r="F25" s="94">
        <f t="shared" si="0"/>
        <v>0.5411266538957652</v>
      </c>
      <c r="G25" s="94">
        <f t="shared" si="1"/>
        <v>153.58911003705632</v>
      </c>
      <c r="H25" s="26"/>
      <c r="I25" s="35"/>
      <c r="J25" s="35"/>
      <c r="K25" s="35"/>
      <c r="L25" s="35"/>
      <c r="M25" s="35"/>
    </row>
    <row r="26" spans="2:13" ht="12.75">
      <c r="B26" s="78" t="s">
        <v>6</v>
      </c>
      <c r="C26" s="21">
        <f>78841081</f>
        <v>78841081</v>
      </c>
      <c r="D26" s="21">
        <f>121939293</f>
        <v>121939293</v>
      </c>
      <c r="E26" s="21">
        <f>93960293</f>
        <v>93960293</v>
      </c>
      <c r="F26" s="31">
        <f t="shared" si="0"/>
        <v>0.5341992074275695</v>
      </c>
      <c r="G26" s="31">
        <f t="shared" si="1"/>
        <v>154.6646639713121</v>
      </c>
      <c r="H26" s="26"/>
      <c r="I26" s="35"/>
      <c r="J26" s="35"/>
      <c r="K26" s="35"/>
      <c r="L26" s="35"/>
      <c r="M26" s="35"/>
    </row>
    <row r="27" spans="2:13" ht="13.5" customHeight="1">
      <c r="B27" s="71" t="s">
        <v>55</v>
      </c>
      <c r="C27" s="72">
        <f>1171633246.17</f>
        <v>1171633246.17</v>
      </c>
      <c r="D27" s="72">
        <f>914349568.9</f>
        <v>914349568.9</v>
      </c>
      <c r="E27" s="72">
        <f>959814003.13</f>
        <v>959814003.13</v>
      </c>
      <c r="F27" s="73">
        <f t="shared" si="0"/>
        <v>4.005639224250053</v>
      </c>
      <c r="G27" s="73">
        <f t="shared" si="1"/>
        <v>78.0405960558865</v>
      </c>
      <c r="H27" s="26"/>
      <c r="I27" s="35"/>
      <c r="J27" s="35"/>
      <c r="K27" s="35"/>
      <c r="L27" s="35"/>
      <c r="M27" s="35"/>
    </row>
    <row r="28" spans="2:13" ht="14.25" customHeight="1">
      <c r="B28" s="28" t="s">
        <v>56</v>
      </c>
      <c r="C28" s="20">
        <f>617875895.06</f>
        <v>617875895.06</v>
      </c>
      <c r="D28" s="20">
        <f>433240083.41</f>
        <v>433240083.41</v>
      </c>
      <c r="E28" s="20">
        <f>458274456.41</f>
        <v>458274456.41</v>
      </c>
      <c r="F28" s="31">
        <f t="shared" si="0"/>
        <v>1.897964991345949</v>
      </c>
      <c r="G28" s="31">
        <f t="shared" si="1"/>
        <v>70.11765418813263</v>
      </c>
      <c r="H28" s="26"/>
      <c r="I28" s="35"/>
      <c r="J28" s="35"/>
      <c r="K28" s="35"/>
      <c r="L28" s="35"/>
      <c r="M28" s="35"/>
    </row>
    <row r="29" spans="2:13" ht="14.25" customHeight="1">
      <c r="B29" s="71" t="s">
        <v>73</v>
      </c>
      <c r="C29" s="72">
        <f>4291028875.95</f>
        <v>4291028875.95</v>
      </c>
      <c r="D29" s="72">
        <f>4088379114.07</f>
        <v>4088379114.07</v>
      </c>
      <c r="E29" s="72">
        <f>4146560135.85</f>
        <v>4146560135.85</v>
      </c>
      <c r="F29" s="77">
        <f t="shared" si="0"/>
        <v>17.910624448180318</v>
      </c>
      <c r="G29" s="77">
        <f t="shared" si="1"/>
        <v>95.27736196286642</v>
      </c>
      <c r="H29" s="26"/>
      <c r="I29" s="35"/>
      <c r="J29" s="35"/>
      <c r="K29" s="35"/>
      <c r="L29" s="35"/>
      <c r="M29" s="35"/>
    </row>
    <row r="30" spans="2:13" ht="14.25" customHeight="1">
      <c r="B30" s="28" t="s">
        <v>74</v>
      </c>
      <c r="C30" s="20">
        <f>2681075385.47</f>
        <v>2681075385.47</v>
      </c>
      <c r="D30" s="20">
        <f>2599509861.18</f>
        <v>2599509861.18</v>
      </c>
      <c r="E30" s="20">
        <f>2615044011.3</f>
        <v>2615044011.3</v>
      </c>
      <c r="F30" s="31">
        <f t="shared" si="0"/>
        <v>11.38809380781392</v>
      </c>
      <c r="G30" s="31">
        <f>IF(C29=0,"",100*D30/C30)</f>
        <v>96.95773103837207</v>
      </c>
      <c r="H30" s="26"/>
      <c r="I30" s="35"/>
      <c r="J30" s="35"/>
      <c r="K30" s="35"/>
      <c r="L30" s="35"/>
      <c r="M30" s="35"/>
    </row>
    <row r="31" spans="2:13" s="5" customFormat="1" ht="22.5" customHeight="1">
      <c r="B31" s="56" t="s">
        <v>45</v>
      </c>
      <c r="C31" s="22">
        <f>C32+C33+C34+C35</f>
        <v>3656999719</v>
      </c>
      <c r="D31" s="22">
        <f>D32+D33+D34+D35</f>
        <v>3674095052</v>
      </c>
      <c r="E31" s="22">
        <f>E32+E33+E34+E35</f>
        <v>3667067290</v>
      </c>
      <c r="F31" s="30">
        <f t="shared" si="0"/>
        <v>16.095703169215152</v>
      </c>
      <c r="G31" s="30">
        <f t="shared" si="1"/>
        <v>100.46746880813747</v>
      </c>
      <c r="H31" s="27"/>
      <c r="I31" s="57"/>
      <c r="J31" s="57"/>
      <c r="K31" s="57"/>
      <c r="L31" s="57"/>
      <c r="M31" s="57"/>
    </row>
    <row r="32" spans="2:13" ht="12.75">
      <c r="B32" s="29" t="s">
        <v>32</v>
      </c>
      <c r="C32" s="21">
        <f>661051017</f>
        <v>661051017</v>
      </c>
      <c r="D32" s="21">
        <f>661051017</f>
        <v>661051017</v>
      </c>
      <c r="E32" s="21">
        <f>654023255</f>
        <v>654023255</v>
      </c>
      <c r="F32" s="31">
        <f t="shared" si="0"/>
        <v>2.895973239328104</v>
      </c>
      <c r="G32" s="31">
        <f t="shared" si="1"/>
        <v>100</v>
      </c>
      <c r="H32" s="27"/>
      <c r="I32" s="35"/>
      <c r="J32" s="35"/>
      <c r="K32" s="35"/>
      <c r="L32" s="35"/>
      <c r="M32" s="35"/>
    </row>
    <row r="33" spans="2:13" ht="12.75">
      <c r="B33" s="29" t="s">
        <v>43</v>
      </c>
      <c r="C33" s="21">
        <f>638823295</f>
        <v>638823295</v>
      </c>
      <c r="D33" s="21">
        <f>638823295</f>
        <v>638823295</v>
      </c>
      <c r="E33" s="21">
        <f>638823295</f>
        <v>638823295</v>
      </c>
      <c r="F33" s="31">
        <f t="shared" si="0"/>
        <v>2.798596658054008</v>
      </c>
      <c r="G33" s="31">
        <f t="shared" si="1"/>
        <v>100</v>
      </c>
      <c r="H33" s="27"/>
      <c r="I33" s="35"/>
      <c r="J33" s="35"/>
      <c r="K33" s="35"/>
      <c r="L33" s="35"/>
      <c r="M33" s="35"/>
    </row>
    <row r="34" spans="2:13" ht="12.75">
      <c r="B34" s="29" t="s">
        <v>33</v>
      </c>
      <c r="C34" s="21">
        <f>1738734445</f>
        <v>1738734445</v>
      </c>
      <c r="D34" s="21">
        <f>1738734445</f>
        <v>1738734445</v>
      </c>
      <c r="E34" s="21">
        <f>1738734445</f>
        <v>1738734445</v>
      </c>
      <c r="F34" s="31">
        <f t="shared" si="0"/>
        <v>7.617155550065516</v>
      </c>
      <c r="G34" s="31">
        <f t="shared" si="1"/>
        <v>100</v>
      </c>
      <c r="H34" s="27"/>
      <c r="I34" s="35"/>
      <c r="J34" s="35"/>
      <c r="K34" s="35"/>
      <c r="L34" s="35"/>
      <c r="M34" s="35"/>
    </row>
    <row r="35" spans="2:13" s="5" customFormat="1" ht="14.25" customHeight="1">
      <c r="B35" s="29" t="s">
        <v>31</v>
      </c>
      <c r="C35" s="21">
        <f>618390962</f>
        <v>618390962</v>
      </c>
      <c r="D35" s="21">
        <f>635486295</f>
        <v>635486295</v>
      </c>
      <c r="E35" s="21">
        <f>635486295</f>
        <v>635486295</v>
      </c>
      <c r="F35" s="31">
        <f t="shared" si="0"/>
        <v>2.7839777217675246</v>
      </c>
      <c r="G35" s="31">
        <f t="shared" si="1"/>
        <v>102.76448623128486</v>
      </c>
      <c r="H35" s="27"/>
      <c r="I35" s="57"/>
      <c r="J35" s="57"/>
      <c r="K35" s="57"/>
      <c r="L35" s="57"/>
      <c r="M35" s="57"/>
    </row>
    <row r="36" spans="2:13" s="5" customFormat="1" ht="12.75">
      <c r="B36" s="79" t="s">
        <v>64</v>
      </c>
      <c r="C36" s="76">
        <f>+C5</f>
        <v>21843643459.89</v>
      </c>
      <c r="D36" s="76">
        <f>+D5</f>
        <v>22826558202.36</v>
      </c>
      <c r="E36" s="76">
        <f>+E5</f>
        <v>22839517606.96</v>
      </c>
      <c r="F36" s="77">
        <f>IF($D$5=0,"",100*$D36/$D$36)</f>
        <v>100</v>
      </c>
      <c r="G36" s="77">
        <f t="shared" si="1"/>
        <v>104.49977470230577</v>
      </c>
      <c r="H36" s="77"/>
      <c r="I36" s="57"/>
      <c r="J36" s="57"/>
      <c r="K36" s="57"/>
      <c r="L36" s="57"/>
      <c r="M36" s="57"/>
    </row>
    <row r="37" spans="2:13" s="5" customFormat="1" ht="12.75">
      <c r="B37" s="29" t="s">
        <v>58</v>
      </c>
      <c r="C37" s="21">
        <f>3977528406.47</f>
        <v>3977528406.47</v>
      </c>
      <c r="D37" s="21">
        <f>3735061231.72</f>
        <v>3735061231.72</v>
      </c>
      <c r="E37" s="21">
        <f>3747672724.76</f>
        <v>3747672724.76</v>
      </c>
      <c r="F37" s="31">
        <f>IF($D$5=0,"",100*$D37/$D$36)</f>
        <v>16.362787585444387</v>
      </c>
      <c r="G37" s="31">
        <f t="shared" si="1"/>
        <v>93.9040743403468</v>
      </c>
      <c r="H37" s="31">
        <f>IF($D$6=0,"",100*$D37/$D$6)</f>
        <v>29.4127946930067</v>
      </c>
      <c r="I37" s="57"/>
      <c r="J37" s="57"/>
      <c r="K37" s="57"/>
      <c r="L37" s="57"/>
      <c r="M37" s="57"/>
    </row>
    <row r="38" spans="1:13" s="5" customFormat="1" ht="12.75">
      <c r="A38" s="2"/>
      <c r="B38" s="29" t="s">
        <v>59</v>
      </c>
      <c r="C38" s="21">
        <f>C36-C37</f>
        <v>17866115053.42</v>
      </c>
      <c r="D38" s="21">
        <f>D36-D37</f>
        <v>19091496970.64</v>
      </c>
      <c r="E38" s="21">
        <f>E36-E37</f>
        <v>19091844882.199997</v>
      </c>
      <c r="F38" s="31">
        <f>IF($D$5=0,"",100*$D38/$D$36)</f>
        <v>83.6372124145556</v>
      </c>
      <c r="G38" s="31">
        <f t="shared" si="1"/>
        <v>106.85869263438687</v>
      </c>
      <c r="H38" s="31">
        <f>IF($D$6=0,"",100*$D38/$D$6)</f>
        <v>150.3413855737531</v>
      </c>
      <c r="I38" s="58"/>
      <c r="J38" s="58"/>
      <c r="K38" s="59"/>
      <c r="L38" s="59"/>
      <c r="M38" s="19"/>
    </row>
    <row r="39" spans="2:13" ht="21.75" customHeight="1">
      <c r="B39" s="110" t="str">
        <f>CONCATENATE("Informacja z wykonania budżetów województw za ",$D$93," ",$C$94," rok    ",$C$96,"")</f>
        <v>Informacja z wykonania budżetów województw za IV Kwartały 2021 rok    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2:13" s="5" customFormat="1" ht="4.5" customHeight="1">
      <c r="B40" s="6"/>
      <c r="C40" s="7"/>
      <c r="D40" s="8"/>
      <c r="E40" s="8"/>
      <c r="F40" s="4"/>
      <c r="G40" s="4"/>
      <c r="H40" s="4"/>
      <c r="I40" s="4"/>
      <c r="J40" s="4"/>
      <c r="K40" s="9"/>
      <c r="L40" s="9"/>
      <c r="M40" s="3"/>
    </row>
    <row r="41" spans="2:27" ht="29.25" customHeight="1">
      <c r="B41" s="102" t="s">
        <v>0</v>
      </c>
      <c r="C41" s="103" t="s">
        <v>39</v>
      </c>
      <c r="D41" s="103" t="s">
        <v>40</v>
      </c>
      <c r="E41" s="103" t="s">
        <v>41</v>
      </c>
      <c r="F41" s="103" t="s">
        <v>12</v>
      </c>
      <c r="G41" s="103"/>
      <c r="H41" s="103"/>
      <c r="I41" s="103" t="s">
        <v>75</v>
      </c>
      <c r="J41" s="103"/>
      <c r="K41" s="103" t="s">
        <v>2</v>
      </c>
      <c r="L41" s="101" t="s">
        <v>27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8" customHeight="1">
      <c r="B42" s="102"/>
      <c r="C42" s="103"/>
      <c r="D42" s="104"/>
      <c r="E42" s="103"/>
      <c r="F42" s="96" t="s">
        <v>42</v>
      </c>
      <c r="G42" s="111" t="s">
        <v>25</v>
      </c>
      <c r="H42" s="104"/>
      <c r="I42" s="103"/>
      <c r="J42" s="103"/>
      <c r="K42" s="103"/>
      <c r="L42" s="101"/>
      <c r="M42" s="11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36" customHeight="1">
      <c r="B43" s="102"/>
      <c r="C43" s="103"/>
      <c r="D43" s="104"/>
      <c r="E43" s="103"/>
      <c r="F43" s="104"/>
      <c r="G43" s="15" t="s">
        <v>37</v>
      </c>
      <c r="H43" s="15" t="s">
        <v>38</v>
      </c>
      <c r="I43" s="103"/>
      <c r="J43" s="103"/>
      <c r="K43" s="103"/>
      <c r="L43" s="101"/>
      <c r="M43" s="1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7" ht="13.5" customHeight="1">
      <c r="B44" s="102"/>
      <c r="C44" s="95" t="s">
        <v>63</v>
      </c>
      <c r="D44" s="95"/>
      <c r="E44" s="95"/>
      <c r="F44" s="95"/>
      <c r="G44" s="95"/>
      <c r="H44" s="95"/>
      <c r="I44" s="95"/>
      <c r="J44" s="95"/>
      <c r="K44" s="95" t="s">
        <v>4</v>
      </c>
      <c r="L44" s="9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ht="11.25" customHeight="1">
      <c r="B45" s="14">
        <v>1</v>
      </c>
      <c r="C45" s="16">
        <v>2</v>
      </c>
      <c r="D45" s="16">
        <v>3</v>
      </c>
      <c r="E45" s="16">
        <v>4</v>
      </c>
      <c r="F45" s="14">
        <v>5</v>
      </c>
      <c r="G45" s="14">
        <v>6</v>
      </c>
      <c r="H45" s="16">
        <v>7</v>
      </c>
      <c r="I45" s="104">
        <v>8</v>
      </c>
      <c r="J45" s="104"/>
      <c r="K45" s="14">
        <v>9</v>
      </c>
      <c r="L45" s="16">
        <v>10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13" ht="25.5" customHeight="1">
      <c r="B46" s="71" t="s">
        <v>46</v>
      </c>
      <c r="C46" s="80">
        <f>22963188906.03</f>
        <v>22963188906.03</v>
      </c>
      <c r="D46" s="80">
        <f>20817345533.68</f>
        <v>20817345533.68</v>
      </c>
      <c r="E46" s="80">
        <f>20802073580.95</f>
        <v>20802073580.95</v>
      </c>
      <c r="F46" s="80">
        <f>549347213.51</f>
        <v>549347213.51</v>
      </c>
      <c r="G46" s="80">
        <f>0</f>
        <v>0</v>
      </c>
      <c r="H46" s="80">
        <f>524894.98</f>
        <v>524894.98</v>
      </c>
      <c r="I46" s="108">
        <f>363451148.69</f>
        <v>363451148.69</v>
      </c>
      <c r="J46" s="108"/>
      <c r="K46" s="55">
        <f aca="true" t="shared" si="2" ref="K46:K55">IF($E$46=0,"",100*$E46/$E$46)</f>
        <v>100</v>
      </c>
      <c r="L46" s="55">
        <f aca="true" t="shared" si="3" ref="L46:L55">IF(C46=0,"",100*E46/C46)</f>
        <v>90.58878392751234</v>
      </c>
      <c r="M46" s="35"/>
    </row>
    <row r="47" spans="2:13" ht="12.75">
      <c r="B47" s="56" t="s">
        <v>14</v>
      </c>
      <c r="C47" s="23">
        <f>8535394050.21</f>
        <v>8535394050.21</v>
      </c>
      <c r="D47" s="23">
        <f>7526549077.01</f>
        <v>7526549077.01</v>
      </c>
      <c r="E47" s="23">
        <f>7511419380.98</f>
        <v>7511419380.98</v>
      </c>
      <c r="F47" s="23">
        <f>145384234.19</f>
        <v>145384234.19</v>
      </c>
      <c r="G47" s="23">
        <f>0</f>
        <v>0</v>
      </c>
      <c r="H47" s="23">
        <f>522893.63</f>
        <v>522893.63</v>
      </c>
      <c r="I47" s="107">
        <f>332197330.02</f>
        <v>332197330.02</v>
      </c>
      <c r="J47" s="109"/>
      <c r="K47" s="32">
        <f t="shared" si="2"/>
        <v>36.108993421976756</v>
      </c>
      <c r="L47" s="32">
        <f t="shared" si="3"/>
        <v>88.0031939567593</v>
      </c>
      <c r="M47" s="35"/>
    </row>
    <row r="48" spans="2:13" ht="22.5" customHeight="1">
      <c r="B48" s="17" t="s">
        <v>13</v>
      </c>
      <c r="C48" s="20">
        <f>8117663387.21</f>
        <v>8117663387.21</v>
      </c>
      <c r="D48" s="20">
        <f>7112549954.23</f>
        <v>7112549954.23</v>
      </c>
      <c r="E48" s="20">
        <f>7097420258.2</f>
        <v>7097420258.2</v>
      </c>
      <c r="F48" s="20">
        <f>145384234.19</f>
        <v>145384234.19</v>
      </c>
      <c r="G48" s="20">
        <f>0</f>
        <v>0</v>
      </c>
      <c r="H48" s="20">
        <f>522893.63</f>
        <v>522893.63</v>
      </c>
      <c r="I48" s="105">
        <f>332197330.02</f>
        <v>332197330.02</v>
      </c>
      <c r="J48" s="106"/>
      <c r="K48" s="33">
        <f t="shared" si="2"/>
        <v>34.118811428008954</v>
      </c>
      <c r="L48" s="33">
        <f t="shared" si="3"/>
        <v>87.43181282168621</v>
      </c>
      <c r="M48" s="35"/>
    </row>
    <row r="49" spans="2:13" ht="25.5" customHeight="1">
      <c r="B49" s="56" t="s">
        <v>47</v>
      </c>
      <c r="C49" s="23">
        <f aca="true" t="shared" si="4" ref="C49:I49">C46-C47</f>
        <v>14427794855.82</v>
      </c>
      <c r="D49" s="23">
        <f t="shared" si="4"/>
        <v>13290796456.67</v>
      </c>
      <c r="E49" s="23">
        <f t="shared" si="4"/>
        <v>13290654199.970001</v>
      </c>
      <c r="F49" s="23">
        <f t="shared" si="4"/>
        <v>403962979.32</v>
      </c>
      <c r="G49" s="23">
        <f t="shared" si="4"/>
        <v>0</v>
      </c>
      <c r="H49" s="23">
        <f t="shared" si="4"/>
        <v>2001.3499999999767</v>
      </c>
      <c r="I49" s="107">
        <f t="shared" si="4"/>
        <v>31253818.670000017</v>
      </c>
      <c r="J49" s="107"/>
      <c r="K49" s="32">
        <f t="shared" si="2"/>
        <v>63.891006578023244</v>
      </c>
      <c r="L49" s="32">
        <f t="shared" si="3"/>
        <v>92.11840293535023</v>
      </c>
      <c r="M49" s="35"/>
    </row>
    <row r="50" spans="2:13" ht="22.5">
      <c r="B50" s="17" t="s">
        <v>89</v>
      </c>
      <c r="C50" s="20">
        <f>3579936234.26</f>
        <v>3579936234.26</v>
      </c>
      <c r="D50" s="20">
        <f>3419450107.56</f>
        <v>3419450107.56</v>
      </c>
      <c r="E50" s="20">
        <f>3419402769.52</f>
        <v>3419402769.52</v>
      </c>
      <c r="F50" s="20">
        <f>230644071.26</f>
        <v>230644071.26</v>
      </c>
      <c r="G50" s="20">
        <f>0</f>
        <v>0</v>
      </c>
      <c r="H50" s="20">
        <f>105</f>
        <v>105</v>
      </c>
      <c r="I50" s="105">
        <f>0</f>
        <v>0</v>
      </c>
      <c r="J50" s="106"/>
      <c r="K50" s="33">
        <f t="shared" si="2"/>
        <v>16.43779768499329</v>
      </c>
      <c r="L50" s="33">
        <f t="shared" si="3"/>
        <v>95.51574513524307</v>
      </c>
      <c r="M50" s="35"/>
    </row>
    <row r="51" spans="2:13" ht="12.75">
      <c r="B51" s="29" t="s">
        <v>36</v>
      </c>
      <c r="C51" s="81">
        <f>5855712323.19</f>
        <v>5855712323.19</v>
      </c>
      <c r="D51" s="81">
        <f>5519929820.18999</f>
        <v>5519929820.18999</v>
      </c>
      <c r="E51" s="81">
        <f>5519922243.05999</f>
        <v>5519922243.05999</v>
      </c>
      <c r="F51" s="81">
        <f>2763235.78</f>
        <v>2763235.78</v>
      </c>
      <c r="G51" s="81">
        <f>0</f>
        <v>0</v>
      </c>
      <c r="H51" s="81">
        <f>0</f>
        <v>0</v>
      </c>
      <c r="I51" s="112">
        <f>9273369.17</f>
        <v>9273369.17</v>
      </c>
      <c r="J51" s="112"/>
      <c r="K51" s="82">
        <f t="shared" si="2"/>
        <v>26.535442351838384</v>
      </c>
      <c r="L51" s="82">
        <f t="shared" si="3"/>
        <v>94.26559807591296</v>
      </c>
      <c r="M51" s="35"/>
    </row>
    <row r="52" spans="2:13" ht="12.75">
      <c r="B52" s="29" t="s">
        <v>35</v>
      </c>
      <c r="C52" s="21">
        <f>93871494</f>
        <v>93871494</v>
      </c>
      <c r="D52" s="21">
        <f>62055239.71</f>
        <v>62055239.71</v>
      </c>
      <c r="E52" s="21">
        <f>62055239.71</f>
        <v>62055239.71</v>
      </c>
      <c r="F52" s="21">
        <f>1345652.4</f>
        <v>1345652.4</v>
      </c>
      <c r="G52" s="21">
        <f>0</f>
        <v>0</v>
      </c>
      <c r="H52" s="21">
        <f>0</f>
        <v>0</v>
      </c>
      <c r="I52" s="113">
        <f>0</f>
        <v>0</v>
      </c>
      <c r="J52" s="113"/>
      <c r="K52" s="82">
        <f t="shared" si="2"/>
        <v>0.29831275939158575</v>
      </c>
      <c r="L52" s="82">
        <f t="shared" si="3"/>
        <v>66.1065857863091</v>
      </c>
      <c r="M52" s="35"/>
    </row>
    <row r="53" spans="2:13" ht="22.5" customHeight="1">
      <c r="B53" s="29" t="s">
        <v>53</v>
      </c>
      <c r="C53" s="81">
        <f>46442980.4</f>
        <v>46442980.4</v>
      </c>
      <c r="D53" s="81">
        <f>14636280.6</f>
        <v>14636280.6</v>
      </c>
      <c r="E53" s="81">
        <f>14636280.6</f>
        <v>14636280.6</v>
      </c>
      <c r="F53" s="81">
        <f>0</f>
        <v>0</v>
      </c>
      <c r="G53" s="81">
        <f>0</f>
        <v>0</v>
      </c>
      <c r="H53" s="81">
        <f>0</f>
        <v>0</v>
      </c>
      <c r="I53" s="112">
        <f>0</f>
        <v>0</v>
      </c>
      <c r="J53" s="112"/>
      <c r="K53" s="82">
        <f t="shared" si="2"/>
        <v>0.07035971939549106</v>
      </c>
      <c r="L53" s="82">
        <f t="shared" si="3"/>
        <v>31.514516238927683</v>
      </c>
      <c r="M53" s="35"/>
    </row>
    <row r="54" spans="2:13" ht="22.5">
      <c r="B54" s="29" t="s">
        <v>54</v>
      </c>
      <c r="C54" s="81">
        <f>144463636.87</f>
        <v>144463636.87</v>
      </c>
      <c r="D54" s="81">
        <f>121644596.34</f>
        <v>121644596.34</v>
      </c>
      <c r="E54" s="81">
        <f>121644596.34</f>
        <v>121644596.34</v>
      </c>
      <c r="F54" s="81">
        <f>2283229.47</f>
        <v>2283229.47</v>
      </c>
      <c r="G54" s="81">
        <f>0</f>
        <v>0</v>
      </c>
      <c r="H54" s="81">
        <f>0</f>
        <v>0</v>
      </c>
      <c r="I54" s="114">
        <f>0</f>
        <v>0</v>
      </c>
      <c r="J54" s="115"/>
      <c r="K54" s="82">
        <f t="shared" si="2"/>
        <v>0.5847714934120749</v>
      </c>
      <c r="L54" s="82">
        <f t="shared" si="3"/>
        <v>84.20430149454536</v>
      </c>
      <c r="M54" s="35"/>
    </row>
    <row r="55" spans="2:13" ht="12.75">
      <c r="B55" s="29" t="s">
        <v>34</v>
      </c>
      <c r="C55" s="21">
        <f aca="true" t="shared" si="5" ref="C55:I55">C49-C50-C51-C52-C53-C54</f>
        <v>4707368187.1</v>
      </c>
      <c r="D55" s="21">
        <f t="shared" si="5"/>
        <v>4153080412.2700105</v>
      </c>
      <c r="E55" s="21">
        <f t="shared" si="5"/>
        <v>4152993070.7400107</v>
      </c>
      <c r="F55" s="21">
        <f t="shared" si="5"/>
        <v>166926790.41</v>
      </c>
      <c r="G55" s="21">
        <f t="shared" si="5"/>
        <v>0</v>
      </c>
      <c r="H55" s="21">
        <f t="shared" si="5"/>
        <v>1896.3499999999767</v>
      </c>
      <c r="I55" s="114">
        <f t="shared" si="5"/>
        <v>21980449.500000015</v>
      </c>
      <c r="J55" s="115"/>
      <c r="K55" s="82">
        <f t="shared" si="2"/>
        <v>19.964322568992422</v>
      </c>
      <c r="L55" s="82">
        <f t="shared" si="3"/>
        <v>88.22324716644874</v>
      </c>
      <c r="M55" s="35"/>
    </row>
    <row r="56" spans="2:13" ht="12.75">
      <c r="B56" s="56" t="s">
        <v>15</v>
      </c>
      <c r="C56" s="23">
        <f>C5-C46</f>
        <v>-1119545446.1399994</v>
      </c>
      <c r="D56" s="23"/>
      <c r="E56" s="23">
        <f>D5-E46</f>
        <v>2024484621.4099998</v>
      </c>
      <c r="F56" s="24"/>
      <c r="G56" s="24"/>
      <c r="H56" s="24"/>
      <c r="I56" s="116"/>
      <c r="J56" s="116"/>
      <c r="K56" s="25"/>
      <c r="L56" s="25"/>
      <c r="M56" s="60"/>
    </row>
    <row r="57" spans="2:13" ht="33.75">
      <c r="B57" s="61" t="s">
        <v>76</v>
      </c>
      <c r="C57" s="23">
        <f>+C38-C49</f>
        <v>3438320197.5999985</v>
      </c>
      <c r="D57" s="62"/>
      <c r="E57" s="23">
        <f>+D38-E49</f>
        <v>5800842770.669998</v>
      </c>
      <c r="F57" s="63"/>
      <c r="G57" s="63"/>
      <c r="H57" s="63"/>
      <c r="I57" s="119"/>
      <c r="J57" s="120"/>
      <c r="K57" s="35"/>
      <c r="L57" s="64"/>
      <c r="M57" s="64"/>
    </row>
    <row r="58" spans="2:13" ht="6.75" customHeight="1" thickBot="1">
      <c r="B58" s="65"/>
      <c r="C58" s="66"/>
      <c r="D58" s="66"/>
      <c r="E58" s="66"/>
      <c r="F58" s="18"/>
      <c r="G58" s="18"/>
      <c r="H58" s="18"/>
      <c r="I58" s="18"/>
      <c r="J58" s="35"/>
      <c r="K58" s="35"/>
      <c r="L58" s="64"/>
      <c r="M58" s="64"/>
    </row>
    <row r="59" spans="2:13" ht="12" customHeight="1" thickBot="1">
      <c r="B59" s="67" t="s">
        <v>60</v>
      </c>
      <c r="C59" s="66"/>
      <c r="D59" s="66"/>
      <c r="E59" s="66"/>
      <c r="F59" s="18"/>
      <c r="G59" s="18"/>
      <c r="H59" s="18"/>
      <c r="I59" s="18"/>
      <c r="J59" s="35"/>
      <c r="K59" s="35"/>
      <c r="L59" s="64"/>
      <c r="M59" s="64"/>
    </row>
    <row r="60" spans="2:13" ht="23.25" customHeight="1">
      <c r="B60" s="84" t="s">
        <v>77</v>
      </c>
      <c r="C60" s="23">
        <f>7232453666.9</f>
        <v>7232453666.9</v>
      </c>
      <c r="D60" s="23">
        <f>6235109150.03</f>
        <v>6235109150.03</v>
      </c>
      <c r="E60" s="23">
        <f>6233101772.21</f>
        <v>6233101772.21</v>
      </c>
      <c r="F60" s="23">
        <f>184065153.17</f>
        <v>184065153.17</v>
      </c>
      <c r="G60" s="23">
        <f>0</f>
        <v>0</v>
      </c>
      <c r="H60" s="23">
        <f>523847.63</f>
        <v>523847.63</v>
      </c>
      <c r="I60" s="121">
        <f>25287071.79</f>
        <v>25287071.79</v>
      </c>
      <c r="J60" s="122"/>
      <c r="K60" s="33">
        <f>IF($E$46=0,"",100*$E60/$E$60)</f>
        <v>100</v>
      </c>
      <c r="L60" s="33">
        <f>IF(C60=0,"",100*E60/C60)</f>
        <v>86.18239478997802</v>
      </c>
      <c r="M60" s="64"/>
    </row>
    <row r="61" spans="2:13" ht="12.75">
      <c r="B61" s="83" t="s">
        <v>61</v>
      </c>
      <c r="C61" s="81">
        <f>4583407272.07</f>
        <v>4583407272.07</v>
      </c>
      <c r="D61" s="81">
        <f>4010349215.86</f>
        <v>4010349215.86</v>
      </c>
      <c r="E61" s="81">
        <f>4008293311.55</f>
        <v>4008293311.55</v>
      </c>
      <c r="F61" s="81">
        <f>128202699.74</f>
        <v>128202699.74</v>
      </c>
      <c r="G61" s="81">
        <f>0</f>
        <v>0</v>
      </c>
      <c r="H61" s="81">
        <f>522893.63</f>
        <v>522893.63</v>
      </c>
      <c r="I61" s="114">
        <f>25266912.62</f>
        <v>25266912.62</v>
      </c>
      <c r="J61" s="115"/>
      <c r="K61" s="82">
        <f>IF($E$46=0,"",100*$E61/$E$60)</f>
        <v>64.30655968783941</v>
      </c>
      <c r="L61" s="82">
        <f>IF(C61=0,"",100*E61/C61)</f>
        <v>87.45226146442226</v>
      </c>
      <c r="M61" s="35"/>
    </row>
    <row r="62" spans="2:13" ht="12.75" customHeight="1">
      <c r="B62" s="83" t="s">
        <v>62</v>
      </c>
      <c r="C62" s="81">
        <f aca="true" t="shared" si="6" ref="C62:I62">C60-C61</f>
        <v>2649046394.83</v>
      </c>
      <c r="D62" s="81">
        <f t="shared" si="6"/>
        <v>2224759934.1699996</v>
      </c>
      <c r="E62" s="81">
        <f t="shared" si="6"/>
        <v>2224808460.66</v>
      </c>
      <c r="F62" s="81">
        <f t="shared" si="6"/>
        <v>55862453.42999999</v>
      </c>
      <c r="G62" s="81">
        <f t="shared" si="6"/>
        <v>0</v>
      </c>
      <c r="H62" s="81">
        <f t="shared" si="6"/>
        <v>954</v>
      </c>
      <c r="I62" s="123">
        <f t="shared" si="6"/>
        <v>20159.169999998063</v>
      </c>
      <c r="J62" s="124"/>
      <c r="K62" s="82">
        <f>IF($E$46=0,"",100*$E62/$E$60)</f>
        <v>35.69344031216058</v>
      </c>
      <c r="L62" s="82">
        <f>IF(C62=0,"",100*E62/C62)</f>
        <v>83.98525843118632</v>
      </c>
      <c r="M62" s="35"/>
    </row>
    <row r="63" spans="2:13" ht="23.25" customHeight="1">
      <c r="B63" s="110" t="str">
        <f>CONCATENATE("Informacja z wykonania budżetów województw za ",$D$93," ",$C$94," rok    ",$C$96,"")</f>
        <v>Informacja z wykonania budżetów województw za IV Kwartały 2021 rok    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</row>
    <row r="64" ht="6" customHeight="1"/>
    <row r="65" spans="2:8" ht="12.75">
      <c r="B65" s="39" t="s">
        <v>16</v>
      </c>
      <c r="C65" s="117" t="s">
        <v>17</v>
      </c>
      <c r="D65" s="118"/>
      <c r="E65" s="117" t="s">
        <v>1</v>
      </c>
      <c r="F65" s="118"/>
      <c r="G65" s="16" t="s">
        <v>22</v>
      </c>
      <c r="H65" s="16" t="s">
        <v>23</v>
      </c>
    </row>
    <row r="66" spans="2:8" ht="12.75">
      <c r="B66" s="39"/>
      <c r="C66" s="96" t="s">
        <v>63</v>
      </c>
      <c r="D66" s="97"/>
      <c r="E66" s="97"/>
      <c r="F66" s="98"/>
      <c r="G66" s="99" t="s">
        <v>4</v>
      </c>
      <c r="H66" s="100"/>
    </row>
    <row r="67" spans="2:8" ht="12.75">
      <c r="B67" s="37">
        <v>1</v>
      </c>
      <c r="C67" s="68">
        <v>2</v>
      </c>
      <c r="D67" s="69"/>
      <c r="E67" s="68">
        <v>3</v>
      </c>
      <c r="F67" s="69"/>
      <c r="G67" s="38">
        <v>4</v>
      </c>
      <c r="H67" s="38">
        <v>5</v>
      </c>
    </row>
    <row r="68" spans="2:8" ht="22.5">
      <c r="B68" s="70" t="s">
        <v>48</v>
      </c>
      <c r="C68" s="42">
        <f>2808742826.13</f>
        <v>2808742826.13</v>
      </c>
      <c r="D68" s="43"/>
      <c r="E68" s="42">
        <f>3425354006.75</f>
        <v>3425354006.75</v>
      </c>
      <c r="F68" s="43"/>
      <c r="G68" s="41">
        <f>IF($E$68=0,"",100*$E68/$E$68)</f>
        <v>100</v>
      </c>
      <c r="H68" s="32">
        <f>IF(C68=0,"",100*E68/C68)</f>
        <v>121.9532801253147</v>
      </c>
    </row>
    <row r="69" spans="2:8" ht="33.75">
      <c r="B69" s="40" t="s">
        <v>80</v>
      </c>
      <c r="C69" s="44">
        <f>965866978</f>
        <v>965866978</v>
      </c>
      <c r="D69" s="45"/>
      <c r="E69" s="44">
        <f>542003952.77</f>
        <v>542003952.77</v>
      </c>
      <c r="F69" s="45"/>
      <c r="G69" s="53">
        <f aca="true" t="shared" si="7" ref="G69:G76">IF($E$68=0,"",100*$E69/$E$68)</f>
        <v>15.823297437343044</v>
      </c>
      <c r="H69" s="54">
        <f aca="true" t="shared" si="8" ref="H69:H81">IF(C69=0,"",100*E69/C69)</f>
        <v>56.11579701092131</v>
      </c>
    </row>
    <row r="70" spans="2:8" ht="22.5">
      <c r="B70" s="85" t="s">
        <v>81</v>
      </c>
      <c r="C70" s="86">
        <f>140000000</f>
        <v>140000000</v>
      </c>
      <c r="D70" s="87"/>
      <c r="E70" s="86">
        <f>125000000</f>
        <v>125000000</v>
      </c>
      <c r="F70" s="87"/>
      <c r="G70" s="88">
        <f t="shared" si="7"/>
        <v>3.649257850536765</v>
      </c>
      <c r="H70" s="89">
        <f t="shared" si="8"/>
        <v>89.28571428571429</v>
      </c>
    </row>
    <row r="71" spans="2:8" ht="12.75">
      <c r="B71" s="90" t="s">
        <v>82</v>
      </c>
      <c r="C71" s="86">
        <f>24866965.52</f>
        <v>24866965.52</v>
      </c>
      <c r="D71" s="87"/>
      <c r="E71" s="86">
        <f>28556297.34</f>
        <v>28556297.34</v>
      </c>
      <c r="F71" s="87"/>
      <c r="G71" s="88">
        <f t="shared" si="7"/>
        <v>0.833674338002057</v>
      </c>
      <c r="H71" s="89">
        <f t="shared" si="8"/>
        <v>114.83627673441998</v>
      </c>
    </row>
    <row r="72" spans="2:8" ht="12.75">
      <c r="B72" s="90" t="s">
        <v>83</v>
      </c>
      <c r="C72" s="86">
        <f>32859816</f>
        <v>32859816</v>
      </c>
      <c r="D72" s="87"/>
      <c r="E72" s="86">
        <f>160039250.29</f>
        <v>160039250.29</v>
      </c>
      <c r="F72" s="87"/>
      <c r="G72" s="88">
        <f t="shared" si="7"/>
        <v>4.672195924118406</v>
      </c>
      <c r="H72" s="89">
        <f t="shared" si="8"/>
        <v>487.03635555962944</v>
      </c>
    </row>
    <row r="73" spans="2:8" ht="46.5" customHeight="1">
      <c r="B73" s="90" t="s">
        <v>90</v>
      </c>
      <c r="C73" s="86">
        <f>603483228.12</f>
        <v>603483228.12</v>
      </c>
      <c r="D73" s="87"/>
      <c r="E73" s="86">
        <f>757569807.76</f>
        <v>757569807.76</v>
      </c>
      <c r="F73" s="87"/>
      <c r="G73" s="88">
        <f t="shared" si="7"/>
        <v>22.116540546382463</v>
      </c>
      <c r="H73" s="89">
        <f t="shared" si="8"/>
        <v>125.53286859686523</v>
      </c>
    </row>
    <row r="74" spans="2:8" ht="12.75">
      <c r="B74" s="90" t="s">
        <v>84</v>
      </c>
      <c r="C74" s="86">
        <f>0</f>
        <v>0</v>
      </c>
      <c r="D74" s="87"/>
      <c r="E74" s="86">
        <f>0</f>
        <v>0</v>
      </c>
      <c r="F74" s="87"/>
      <c r="G74" s="88">
        <f t="shared" si="7"/>
        <v>0</v>
      </c>
      <c r="H74" s="89">
        <f t="shared" si="8"/>
      </c>
    </row>
    <row r="75" spans="2:8" ht="33.75">
      <c r="B75" s="90" t="s">
        <v>88</v>
      </c>
      <c r="C75" s="86">
        <f>881665838.49</f>
        <v>881665838.49</v>
      </c>
      <c r="D75" s="87"/>
      <c r="E75" s="86">
        <f>1937184698.59</f>
        <v>1937184698.59</v>
      </c>
      <c r="F75" s="87"/>
      <c r="G75" s="88">
        <f t="shared" si="7"/>
        <v>56.55429175415403</v>
      </c>
      <c r="H75" s="89">
        <f t="shared" si="8"/>
        <v>219.71869772200228</v>
      </c>
    </row>
    <row r="76" spans="2:8" ht="12.75">
      <c r="B76" s="85" t="s">
        <v>66</v>
      </c>
      <c r="C76" s="86">
        <f>300000000</f>
        <v>300000000</v>
      </c>
      <c r="D76" s="87"/>
      <c r="E76" s="86">
        <f>0</f>
        <v>0</v>
      </c>
      <c r="F76" s="87"/>
      <c r="G76" s="88">
        <f t="shared" si="7"/>
        <v>0</v>
      </c>
      <c r="H76" s="89">
        <f t="shared" si="8"/>
        <v>0</v>
      </c>
    </row>
    <row r="77" spans="2:8" ht="22.5">
      <c r="B77" s="70" t="s">
        <v>49</v>
      </c>
      <c r="C77" s="50">
        <f>1552231473.99</f>
        <v>1552231473.99</v>
      </c>
      <c r="D77" s="51"/>
      <c r="E77" s="50">
        <f>1244926143.57</f>
        <v>1244926143.57</v>
      </c>
      <c r="F77" s="51"/>
      <c r="G77" s="41">
        <f>IF($E$77=0,"",100*$E77/$E$77)</f>
        <v>100</v>
      </c>
      <c r="H77" s="32">
        <f t="shared" si="8"/>
        <v>80.20235154554148</v>
      </c>
    </row>
    <row r="78" spans="2:8" ht="33.75">
      <c r="B78" s="40" t="s">
        <v>85</v>
      </c>
      <c r="C78" s="44">
        <f>986748351</f>
        <v>986748351</v>
      </c>
      <c r="D78" s="48"/>
      <c r="E78" s="49">
        <f>982111265.6</f>
        <v>982111265.6</v>
      </c>
      <c r="F78" s="48"/>
      <c r="G78" s="53">
        <f>IF($E$77=0,"",100*$E78/$E$77)</f>
        <v>78.88911889854434</v>
      </c>
      <c r="H78" s="54">
        <f t="shared" si="8"/>
        <v>99.53006403351972</v>
      </c>
    </row>
    <row r="79" spans="2:8" ht="22.5">
      <c r="B79" s="90" t="s">
        <v>86</v>
      </c>
      <c r="C79" s="86">
        <f>1750000</f>
        <v>1750000</v>
      </c>
      <c r="D79" s="87"/>
      <c r="E79" s="86">
        <f>1750000</f>
        <v>1750000</v>
      </c>
      <c r="F79" s="87"/>
      <c r="G79" s="88">
        <f>IF($E$77=0,"",100*$E79/$E$77)</f>
        <v>0.14057058798537478</v>
      </c>
      <c r="H79" s="89">
        <f t="shared" si="8"/>
        <v>100</v>
      </c>
    </row>
    <row r="80" spans="2:8" ht="12.75">
      <c r="B80" s="90" t="s">
        <v>87</v>
      </c>
      <c r="C80" s="86">
        <f>110483122.99</f>
        <v>110483122.99</v>
      </c>
      <c r="D80" s="87"/>
      <c r="E80" s="86">
        <f>107814877.97</f>
        <v>107814877.97</v>
      </c>
      <c r="F80" s="87"/>
      <c r="G80" s="88">
        <f>IF($E$77=0,"",100*$E80/$E$77)</f>
        <v>8.660343308465333</v>
      </c>
      <c r="H80" s="89">
        <f t="shared" si="8"/>
        <v>97.58492976321686</v>
      </c>
    </row>
    <row r="81" spans="2:8" ht="12.75">
      <c r="B81" s="90" t="s">
        <v>24</v>
      </c>
      <c r="C81" s="86">
        <f>455000000</f>
        <v>455000000</v>
      </c>
      <c r="D81" s="87"/>
      <c r="E81" s="86">
        <f>155000000</f>
        <v>155000000</v>
      </c>
      <c r="F81" s="87"/>
      <c r="G81" s="88">
        <f>IF($E$77=0,"",100*$E81/$E$77)</f>
        <v>12.450537792990339</v>
      </c>
      <c r="H81" s="89">
        <f t="shared" si="8"/>
        <v>34.065934065934066</v>
      </c>
    </row>
    <row r="83" spans="2:8" ht="12.75">
      <c r="B83" s="39" t="s">
        <v>16</v>
      </c>
      <c r="C83" s="117" t="s">
        <v>17</v>
      </c>
      <c r="D83" s="118"/>
      <c r="E83" s="117" t="s">
        <v>1</v>
      </c>
      <c r="F83" s="118"/>
      <c r="G83" s="16" t="s">
        <v>22</v>
      </c>
      <c r="H83" s="16" t="s">
        <v>23</v>
      </c>
    </row>
    <row r="84" spans="2:8" ht="12.75">
      <c r="B84" s="39"/>
      <c r="C84" s="96" t="s">
        <v>63</v>
      </c>
      <c r="D84" s="97"/>
      <c r="E84" s="97"/>
      <c r="F84" s="98"/>
      <c r="G84" s="99" t="s">
        <v>4</v>
      </c>
      <c r="H84" s="100"/>
    </row>
    <row r="85" spans="2:8" ht="12.75">
      <c r="B85" s="37">
        <v>1</v>
      </c>
      <c r="C85" s="68">
        <v>2</v>
      </c>
      <c r="D85" s="69"/>
      <c r="E85" s="68">
        <v>3</v>
      </c>
      <c r="F85" s="69"/>
      <c r="G85" s="38">
        <v>4</v>
      </c>
      <c r="H85" s="38">
        <v>5</v>
      </c>
    </row>
    <row r="86" spans="2:8" ht="22.5">
      <c r="B86" s="52" t="s">
        <v>67</v>
      </c>
      <c r="C86" s="47">
        <f>1248611538.14</f>
        <v>1248611538.14</v>
      </c>
      <c r="D86" s="46"/>
      <c r="E86" s="47">
        <f>0</f>
        <v>0</v>
      </c>
      <c r="F86" s="43"/>
      <c r="G86" s="41"/>
      <c r="H86" s="32"/>
    </row>
    <row r="87" spans="2:8" ht="56.25">
      <c r="B87" s="91" t="s">
        <v>68</v>
      </c>
      <c r="C87" s="86">
        <f>23131802</f>
        <v>23131802</v>
      </c>
      <c r="D87" s="87"/>
      <c r="E87" s="86">
        <f>0</f>
        <v>0</v>
      </c>
      <c r="F87" s="87"/>
      <c r="G87" s="88"/>
      <c r="H87" s="89"/>
    </row>
    <row r="88" spans="2:8" ht="12.75">
      <c r="B88" s="91" t="s">
        <v>69</v>
      </c>
      <c r="C88" s="86">
        <f>552676913</f>
        <v>552676913</v>
      </c>
      <c r="D88" s="87"/>
      <c r="E88" s="86">
        <f>0</f>
        <v>0</v>
      </c>
      <c r="F88" s="87"/>
      <c r="G88" s="88"/>
      <c r="H88" s="89"/>
    </row>
    <row r="89" spans="2:8" ht="22.5">
      <c r="B89" s="91" t="s">
        <v>70</v>
      </c>
      <c r="C89" s="86">
        <f>0</f>
        <v>0</v>
      </c>
      <c r="D89" s="87"/>
      <c r="E89" s="86">
        <f>0</f>
        <v>0</v>
      </c>
      <c r="F89" s="87"/>
      <c r="G89" s="88"/>
      <c r="H89" s="89"/>
    </row>
    <row r="90" spans="2:8" ht="33.75">
      <c r="B90" s="91" t="s">
        <v>71</v>
      </c>
      <c r="C90" s="86">
        <f>5064420</f>
        <v>5064420</v>
      </c>
      <c r="D90" s="87"/>
      <c r="E90" s="86">
        <f>0</f>
        <v>0</v>
      </c>
      <c r="F90" s="87"/>
      <c r="G90" s="88"/>
      <c r="H90" s="89"/>
    </row>
    <row r="91" spans="2:8" ht="101.25">
      <c r="B91" s="91" t="s">
        <v>72</v>
      </c>
      <c r="C91" s="86">
        <f>281759263.14</f>
        <v>281759263.14</v>
      </c>
      <c r="D91" s="87"/>
      <c r="E91" s="86">
        <f>0</f>
        <v>0</v>
      </c>
      <c r="F91" s="87"/>
      <c r="G91" s="88"/>
      <c r="H91" s="89"/>
    </row>
    <row r="93" spans="2:4" ht="12.75">
      <c r="B93" s="34" t="s">
        <v>50</v>
      </c>
      <c r="C93" s="34">
        <f>4</f>
        <v>4</v>
      </c>
      <c r="D93" s="34" t="str">
        <f>IF(C93=1,"I Kwartał",IF(C93=2,"II Kwartały",IF(C93=3,"III Kwartały",IF(C93=4,"IV Kwartały","-"))))</f>
        <v>IV Kwartały</v>
      </c>
    </row>
    <row r="94" spans="2:4" ht="12.75">
      <c r="B94" s="34" t="s">
        <v>51</v>
      </c>
      <c r="C94" s="34">
        <f>2021</f>
        <v>2021</v>
      </c>
      <c r="D94" s="35"/>
    </row>
    <row r="95" spans="2:4" ht="12.75">
      <c r="B95" s="34" t="s">
        <v>52</v>
      </c>
      <c r="C95" s="36" t="str">
        <f>"Mar 21 2022 12:00AM"</f>
        <v>Mar 21 2022 12:00AM</v>
      </c>
      <c r="D95" s="35"/>
    </row>
    <row r="96" spans="2:4" ht="12.75">
      <c r="B96" s="34" t="s">
        <v>57</v>
      </c>
      <c r="C96" s="36">
        <f>""</f>
      </c>
      <c r="D96" s="35"/>
    </row>
  </sheetData>
  <sheetProtection/>
  <mergeCells count="42">
    <mergeCell ref="C83:D83"/>
    <mergeCell ref="E83:F83"/>
    <mergeCell ref="C84:F84"/>
    <mergeCell ref="G84:H84"/>
    <mergeCell ref="I57:J57"/>
    <mergeCell ref="I60:J60"/>
    <mergeCell ref="I61:J61"/>
    <mergeCell ref="I62:J62"/>
    <mergeCell ref="C65:D65"/>
    <mergeCell ref="E65:F65"/>
    <mergeCell ref="I51:J51"/>
    <mergeCell ref="I52:J52"/>
    <mergeCell ref="I53:J53"/>
    <mergeCell ref="I55:J55"/>
    <mergeCell ref="I56:J56"/>
    <mergeCell ref="I54:J54"/>
    <mergeCell ref="B1:M1"/>
    <mergeCell ref="B63:M63"/>
    <mergeCell ref="I41:J43"/>
    <mergeCell ref="D41:D43"/>
    <mergeCell ref="E41:E43"/>
    <mergeCell ref="F42:F43"/>
    <mergeCell ref="F41:H41"/>
    <mergeCell ref="G42:H42"/>
    <mergeCell ref="F3:H3"/>
    <mergeCell ref="B39:M39"/>
    <mergeCell ref="I45:J45"/>
    <mergeCell ref="I48:J48"/>
    <mergeCell ref="I49:J49"/>
    <mergeCell ref="I46:J46"/>
    <mergeCell ref="I47:J47"/>
    <mergeCell ref="I50:J50"/>
    <mergeCell ref="C44:J44"/>
    <mergeCell ref="C3:E3"/>
    <mergeCell ref="C66:F66"/>
    <mergeCell ref="G66:H66"/>
    <mergeCell ref="L41:L43"/>
    <mergeCell ref="B2:B3"/>
    <mergeCell ref="C41:C43"/>
    <mergeCell ref="B41:B44"/>
    <mergeCell ref="K41:K43"/>
    <mergeCell ref="K44:L44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4" manualBreakCount="4">
    <brk id="30" max="255" man="1"/>
    <brk id="38" max="255" man="1"/>
    <brk id="62" max="255" man="1"/>
    <brk id="8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2015-04-29T09:53:24Z</cp:lastPrinted>
  <dcterms:created xsi:type="dcterms:W3CDTF">2001-05-17T08:58:03Z</dcterms:created>
  <dcterms:modified xsi:type="dcterms:W3CDTF">2022-04-05T07:14:15Z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2022-04-05T09:13:31.4913338+02:00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GRN-4762df3d-c0ad-4d51-b9df-3aa511930121</vt:lpwstr>
  </property>
  <property fmtid="{D5CDD505-2E9C-101B-9397-08002B2CF9AE}" pid="7" name="MFHash">
    <vt:lpwstr>SqLo/vS5YMajTT7mvYlsfwqW0Ypa4sASy5i3O8/zxMU=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