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r-win-003\homes_citrix\HHCY.MF\```ST7\Besti@\2022\IV kw 2022\Dane ostateczne\www\MF\Zestawienia zbiorcze\"/>
    </mc:Choice>
  </mc:AlternateContent>
  <bookViews>
    <workbookView xWindow="240" yWindow="120" windowWidth="14220" windowHeight="8835"/>
  </bookViews>
  <sheets>
    <sheet name="doch_wyd" sheetId="4" r:id="rId1"/>
  </sheets>
  <definedNames>
    <definedName name="_xlnm.Print_Area" localSheetId="0">doch_wyd!$B$1:$L$102</definedName>
  </definedNames>
  <calcPr calcId="152511"/>
</workbook>
</file>

<file path=xl/calcChain.xml><?xml version="1.0" encoding="utf-8"?>
<calcChain xmlns="http://schemas.openxmlformats.org/spreadsheetml/2006/main">
  <c r="C102" i="4" l="1"/>
  <c r="C101" i="4"/>
  <c r="C100" i="4"/>
  <c r="C99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C9" i="4"/>
  <c r="D8" i="4"/>
  <c r="C8" i="4"/>
  <c r="D7" i="4"/>
  <c r="C7" i="4"/>
  <c r="K7" i="4" s="1"/>
  <c r="D5" i="4"/>
  <c r="C5" i="4"/>
  <c r="C61" i="4"/>
  <c r="K5" i="4"/>
  <c r="C40" i="4"/>
  <c r="C12" i="4"/>
  <c r="K13" i="4"/>
  <c r="K17" i="4"/>
  <c r="K21" i="4"/>
  <c r="K25" i="4"/>
  <c r="K29" i="4"/>
  <c r="K33" i="4"/>
  <c r="K38" i="4"/>
  <c r="E54" i="4"/>
  <c r="E60" i="4" s="1"/>
  <c r="K58" i="4"/>
  <c r="E67" i="4"/>
  <c r="K74" i="4"/>
  <c r="K78" i="4"/>
  <c r="K82" i="4"/>
  <c r="J15" i="4"/>
  <c r="J37" i="4"/>
  <c r="J24" i="4"/>
  <c r="J13" i="4"/>
  <c r="J36" i="4"/>
  <c r="J18" i="4"/>
  <c r="J38" i="4"/>
  <c r="J17" i="4"/>
  <c r="J8" i="4"/>
  <c r="J25" i="4"/>
  <c r="J5" i="4"/>
  <c r="J26" i="4"/>
  <c r="J27" i="4"/>
  <c r="J9" i="4"/>
  <c r="J21" i="4"/>
  <c r="D61" i="4"/>
  <c r="J22" i="4"/>
  <c r="J28" i="4"/>
  <c r="J16" i="4"/>
  <c r="J7" i="4"/>
  <c r="J23" i="4"/>
  <c r="J39" i="4"/>
  <c r="J33" i="4"/>
  <c r="J34" i="4"/>
  <c r="J19" i="4"/>
  <c r="J32" i="4"/>
  <c r="D40" i="4"/>
  <c r="J40" i="4" s="1"/>
  <c r="J14" i="4"/>
  <c r="J20" i="4"/>
  <c r="J30" i="4"/>
  <c r="J31" i="4"/>
  <c r="J29" i="4"/>
  <c r="D12" i="4"/>
  <c r="J12" i="4" s="1"/>
  <c r="F54" i="4"/>
  <c r="F60" i="4" s="1"/>
  <c r="K57" i="4"/>
  <c r="F67" i="4"/>
  <c r="K14" i="4"/>
  <c r="K18" i="4"/>
  <c r="K22" i="4"/>
  <c r="K26" i="4"/>
  <c r="K30" i="4"/>
  <c r="K34" i="4"/>
  <c r="K39" i="4"/>
  <c r="G54" i="4"/>
  <c r="G60" i="4" s="1"/>
  <c r="K56" i="4"/>
  <c r="G67" i="4"/>
  <c r="K75" i="4"/>
  <c r="K79" i="4"/>
  <c r="K83" i="4"/>
  <c r="D99" i="4"/>
  <c r="B68" i="4" s="1"/>
  <c r="H54" i="4"/>
  <c r="H60" i="4" s="1"/>
  <c r="K55" i="4"/>
  <c r="H67" i="4"/>
  <c r="K8" i="4"/>
  <c r="K15" i="4"/>
  <c r="K19" i="4"/>
  <c r="K23" i="4"/>
  <c r="K27" i="4"/>
  <c r="K31" i="4"/>
  <c r="K36" i="4"/>
  <c r="C35" i="4"/>
  <c r="K41" i="4"/>
  <c r="I54" i="4"/>
  <c r="I60" i="4" s="1"/>
  <c r="K53" i="4"/>
  <c r="I67" i="4"/>
  <c r="K72" i="4"/>
  <c r="K76" i="4"/>
  <c r="K80" i="4"/>
  <c r="K84" i="4"/>
  <c r="D35" i="4"/>
  <c r="J35" i="4" s="1"/>
  <c r="K52" i="4"/>
  <c r="K66" i="4"/>
  <c r="J80" i="4"/>
  <c r="J73" i="4"/>
  <c r="J74" i="4"/>
  <c r="J72" i="4"/>
  <c r="J75" i="4"/>
  <c r="J77" i="4"/>
  <c r="J76" i="4"/>
  <c r="J78" i="4"/>
  <c r="J79" i="4"/>
  <c r="K9" i="4"/>
  <c r="K16" i="4"/>
  <c r="K20" i="4"/>
  <c r="K24" i="4"/>
  <c r="K28" i="4"/>
  <c r="K32" i="4"/>
  <c r="K37" i="4"/>
  <c r="C54" i="4"/>
  <c r="K51" i="4"/>
  <c r="C67" i="4"/>
  <c r="K65" i="4"/>
  <c r="K73" i="4"/>
  <c r="K77" i="4"/>
  <c r="K81" i="4"/>
  <c r="K85" i="4"/>
  <c r="J52" i="4"/>
  <c r="J59" i="4"/>
  <c r="J51" i="4"/>
  <c r="J58" i="4"/>
  <c r="J55" i="4"/>
  <c r="J57" i="4"/>
  <c r="J53" i="4"/>
  <c r="J56" i="4"/>
  <c r="D54" i="4"/>
  <c r="D60" i="4" s="1"/>
  <c r="K59" i="4"/>
  <c r="J65" i="4"/>
  <c r="D67" i="4"/>
  <c r="J67" i="4"/>
  <c r="J66" i="4"/>
  <c r="J85" i="4"/>
  <c r="J84" i="4"/>
  <c r="J82" i="4"/>
  <c r="J81" i="4"/>
  <c r="J83" i="4"/>
  <c r="C60" i="4"/>
  <c r="C11" i="4"/>
  <c r="K12" i="4"/>
  <c r="C42" i="4"/>
  <c r="K54" i="4" l="1"/>
  <c r="J54" i="4"/>
  <c r="B1" i="4"/>
  <c r="B44" i="4"/>
  <c r="K67" i="4"/>
  <c r="C62" i="4"/>
  <c r="K60" i="4"/>
  <c r="J60" i="4"/>
  <c r="C6" i="4"/>
  <c r="C10" i="4" s="1"/>
  <c r="K35" i="4"/>
  <c r="D11" i="4"/>
  <c r="K11" i="4" s="1"/>
  <c r="K40" i="4"/>
  <c r="J41" i="4"/>
  <c r="D42" i="4"/>
  <c r="J11" i="4" l="1"/>
  <c r="D6" i="4"/>
  <c r="D62" i="4"/>
  <c r="K42" i="4"/>
  <c r="J42" i="4"/>
  <c r="K6" i="4" l="1"/>
  <c r="J6" i="4"/>
  <c r="L6" i="4"/>
  <c r="L8" i="4"/>
  <c r="L9" i="4"/>
  <c r="L7" i="4"/>
  <c r="D10" i="4"/>
  <c r="J10" i="4" l="1"/>
  <c r="L10" i="4"/>
  <c r="K10" i="4"/>
</calcChain>
</file>

<file path=xl/sharedStrings.xml><?xml version="1.0" encoding="utf-8"?>
<sst xmlns="http://schemas.openxmlformats.org/spreadsheetml/2006/main" count="381" uniqueCount="101">
  <si>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</si>
  <si>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</si>
  <si>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</si>
  <si>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</si>
  <si>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</si>
  <si>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</si>
  <si>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</si>
  <si>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</si>
  <si>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</si>
  <si>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</si>
  <si>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</si>
  <si>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</si>
  <si>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</si>
  <si>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</si>
  <si>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</si>
  <si>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</si>
  <si>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</si>
  <si>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</si>
  <si>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</si>
  <si>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</si>
  <si>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</si>
  <si>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</si>
  <si>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</si>
  <si>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</si>
  <si>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</si>
  <si>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</si>
  <si>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</si>
  <si>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</si>
  <si>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</si>
  <si>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</si>
  <si>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</si>
  <si>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</si>
  <si>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</si>
  <si>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</si>
  <si>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</si>
  <si>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</si>
  <si>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</si>
  <si>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</si>
  <si>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</si>
  <si>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</si>
  <si>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</si>
  <si>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</si>
  <si>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</si>
  <si>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</si>
  <si>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</si>
  <si>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</si>
  <si>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</si>
  <si>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</si>
  <si>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</si>
  <si>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</si>
  <si>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</si>
  <si>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</si>
  <si>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</si>
  <si>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</si>
  <si>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</si>
  <si>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</si>
  <si>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</si>
  <si>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</si>
  <si>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</si>
  <si>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</si>
  <si>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</si>
  <si>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</si>
  <si>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</si>
  <si>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</si>
  <si>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</si>
  <si>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</si>
  <si>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</si>
  <si>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</si>
  <si>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</si>
  <si>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</si>
  <si>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</si>
  <si>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</si>
  <si>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</si>
  <si>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</si>
  <si>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</si>
  <si>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</si>
  <si>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wykup papierów wartościowych</t>
  </si>
  <si>
    <t>spłaty kredytów i  pożyczek, wykup papierów wartościowych w tym: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</si>
  <si>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</si>
  <si>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</si>
  <si>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</si>
  <si>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</si>
  <si>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</si>
  <si>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</si>
  <si>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</si>
  <si>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</si>
  <si>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</si>
  <si>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</si>
  <si>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</si>
  <si>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</si>
  <si>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</si>
  <si>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</si>
  <si>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</si>
  <si>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</si>
  <si>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</si>
  <si>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FINANSOWANIE DEFICYTU (E1+E2+E3+E4+E5+E6+E7) 
z tego:</t>
  </si>
  <si>
    <t>Wydatki ogółem UE 
z tego:</t>
  </si>
  <si>
    <t>Dochody bieżące
minus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</si>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</sst>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6" fillId="0" borderId="0"/>
    <xf numFmtId="0" fontId="36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/>
    </xf>
    <xf numFmtId="4" fontId="32" fillId="20" borderId="10" xfId="0" applyNumberFormat="1" applyFont="1" applyFill="1" applyBorder="1" applyAlignment="1">
      <alignment horizontal="right" vertical="center"/>
    </xf>
    <xf numFmtId="164" fontId="32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164" fontId="33" fillId="0" borderId="10" xfId="0" applyNumberFormat="1" applyFont="1" applyFill="1" applyBorder="1" applyAlignment="1">
      <alignment horizontal="right" vertical="center"/>
    </xf>
    <xf numFmtId="164" fontId="33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164" fontId="34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" fontId="32" fillId="20" borderId="10" xfId="0" applyNumberFormat="1" applyFont="1" applyFill="1" applyBorder="1" applyAlignment="1">
      <alignment horizontal="right" vertical="center" wrapText="1"/>
    </xf>
    <xf numFmtId="164" fontId="35" fillId="20" borderId="10" xfId="0" applyNumberFormat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3" fontId="32" fillId="0" borderId="0" xfId="0" applyNumberFormat="1" applyFont="1" applyBorder="1" applyAlignment="1">
      <alignment horizontal="right" vertical="center"/>
    </xf>
    <xf numFmtId="164" fontId="34" fillId="0" borderId="0" xfId="0" applyNumberFormat="1" applyFont="1"/>
    <xf numFmtId="4" fontId="35" fillId="20" borderId="12" xfId="0" applyNumberFormat="1" applyFont="1" applyFill="1" applyBorder="1" applyAlignment="1">
      <alignment horizontal="right" vertical="center"/>
    </xf>
    <xf numFmtId="164" fontId="35" fillId="20" borderId="10" xfId="28" applyNumberFormat="1" applyFont="1" applyFill="1" applyBorder="1" applyAlignment="1">
      <alignment horizontal="right" vertical="center"/>
    </xf>
    <xf numFmtId="4" fontId="34" fillId="0" borderId="12" xfId="0" applyNumberFormat="1" applyFont="1" applyBorder="1" applyAlignment="1">
      <alignment horizontal="right" vertical="center"/>
    </xf>
    <xf numFmtId="164" fontId="35" fillId="22" borderId="10" xfId="28" applyNumberFormat="1" applyFont="1" applyFill="1" applyBorder="1" applyAlignment="1">
      <alignment horizontal="right" vertical="center"/>
    </xf>
    <xf numFmtId="164" fontId="35" fillId="22" borderId="10" xfId="0" applyNumberFormat="1" applyFont="1" applyFill="1" applyBorder="1" applyAlignment="1">
      <alignment horizontal="right" vertical="center"/>
    </xf>
    <xf numFmtId="4" fontId="34" fillId="23" borderId="12" xfId="0" applyNumberFormat="1" applyFont="1" applyFill="1" applyBorder="1" applyAlignment="1">
      <alignment horizontal="right" vertical="center"/>
    </xf>
    <xf numFmtId="164" fontId="35" fillId="23" borderId="10" xfId="0" applyNumberFormat="1" applyFont="1" applyFill="1" applyBorder="1" applyAlignment="1">
      <alignment horizontal="right" vertical="center"/>
    </xf>
    <xf numFmtId="4" fontId="35" fillId="23" borderId="12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37" fillId="23" borderId="10" xfId="42" applyFont="1" applyFill="1" applyBorder="1" applyAlignment="1">
      <alignment horizontal="left" vertical="top" wrapText="1"/>
    </xf>
    <xf numFmtId="4" fontId="32" fillId="23" borderId="10" xfId="0" applyNumberFormat="1" applyFont="1" applyFill="1" applyBorder="1" applyAlignment="1">
      <alignment horizontal="right" vertical="center"/>
    </xf>
    <xf numFmtId="164" fontId="32" fillId="23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Fill="1" applyBorder="1" applyAlignment="1">
      <alignment horizontal="right" vertical="center"/>
    </xf>
    <xf numFmtId="164" fontId="33" fillId="0" borderId="0" xfId="0" applyNumberFormat="1" applyFont="1" applyFill="1" applyBorder="1" applyAlignment="1">
      <alignment horizontal="right" vertical="center"/>
    </xf>
    <xf numFmtId="4" fontId="33" fillId="23" borderId="10" xfId="0" applyNumberFormat="1" applyFont="1" applyFill="1" applyBorder="1" applyAlignment="1">
      <alignment horizontal="right" vertical="center"/>
    </xf>
    <xf numFmtId="164" fontId="33" fillId="23" borderId="10" xfId="0" applyNumberFormat="1" applyFont="1" applyFill="1" applyBorder="1" applyAlignment="1">
      <alignment horizontal="right" vertical="center"/>
    </xf>
    <xf numFmtId="4" fontId="35" fillId="23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 wrapText="1"/>
    </xf>
    <xf numFmtId="4" fontId="33" fillId="23" borderId="10" xfId="0" applyNumberFormat="1" applyFont="1" applyFill="1" applyBorder="1" applyAlignment="1">
      <alignment horizontal="right" vertical="center" wrapText="1"/>
    </xf>
    <xf numFmtId="164" fontId="34" fillId="23" borderId="10" xfId="0" applyNumberFormat="1" applyFont="1" applyFill="1" applyBorder="1" applyAlignment="1">
      <alignment horizontal="right" vertical="center"/>
    </xf>
    <xf numFmtId="4" fontId="32" fillId="23" borderId="10" xfId="0" applyNumberFormat="1" applyFont="1" applyFill="1" applyBorder="1" applyAlignment="1">
      <alignment horizontal="right" vertical="center" wrapText="1"/>
    </xf>
    <xf numFmtId="4" fontId="32" fillId="20" borderId="11" xfId="0" applyNumberFormat="1" applyFont="1" applyFill="1" applyBorder="1" applyAlignment="1">
      <alignment horizontal="right" vertical="center" wrapText="1"/>
    </xf>
    <xf numFmtId="4" fontId="34" fillId="0" borderId="12" xfId="0" applyNumberFormat="1" applyFont="1" applyFill="1" applyBorder="1" applyAlignment="1">
      <alignment horizontal="right" vertical="center"/>
    </xf>
    <xf numFmtId="164" fontId="35" fillId="0" borderId="10" xfId="28" applyNumberFormat="1" applyFont="1" applyFill="1" applyBorder="1" applyAlignment="1">
      <alignment horizontal="right" vertical="center"/>
    </xf>
    <xf numFmtId="164" fontId="35" fillId="0" borderId="10" xfId="0" applyNumberFormat="1" applyFont="1" applyFill="1" applyBorder="1" applyAlignment="1">
      <alignment horizontal="right" vertical="center"/>
    </xf>
    <xf numFmtId="4" fontId="33" fillId="22" borderId="10" xfId="0" applyNumberFormat="1" applyFont="1" applyFill="1" applyBorder="1" applyAlignment="1">
      <alignment horizontal="right" vertical="center"/>
    </xf>
    <xf numFmtId="164" fontId="33" fillId="22" borderId="10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horizontal="center" vertical="center"/>
    </xf>
    <xf numFmtId="4" fontId="35" fillId="23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35" fillId="23" borderId="10" xfId="0" applyNumberFormat="1" applyFont="1" applyFill="1" applyBorder="1" applyAlignment="1">
      <alignment vertical="center"/>
    </xf>
    <xf numFmtId="4" fontId="32" fillId="23" borderId="10" xfId="0" applyNumberFormat="1" applyFont="1" applyFill="1" applyBorder="1" applyAlignment="1">
      <alignment vertical="center" wrapText="1"/>
    </xf>
    <xf numFmtId="4" fontId="33" fillId="0" borderId="10" xfId="0" applyNumberFormat="1" applyFont="1" applyBorder="1" applyAlignment="1">
      <alignment vertical="center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vertical="center" wrapText="1"/>
    </xf>
    <xf numFmtId="4" fontId="33" fillId="0" borderId="13" xfId="0" applyNumberFormat="1" applyFont="1" applyBorder="1" applyAlignment="1">
      <alignment horizontal="right" vertical="center"/>
    </xf>
    <xf numFmtId="4" fontId="33" fillId="0" borderId="14" xfId="0" applyNumberFormat="1" applyFont="1" applyBorder="1" applyAlignment="1">
      <alignment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4" fontId="32" fillId="0" borderId="15" xfId="0" applyNumberFormat="1" applyFont="1" applyFill="1" applyBorder="1" applyAlignment="1">
      <alignment horizontal="right" vertical="center" wrapText="1"/>
    </xf>
    <xf numFmtId="4" fontId="32" fillId="0" borderId="14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vertical="center"/>
    </xf>
    <xf numFmtId="4" fontId="34" fillId="23" borderId="10" xfId="0" applyNumberFormat="1" applyFont="1" applyFill="1" applyBorder="1" applyAlignment="1">
      <alignment horizontal="right" vertical="center"/>
    </xf>
    <xf numFmtId="4" fontId="32" fillId="23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right" vertical="center"/>
    </xf>
    <xf numFmtId="4" fontId="34" fillId="22" borderId="10" xfId="0" applyNumberFormat="1" applyFont="1" applyFill="1" applyBorder="1" applyAlignment="1">
      <alignment horizontal="right" vertical="center"/>
    </xf>
    <xf numFmtId="0" fontId="6" fillId="0" borderId="13" xfId="0" applyFont="1" applyBorder="1"/>
    <xf numFmtId="165" fontId="6" fillId="0" borderId="11" xfId="0" applyNumberFormat="1" applyFont="1" applyBorder="1"/>
    <xf numFmtId="4" fontId="35" fillId="20" borderId="10" xfId="0" applyNumberFormat="1" applyFont="1" applyFill="1" applyBorder="1" applyAlignment="1">
      <alignment horizontal="center" vertical="center"/>
    </xf>
    <xf numFmtId="0" fontId="7" fillId="23" borderId="10" xfId="0" applyFont="1" applyFill="1" applyBorder="1" applyAlignment="1">
      <alignment horizontal="left" vertical="center" wrapText="1"/>
    </xf>
    <xf numFmtId="0" fontId="10" fillId="23" borderId="11" xfId="0" applyFont="1" applyFill="1" applyBorder="1" applyAlignment="1">
      <alignment horizontal="center" vertical="top" wrapText="1"/>
    </xf>
    <xf numFmtId="0" fontId="10" fillId="20" borderId="10" xfId="0" applyFont="1" applyFill="1" applyBorder="1" applyAlignment="1">
      <alignment horizontal="left" vertical="top" wrapText="1"/>
    </xf>
    <xf numFmtId="0" fontId="7" fillId="23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2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6" fillId="0" borderId="10" xfId="42" applyFont="1" applyFill="1" applyBorder="1" applyAlignment="1">
      <alignment horizontal="left" vertical="center" wrapText="1" indent="1"/>
    </xf>
    <xf numFmtId="4" fontId="33" fillId="23" borderId="17" xfId="0" applyNumberFormat="1" applyFont="1" applyFill="1" applyBorder="1" applyAlignment="1">
      <alignment horizontal="right"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7" fillId="23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right"/>
    </xf>
    <xf numFmtId="0" fontId="10" fillId="0" borderId="0" xfId="42" applyFont="1" applyFill="1" applyBorder="1" applyAlignment="1">
      <alignment horizontal="left" vertical="center"/>
    </xf>
    <xf numFmtId="4" fontId="32" fillId="23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0" fontId="6" fillId="19" borderId="14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4" fontId="32" fillId="0" borderId="16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Dziesiętny 3 3" xfId="31"/>
    <cellStyle name="Dziesiętny 4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ny" xfId="0" builtinId="0"/>
    <cellStyle name="Normalny 2" xfId="42"/>
    <cellStyle name="Normalny 2 2" xfId="43"/>
    <cellStyle name="Note" xfId="44"/>
    <cellStyle name="Output" xfId="45"/>
    <cellStyle name="Title" xfId="46"/>
    <cellStyle name="Total" xfId="47"/>
    <cellStyle name="Warning Text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2"/>
  <sheetViews>
    <sheetView tabSelected="1" topLeftCell="B1" zoomScaleNormal="100" workbookViewId="0"/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17" t="str">
        <f>CONCATENATE("Informacja z wykonania budżetów powiatów za ",$D$99," ",$C$100," rok     ",$C$102,"")</f>
        <v xml:space="preserve">Informacja z wykonania budżetów powiatów za IV Kwartały 2022 rok     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ht="57.75" customHeight="1" x14ac:dyDescent="0.2">
      <c r="B2" s="130" t="s">
        <v>0</v>
      </c>
      <c r="C2" s="14" t="s">
        <v>27</v>
      </c>
      <c r="D2" s="14" t="s">
        <v>28</v>
      </c>
      <c r="E2" s="14" t="s">
        <v>89</v>
      </c>
      <c r="F2" s="14" t="s">
        <v>90</v>
      </c>
      <c r="G2" s="14" t="s">
        <v>91</v>
      </c>
      <c r="H2" s="14" t="s">
        <v>92</v>
      </c>
      <c r="I2" s="14" t="s">
        <v>93</v>
      </c>
      <c r="J2" s="16" t="s">
        <v>2</v>
      </c>
      <c r="K2" s="14" t="s">
        <v>18</v>
      </c>
      <c r="L2" s="14" t="s">
        <v>3</v>
      </c>
    </row>
    <row r="3" spans="2:13" x14ac:dyDescent="0.2">
      <c r="B3" s="130"/>
      <c r="C3" s="135" t="s">
        <v>60</v>
      </c>
      <c r="D3" s="137"/>
      <c r="E3" s="139" t="s">
        <v>88</v>
      </c>
      <c r="F3" s="140"/>
      <c r="G3" s="140"/>
      <c r="H3" s="140"/>
      <c r="I3" s="141"/>
      <c r="J3" s="135" t="s">
        <v>4</v>
      </c>
      <c r="K3" s="136"/>
      <c r="L3" s="137"/>
    </row>
    <row r="4" spans="2:13" ht="9" customHeight="1" x14ac:dyDescent="0.2">
      <c r="B4" s="16">
        <v>1</v>
      </c>
      <c r="C4" s="18">
        <v>2</v>
      </c>
      <c r="D4" s="18">
        <v>3</v>
      </c>
      <c r="E4" s="142"/>
      <c r="F4" s="143"/>
      <c r="G4" s="143"/>
      <c r="H4" s="143"/>
      <c r="I4" s="144"/>
      <c r="J4" s="18">
        <v>4</v>
      </c>
      <c r="K4" s="18">
        <v>5</v>
      </c>
      <c r="L4" s="18">
        <v>6</v>
      </c>
    </row>
    <row r="5" spans="2:13" ht="12.95" customHeight="1" x14ac:dyDescent="0.2">
      <c r="B5" s="106" t="s">
        <v>5</v>
      </c>
      <c r="C5" s="54">
        <f>39775374598.33</f>
        <v>39775374598.330002</v>
      </c>
      <c r="D5" s="54">
        <f>39020455680.21</f>
        <v>39020455680.209999</v>
      </c>
      <c r="E5" s="97" t="s">
        <v>88</v>
      </c>
      <c r="F5" s="97" t="s">
        <v>88</v>
      </c>
      <c r="G5" s="97" t="s">
        <v>88</v>
      </c>
      <c r="H5" s="97" t="s">
        <v>88</v>
      </c>
      <c r="I5" s="97" t="s">
        <v>88</v>
      </c>
      <c r="J5" s="55">
        <f t="shared" ref="J5:J39" si="0">IF($D$5=0,"",100*$D5/$D$5)</f>
        <v>100</v>
      </c>
      <c r="K5" s="55">
        <f t="shared" ref="K5:K42" si="1">IF(C5=0,"",100*D5/C5)</f>
        <v>98.102044479169535</v>
      </c>
      <c r="L5" s="55"/>
    </row>
    <row r="6" spans="2:13" ht="26.85" customHeight="1" x14ac:dyDescent="0.2">
      <c r="B6" s="107" t="s">
        <v>42</v>
      </c>
      <c r="C6" s="30">
        <f>C5-C11-C35</f>
        <v>15186159697.860001</v>
      </c>
      <c r="D6" s="30">
        <f>D5-D11-D35</f>
        <v>15397641757.590004</v>
      </c>
      <c r="E6" s="97" t="s">
        <v>88</v>
      </c>
      <c r="F6" s="97" t="s">
        <v>88</v>
      </c>
      <c r="G6" s="97" t="s">
        <v>88</v>
      </c>
      <c r="H6" s="97" t="s">
        <v>88</v>
      </c>
      <c r="I6" s="97" t="s">
        <v>88</v>
      </c>
      <c r="J6" s="31">
        <f t="shared" si="0"/>
        <v>39.460435530995667</v>
      </c>
      <c r="K6" s="31">
        <f t="shared" si="1"/>
        <v>101.39259736455824</v>
      </c>
      <c r="L6" s="31">
        <f>IF($D$6=0,"",100*$D6/$D$6)</f>
        <v>100</v>
      </c>
    </row>
    <row r="7" spans="2:13" ht="22.5" outlineLevel="1" x14ac:dyDescent="0.2">
      <c r="B7" s="109" t="s">
        <v>19</v>
      </c>
      <c r="C7" s="32">
        <f>7787370547.91</f>
        <v>7787370547.9099998</v>
      </c>
      <c r="D7" s="32">
        <f>8008781644.15</f>
        <v>8008781644.1499996</v>
      </c>
      <c r="E7" s="97" t="s">
        <v>88</v>
      </c>
      <c r="F7" s="97" t="s">
        <v>88</v>
      </c>
      <c r="G7" s="97" t="s">
        <v>88</v>
      </c>
      <c r="H7" s="97" t="s">
        <v>88</v>
      </c>
      <c r="I7" s="97" t="s">
        <v>88</v>
      </c>
      <c r="J7" s="33">
        <f t="shared" si="0"/>
        <v>20.524572316083468</v>
      </c>
      <c r="K7" s="33">
        <f t="shared" si="1"/>
        <v>102.84320740714493</v>
      </c>
      <c r="L7" s="33">
        <f>IF($D$6=0,"",100*$D7/$D$6)</f>
        <v>52.013040504739685</v>
      </c>
    </row>
    <row r="8" spans="2:13" ht="22.5" outlineLevel="1" x14ac:dyDescent="0.2">
      <c r="B8" s="109" t="s">
        <v>26</v>
      </c>
      <c r="C8" s="32">
        <f>313392342</f>
        <v>313392342</v>
      </c>
      <c r="D8" s="32">
        <f>314099231.18</f>
        <v>314099231.18000001</v>
      </c>
      <c r="E8" s="97" t="s">
        <v>88</v>
      </c>
      <c r="F8" s="97" t="s">
        <v>88</v>
      </c>
      <c r="G8" s="97" t="s">
        <v>88</v>
      </c>
      <c r="H8" s="97" t="s">
        <v>88</v>
      </c>
      <c r="I8" s="97" t="s">
        <v>88</v>
      </c>
      <c r="J8" s="33">
        <f t="shared" si="0"/>
        <v>0.80496043858170951</v>
      </c>
      <c r="K8" s="33">
        <f t="shared" si="1"/>
        <v>100.22556045099532</v>
      </c>
      <c r="L8" s="33">
        <f>IF($D$6=0,"",100*$D8/$D$6)</f>
        <v>2.0399177752344455</v>
      </c>
    </row>
    <row r="9" spans="2:13" ht="12.95" customHeight="1" outlineLevel="1" x14ac:dyDescent="0.2">
      <c r="B9" s="109" t="s">
        <v>20</v>
      </c>
      <c r="C9" s="32">
        <f>482780919.32</f>
        <v>482780919.31999999</v>
      </c>
      <c r="D9" s="56">
        <f>440723344.44</f>
        <v>440723344.44</v>
      </c>
      <c r="E9" s="97" t="s">
        <v>88</v>
      </c>
      <c r="F9" s="97" t="s">
        <v>88</v>
      </c>
      <c r="G9" s="97" t="s">
        <v>88</v>
      </c>
      <c r="H9" s="97" t="s">
        <v>88</v>
      </c>
      <c r="I9" s="97" t="s">
        <v>88</v>
      </c>
      <c r="J9" s="33">
        <f t="shared" si="0"/>
        <v>1.1294674466436885</v>
      </c>
      <c r="K9" s="33">
        <f t="shared" si="1"/>
        <v>91.288476160317529</v>
      </c>
      <c r="L9" s="33">
        <f>IF($D$6=0,"",100*$D9/$D$6)</f>
        <v>2.8622782071335888</v>
      </c>
    </row>
    <row r="10" spans="2:13" ht="12.95" customHeight="1" outlineLevel="1" x14ac:dyDescent="0.2">
      <c r="B10" s="109" t="s">
        <v>21</v>
      </c>
      <c r="C10" s="32">
        <f>C6-C8-C7-C9</f>
        <v>6602615888.6300011</v>
      </c>
      <c r="D10" s="32">
        <f>D6-D8-D7-D9</f>
        <v>6634037537.8200045</v>
      </c>
      <c r="E10" s="97" t="s">
        <v>88</v>
      </c>
      <c r="F10" s="97" t="s">
        <v>88</v>
      </c>
      <c r="G10" s="97" t="s">
        <v>88</v>
      </c>
      <c r="H10" s="97" t="s">
        <v>88</v>
      </c>
      <c r="I10" s="97" t="s">
        <v>88</v>
      </c>
      <c r="J10" s="33">
        <f t="shared" si="0"/>
        <v>17.001435329686807</v>
      </c>
      <c r="K10" s="33">
        <f t="shared" si="1"/>
        <v>100.47589697356337</v>
      </c>
      <c r="L10" s="33">
        <f>IF($D$6=0,"",100*$D10/$D$6)</f>
        <v>43.084763512892287</v>
      </c>
    </row>
    <row r="11" spans="2:13" ht="26.85" customHeight="1" x14ac:dyDescent="0.2">
      <c r="B11" s="108" t="s">
        <v>94</v>
      </c>
      <c r="C11" s="54">
        <f>C12+C31+C33</f>
        <v>10039681722.469999</v>
      </c>
      <c r="D11" s="54">
        <f>D12+D31+D33</f>
        <v>9056754815.619997</v>
      </c>
      <c r="E11" s="97" t="s">
        <v>88</v>
      </c>
      <c r="F11" s="97" t="s">
        <v>88</v>
      </c>
      <c r="G11" s="97" t="s">
        <v>88</v>
      </c>
      <c r="H11" s="97" t="s">
        <v>88</v>
      </c>
      <c r="I11" s="97" t="s">
        <v>88</v>
      </c>
      <c r="J11" s="55">
        <f t="shared" si="0"/>
        <v>23.210274349034091</v>
      </c>
      <c r="K11" s="55">
        <f t="shared" si="1"/>
        <v>90.20958100046046</v>
      </c>
      <c r="L11" s="57"/>
    </row>
    <row r="12" spans="2:13" ht="26.85" customHeight="1" outlineLevel="1" x14ac:dyDescent="0.2">
      <c r="B12" s="110" t="s">
        <v>43</v>
      </c>
      <c r="C12" s="54">
        <f>C13+C15+C17+C19+C21+C23+C25+C27+C29</f>
        <v>8625711691.5900002</v>
      </c>
      <c r="D12" s="54">
        <f>D13+D15+D17+D19+D21+D23+D25+D27+D29</f>
        <v>7868213630.3599977</v>
      </c>
      <c r="E12" s="97" t="s">
        <v>88</v>
      </c>
      <c r="F12" s="97" t="s">
        <v>88</v>
      </c>
      <c r="G12" s="97" t="s">
        <v>88</v>
      </c>
      <c r="H12" s="97" t="s">
        <v>88</v>
      </c>
      <c r="I12" s="97" t="s">
        <v>88</v>
      </c>
      <c r="J12" s="55">
        <f t="shared" si="0"/>
        <v>20.164330460011822</v>
      </c>
      <c r="K12" s="55">
        <f t="shared" si="1"/>
        <v>91.21813841785881</v>
      </c>
      <c r="L12" s="36"/>
    </row>
    <row r="13" spans="2:13" ht="22.5" outlineLevel="1" x14ac:dyDescent="0.2">
      <c r="B13" s="111" t="s">
        <v>9</v>
      </c>
      <c r="C13" s="32">
        <f>3670982714.25</f>
        <v>3670982714.25</v>
      </c>
      <c r="D13" s="32">
        <f>3632793012.53</f>
        <v>3632793012.5300002</v>
      </c>
      <c r="E13" s="97" t="s">
        <v>88</v>
      </c>
      <c r="F13" s="97" t="s">
        <v>88</v>
      </c>
      <c r="G13" s="97" t="s">
        <v>88</v>
      </c>
      <c r="H13" s="97" t="s">
        <v>88</v>
      </c>
      <c r="I13" s="97" t="s">
        <v>88</v>
      </c>
      <c r="J13" s="33">
        <f t="shared" si="0"/>
        <v>9.3099707556015119</v>
      </c>
      <c r="K13" s="33">
        <f t="shared" si="1"/>
        <v>98.959687236560512</v>
      </c>
      <c r="L13" s="36"/>
    </row>
    <row r="14" spans="2:13" ht="12.95" customHeight="1" outlineLevel="1" x14ac:dyDescent="0.2">
      <c r="B14" s="114" t="s">
        <v>6</v>
      </c>
      <c r="C14" s="32">
        <f>93956890.18</f>
        <v>93956890.180000007</v>
      </c>
      <c r="D14" s="32">
        <f>91998606.12</f>
        <v>91998606.120000005</v>
      </c>
      <c r="E14" s="97" t="s">
        <v>88</v>
      </c>
      <c r="F14" s="97" t="s">
        <v>88</v>
      </c>
      <c r="G14" s="97" t="s">
        <v>88</v>
      </c>
      <c r="H14" s="97" t="s">
        <v>88</v>
      </c>
      <c r="I14" s="97" t="s">
        <v>88</v>
      </c>
      <c r="J14" s="33">
        <f t="shared" si="0"/>
        <v>0.23577019928718804</v>
      </c>
      <c r="K14" s="33">
        <f t="shared" si="1"/>
        <v>97.915763222634993</v>
      </c>
      <c r="L14" s="36"/>
    </row>
    <row r="15" spans="2:13" ht="12.95" customHeight="1" outlineLevel="1" x14ac:dyDescent="0.2">
      <c r="B15" s="111" t="s">
        <v>7</v>
      </c>
      <c r="C15" s="32">
        <f>957474621.63</f>
        <v>957474621.63</v>
      </c>
      <c r="D15" s="32">
        <f>931399872.19</f>
        <v>931399872.19000006</v>
      </c>
      <c r="E15" s="97" t="s">
        <v>88</v>
      </c>
      <c r="F15" s="97" t="s">
        <v>88</v>
      </c>
      <c r="G15" s="97" t="s">
        <v>88</v>
      </c>
      <c r="H15" s="97" t="s">
        <v>88</v>
      </c>
      <c r="I15" s="97" t="s">
        <v>88</v>
      </c>
      <c r="J15" s="33">
        <f t="shared" si="0"/>
        <v>2.3869528326968719</v>
      </c>
      <c r="K15" s="33">
        <f t="shared" si="1"/>
        <v>97.276716390079301</v>
      </c>
      <c r="L15" s="36"/>
    </row>
    <row r="16" spans="2:13" ht="12.95" customHeight="1" outlineLevel="1" x14ac:dyDescent="0.2">
      <c r="B16" s="114" t="s">
        <v>6</v>
      </c>
      <c r="C16" s="32">
        <f>214330853.2</f>
        <v>214330853.19999999</v>
      </c>
      <c r="D16" s="32">
        <f>194338689.39</f>
        <v>194338689.38999999</v>
      </c>
      <c r="E16" s="97" t="s">
        <v>88</v>
      </c>
      <c r="F16" s="97" t="s">
        <v>88</v>
      </c>
      <c r="G16" s="97" t="s">
        <v>88</v>
      </c>
      <c r="H16" s="97" t="s">
        <v>88</v>
      </c>
      <c r="I16" s="97" t="s">
        <v>88</v>
      </c>
      <c r="J16" s="33">
        <f t="shared" si="0"/>
        <v>0.49804310585886552</v>
      </c>
      <c r="K16" s="33">
        <f t="shared" si="1"/>
        <v>90.672288421609295</v>
      </c>
      <c r="L16" s="36"/>
    </row>
    <row r="17" spans="2:12" ht="33.75" outlineLevel="1" x14ac:dyDescent="0.2">
      <c r="B17" s="111" t="s">
        <v>10</v>
      </c>
      <c r="C17" s="32">
        <f>129959229</f>
        <v>129959229</v>
      </c>
      <c r="D17" s="32">
        <f>111620355.99</f>
        <v>111620355.98999999</v>
      </c>
      <c r="E17" s="97" t="s">
        <v>88</v>
      </c>
      <c r="F17" s="97" t="s">
        <v>88</v>
      </c>
      <c r="G17" s="97" t="s">
        <v>88</v>
      </c>
      <c r="H17" s="97" t="s">
        <v>88</v>
      </c>
      <c r="I17" s="97" t="s">
        <v>88</v>
      </c>
      <c r="J17" s="33">
        <f t="shared" si="0"/>
        <v>0.28605600330446801</v>
      </c>
      <c r="K17" s="33">
        <f t="shared" si="1"/>
        <v>85.888748993732491</v>
      </c>
      <c r="L17" s="36"/>
    </row>
    <row r="18" spans="2:12" ht="12.95" customHeight="1" outlineLevel="1" x14ac:dyDescent="0.2">
      <c r="B18" s="114" t="s">
        <v>6</v>
      </c>
      <c r="C18" s="32">
        <f>7443794.33</f>
        <v>7443794.3300000001</v>
      </c>
      <c r="D18" s="32">
        <f>6923997.11</f>
        <v>6923997.1100000003</v>
      </c>
      <c r="E18" s="97" t="s">
        <v>88</v>
      </c>
      <c r="F18" s="97" t="s">
        <v>88</v>
      </c>
      <c r="G18" s="97" t="s">
        <v>88</v>
      </c>
      <c r="H18" s="97" t="s">
        <v>88</v>
      </c>
      <c r="I18" s="97" t="s">
        <v>88</v>
      </c>
      <c r="J18" s="33">
        <f t="shared" si="0"/>
        <v>1.7744531654743444E-2</v>
      </c>
      <c r="K18" s="33">
        <f t="shared" si="1"/>
        <v>93.017039469976865</v>
      </c>
      <c r="L18" s="36"/>
    </row>
    <row r="19" spans="2:12" ht="25.5" customHeight="1" outlineLevel="1" x14ac:dyDescent="0.2">
      <c r="B19" s="111" t="s">
        <v>11</v>
      </c>
      <c r="C19" s="32">
        <f>423511441.83</f>
        <v>423511441.82999998</v>
      </c>
      <c r="D19" s="32">
        <f>410699909.07</f>
        <v>410699909.06999999</v>
      </c>
      <c r="E19" s="97" t="s">
        <v>88</v>
      </c>
      <c r="F19" s="97" t="s">
        <v>88</v>
      </c>
      <c r="G19" s="97" t="s">
        <v>88</v>
      </c>
      <c r="H19" s="97" t="s">
        <v>88</v>
      </c>
      <c r="I19" s="97" t="s">
        <v>88</v>
      </c>
      <c r="J19" s="33">
        <f t="shared" si="0"/>
        <v>1.0525246358880802</v>
      </c>
      <c r="K19" s="33">
        <f t="shared" si="1"/>
        <v>96.974926414115018</v>
      </c>
      <c r="L19" s="36"/>
    </row>
    <row r="20" spans="2:12" ht="12.95" customHeight="1" outlineLevel="1" x14ac:dyDescent="0.2">
      <c r="B20" s="114" t="s">
        <v>6</v>
      </c>
      <c r="C20" s="32">
        <f>69952668.84</f>
        <v>69952668.840000004</v>
      </c>
      <c r="D20" s="32">
        <f>60904003.47</f>
        <v>60904003.469999999</v>
      </c>
      <c r="E20" s="97" t="s">
        <v>88</v>
      </c>
      <c r="F20" s="97" t="s">
        <v>88</v>
      </c>
      <c r="G20" s="97" t="s">
        <v>88</v>
      </c>
      <c r="H20" s="97" t="s">
        <v>88</v>
      </c>
      <c r="I20" s="97" t="s">
        <v>88</v>
      </c>
      <c r="J20" s="33">
        <f t="shared" si="0"/>
        <v>0.15608224560249992</v>
      </c>
      <c r="K20" s="33">
        <f t="shared" si="1"/>
        <v>87.064588785459122</v>
      </c>
      <c r="L20" s="36"/>
    </row>
    <row r="21" spans="2:12" ht="35.25" customHeight="1" outlineLevel="1" x14ac:dyDescent="0.2">
      <c r="B21" s="111" t="s">
        <v>61</v>
      </c>
      <c r="C21" s="32">
        <f>928940708.58</f>
        <v>928940708.58000004</v>
      </c>
      <c r="D21" s="32">
        <f>827379829.809999</f>
        <v>827379829.80999899</v>
      </c>
      <c r="E21" s="97" t="s">
        <v>88</v>
      </c>
      <c r="F21" s="97" t="s">
        <v>88</v>
      </c>
      <c r="G21" s="97" t="s">
        <v>88</v>
      </c>
      <c r="H21" s="97" t="s">
        <v>88</v>
      </c>
      <c r="I21" s="97" t="s">
        <v>88</v>
      </c>
      <c r="J21" s="33">
        <f t="shared" si="0"/>
        <v>2.1203745968287628</v>
      </c>
      <c r="K21" s="33">
        <f t="shared" si="1"/>
        <v>89.067022487877679</v>
      </c>
      <c r="L21" s="36"/>
    </row>
    <row r="22" spans="2:12" ht="12.95" customHeight="1" outlineLevel="1" x14ac:dyDescent="0.2">
      <c r="B22" s="114" t="s">
        <v>6</v>
      </c>
      <c r="C22" s="32">
        <f>775002534.24</f>
        <v>775002534.24000001</v>
      </c>
      <c r="D22" s="32">
        <f>685902142.41</f>
        <v>685902142.40999997</v>
      </c>
      <c r="E22" s="97" t="s">
        <v>88</v>
      </c>
      <c r="F22" s="97" t="s">
        <v>88</v>
      </c>
      <c r="G22" s="97" t="s">
        <v>88</v>
      </c>
      <c r="H22" s="97" t="s">
        <v>88</v>
      </c>
      <c r="I22" s="97" t="s">
        <v>88</v>
      </c>
      <c r="J22" s="33">
        <f t="shared" si="0"/>
        <v>1.7578014670850421</v>
      </c>
      <c r="K22" s="33">
        <f t="shared" si="1"/>
        <v>88.503212842087592</v>
      </c>
      <c r="L22" s="36"/>
    </row>
    <row r="23" spans="2:12" ht="12.95" customHeight="1" outlineLevel="1" x14ac:dyDescent="0.2">
      <c r="B23" s="111" t="s">
        <v>8</v>
      </c>
      <c r="C23" s="32">
        <f>133101812.34</f>
        <v>133101812.34</v>
      </c>
      <c r="D23" s="32">
        <f>134412776.86</f>
        <v>134412776.86000001</v>
      </c>
      <c r="E23" s="97" t="s">
        <v>88</v>
      </c>
      <c r="F23" s="97" t="s">
        <v>88</v>
      </c>
      <c r="G23" s="97" t="s">
        <v>88</v>
      </c>
      <c r="H23" s="97" t="s">
        <v>88</v>
      </c>
      <c r="I23" s="97" t="s">
        <v>88</v>
      </c>
      <c r="J23" s="33">
        <f t="shared" si="0"/>
        <v>0.34446747101462</v>
      </c>
      <c r="K23" s="33">
        <f t="shared" si="1"/>
        <v>100.98493363610349</v>
      </c>
      <c r="L23" s="36"/>
    </row>
    <row r="24" spans="2:12" ht="12.95" customHeight="1" outlineLevel="1" x14ac:dyDescent="0.2">
      <c r="B24" s="114" t="s">
        <v>6</v>
      </c>
      <c r="C24" s="32">
        <f>98375970.91</f>
        <v>98375970.909999996</v>
      </c>
      <c r="D24" s="32">
        <f>102249565.58</f>
        <v>102249565.58</v>
      </c>
      <c r="E24" s="97" t="s">
        <v>88</v>
      </c>
      <c r="F24" s="97" t="s">
        <v>88</v>
      </c>
      <c r="G24" s="97" t="s">
        <v>88</v>
      </c>
      <c r="H24" s="97" t="s">
        <v>88</v>
      </c>
      <c r="I24" s="97" t="s">
        <v>88</v>
      </c>
      <c r="J24" s="33">
        <f t="shared" si="0"/>
        <v>0.26204093160259506</v>
      </c>
      <c r="K24" s="33">
        <f t="shared" si="1"/>
        <v>103.93754148921569</v>
      </c>
      <c r="L24" s="36"/>
    </row>
    <row r="25" spans="2:12" ht="67.5" outlineLevel="1" x14ac:dyDescent="0.2">
      <c r="B25" s="111" t="s">
        <v>79</v>
      </c>
      <c r="C25" s="32">
        <f>1038894.01</f>
        <v>1038894.01</v>
      </c>
      <c r="D25" s="32">
        <f>1005210.57</f>
        <v>1005210.57</v>
      </c>
      <c r="E25" s="97" t="s">
        <v>88</v>
      </c>
      <c r="F25" s="97" t="s">
        <v>88</v>
      </c>
      <c r="G25" s="97" t="s">
        <v>88</v>
      </c>
      <c r="H25" s="97" t="s">
        <v>88</v>
      </c>
      <c r="I25" s="97" t="s">
        <v>88</v>
      </c>
      <c r="J25" s="33">
        <f t="shared" si="0"/>
        <v>2.5761118174481303E-3</v>
      </c>
      <c r="K25" s="33">
        <f t="shared" si="1"/>
        <v>96.757759725652861</v>
      </c>
      <c r="L25" s="36"/>
    </row>
    <row r="26" spans="2:12" ht="12.95" customHeight="1" outlineLevel="1" x14ac:dyDescent="0.2">
      <c r="B26" s="114" t="s">
        <v>80</v>
      </c>
      <c r="C26" s="32">
        <f>770188.01</f>
        <v>770188.01</v>
      </c>
      <c r="D26" s="32">
        <f>736504.57</f>
        <v>736504.57</v>
      </c>
      <c r="E26" s="97" t="s">
        <v>88</v>
      </c>
      <c r="F26" s="97" t="s">
        <v>88</v>
      </c>
      <c r="G26" s="97" t="s">
        <v>88</v>
      </c>
      <c r="H26" s="97" t="s">
        <v>88</v>
      </c>
      <c r="I26" s="97" t="s">
        <v>88</v>
      </c>
      <c r="J26" s="33">
        <f t="shared" si="0"/>
        <v>1.8874832627173367E-3</v>
      </c>
      <c r="K26" s="33">
        <f t="shared" si="1"/>
        <v>95.626595121884591</v>
      </c>
      <c r="L26" s="36"/>
    </row>
    <row r="27" spans="2:12" ht="45" outlineLevel="1" x14ac:dyDescent="0.2">
      <c r="B27" s="112" t="s">
        <v>78</v>
      </c>
      <c r="C27" s="69">
        <f>1338850063.03</f>
        <v>1338850063.03</v>
      </c>
      <c r="D27" s="69">
        <f>853557718.45</f>
        <v>853557718.45000005</v>
      </c>
      <c r="E27" s="97" t="s">
        <v>88</v>
      </c>
      <c r="F27" s="97" t="s">
        <v>88</v>
      </c>
      <c r="G27" s="97" t="s">
        <v>88</v>
      </c>
      <c r="H27" s="97" t="s">
        <v>88</v>
      </c>
      <c r="I27" s="97" t="s">
        <v>88</v>
      </c>
      <c r="J27" s="70">
        <f t="shared" si="0"/>
        <v>2.1874622004552826</v>
      </c>
      <c r="K27" s="70">
        <f t="shared" si="1"/>
        <v>63.753047635392619</v>
      </c>
      <c r="L27" s="36"/>
    </row>
    <row r="28" spans="2:12" ht="12.95" customHeight="1" outlineLevel="1" x14ac:dyDescent="0.2">
      <c r="B28" s="114" t="s">
        <v>6</v>
      </c>
      <c r="C28" s="32">
        <f>1278843496.22</f>
        <v>1278843496.22</v>
      </c>
      <c r="D28" s="32">
        <f>793483290.04</f>
        <v>793483290.03999996</v>
      </c>
      <c r="E28" s="97" t="s">
        <v>88</v>
      </c>
      <c r="F28" s="97" t="s">
        <v>88</v>
      </c>
      <c r="G28" s="97" t="s">
        <v>88</v>
      </c>
      <c r="H28" s="97" t="s">
        <v>88</v>
      </c>
      <c r="I28" s="97" t="s">
        <v>88</v>
      </c>
      <c r="J28" s="33">
        <f t="shared" si="0"/>
        <v>2.033505955294189</v>
      </c>
      <c r="K28" s="33">
        <f t="shared" si="1"/>
        <v>62.046942599729711</v>
      </c>
      <c r="L28" s="36"/>
    </row>
    <row r="29" spans="2:12" ht="22.5" outlineLevel="1" x14ac:dyDescent="0.2">
      <c r="B29" s="112" t="s">
        <v>98</v>
      </c>
      <c r="C29" s="32">
        <f>1041852206.92</f>
        <v>1041852206.92</v>
      </c>
      <c r="D29" s="32">
        <f>965344944.89</f>
        <v>965344944.88999999</v>
      </c>
      <c r="E29" s="97" t="s">
        <v>88</v>
      </c>
      <c r="F29" s="97" t="s">
        <v>88</v>
      </c>
      <c r="G29" s="97" t="s">
        <v>88</v>
      </c>
      <c r="H29" s="97" t="s">
        <v>88</v>
      </c>
      <c r="I29" s="97" t="s">
        <v>88</v>
      </c>
      <c r="J29" s="33">
        <f t="shared" si="0"/>
        <v>2.4739458524047784</v>
      </c>
      <c r="K29" s="33">
        <f t="shared" si="1"/>
        <v>92.656610839633743</v>
      </c>
      <c r="L29" s="36"/>
    </row>
    <row r="30" spans="2:12" ht="12.95" customHeight="1" outlineLevel="1" x14ac:dyDescent="0.2">
      <c r="B30" s="114" t="s">
        <v>6</v>
      </c>
      <c r="C30" s="32">
        <f>122851.75</f>
        <v>122851.75</v>
      </c>
      <c r="D30" s="32">
        <f>102887.75</f>
        <v>102887.75</v>
      </c>
      <c r="E30" s="97" t="s">
        <v>88</v>
      </c>
      <c r="F30" s="97" t="s">
        <v>88</v>
      </c>
      <c r="G30" s="97" t="s">
        <v>88</v>
      </c>
      <c r="H30" s="97" t="s">
        <v>88</v>
      </c>
      <c r="I30" s="97" t="s">
        <v>88</v>
      </c>
      <c r="J30" s="33">
        <f t="shared" si="0"/>
        <v>2.6367644407643753E-4</v>
      </c>
      <c r="K30" s="33">
        <f t="shared" si="1"/>
        <v>83.749519237617704</v>
      </c>
      <c r="L30" s="36"/>
    </row>
    <row r="31" spans="2:12" ht="12.95" customHeight="1" outlineLevel="1" x14ac:dyDescent="0.2">
      <c r="B31" s="113" t="s">
        <v>69</v>
      </c>
      <c r="C31" s="30">
        <f>149004409.38</f>
        <v>149004409.38</v>
      </c>
      <c r="D31" s="30">
        <f>119190979.08</f>
        <v>119190979.08</v>
      </c>
      <c r="E31" s="97" t="s">
        <v>88</v>
      </c>
      <c r="F31" s="97" t="s">
        <v>88</v>
      </c>
      <c r="G31" s="97" t="s">
        <v>88</v>
      </c>
      <c r="H31" s="97" t="s">
        <v>88</v>
      </c>
      <c r="I31" s="97" t="s">
        <v>88</v>
      </c>
      <c r="J31" s="34">
        <f t="shared" si="0"/>
        <v>0.30545768111173055</v>
      </c>
      <c r="K31" s="34">
        <f t="shared" si="1"/>
        <v>79.991578488145279</v>
      </c>
      <c r="L31" s="21"/>
    </row>
    <row r="32" spans="2:12" ht="12.95" customHeight="1" outlineLevel="1" x14ac:dyDescent="0.2">
      <c r="B32" s="115" t="s">
        <v>54</v>
      </c>
      <c r="C32" s="35">
        <f>62125861.63</f>
        <v>62125861.630000003</v>
      </c>
      <c r="D32" s="35">
        <f>45157540.9</f>
        <v>45157540.899999999</v>
      </c>
      <c r="E32" s="97" t="s">
        <v>88</v>
      </c>
      <c r="F32" s="97" t="s">
        <v>88</v>
      </c>
      <c r="G32" s="97" t="s">
        <v>88</v>
      </c>
      <c r="H32" s="97" t="s">
        <v>88</v>
      </c>
      <c r="I32" s="97" t="s">
        <v>88</v>
      </c>
      <c r="J32" s="33">
        <f t="shared" si="0"/>
        <v>0.11572786660946799</v>
      </c>
      <c r="K32" s="33">
        <f t="shared" si="1"/>
        <v>72.687186487557454</v>
      </c>
      <c r="L32" s="21"/>
    </row>
    <row r="33" spans="1:26" ht="12.95" customHeight="1" outlineLevel="1" x14ac:dyDescent="0.2">
      <c r="B33" s="113" t="s">
        <v>70</v>
      </c>
      <c r="C33" s="58">
        <f>1264965621.5</f>
        <v>1264965621.5</v>
      </c>
      <c r="D33" s="58">
        <f>1069350206.18</f>
        <v>1069350206.1799999</v>
      </c>
      <c r="E33" s="97" t="s">
        <v>88</v>
      </c>
      <c r="F33" s="97" t="s">
        <v>88</v>
      </c>
      <c r="G33" s="97" t="s">
        <v>88</v>
      </c>
      <c r="H33" s="97" t="s">
        <v>88</v>
      </c>
      <c r="I33" s="97" t="s">
        <v>88</v>
      </c>
      <c r="J33" s="59">
        <f t="shared" si="0"/>
        <v>2.7404862079105401</v>
      </c>
      <c r="K33" s="59">
        <f t="shared" si="1"/>
        <v>84.535910542134843</v>
      </c>
      <c r="L33" s="21"/>
    </row>
    <row r="34" spans="1:26" ht="12.95" customHeight="1" outlineLevel="1" x14ac:dyDescent="0.2">
      <c r="B34" s="115" t="s">
        <v>67</v>
      </c>
      <c r="C34" s="35">
        <f>664752661.68</f>
        <v>664752661.67999995</v>
      </c>
      <c r="D34" s="35">
        <f>517961757.12</f>
        <v>517961757.12</v>
      </c>
      <c r="E34" s="97" t="s">
        <v>88</v>
      </c>
      <c r="F34" s="97" t="s">
        <v>88</v>
      </c>
      <c r="G34" s="97" t="s">
        <v>88</v>
      </c>
      <c r="H34" s="97" t="s">
        <v>88</v>
      </c>
      <c r="I34" s="97" t="s">
        <v>88</v>
      </c>
      <c r="J34" s="33">
        <f t="shared" si="0"/>
        <v>1.3274108364210995</v>
      </c>
      <c r="K34" s="33">
        <f t="shared" si="1"/>
        <v>77.91796663302982</v>
      </c>
      <c r="L34" s="21"/>
    </row>
    <row r="35" spans="1:26" s="5" customFormat="1" ht="26.85" customHeight="1" x14ac:dyDescent="0.2">
      <c r="B35" s="107" t="s">
        <v>44</v>
      </c>
      <c r="C35" s="30">
        <f>C36+C37+C38+C39</f>
        <v>14549533178</v>
      </c>
      <c r="D35" s="30">
        <f>D36+D37+D38+D39</f>
        <v>14566059107</v>
      </c>
      <c r="E35" s="97" t="s">
        <v>88</v>
      </c>
      <c r="F35" s="97" t="s">
        <v>88</v>
      </c>
      <c r="G35" s="97" t="s">
        <v>88</v>
      </c>
      <c r="H35" s="97" t="s">
        <v>88</v>
      </c>
      <c r="I35" s="97" t="s">
        <v>88</v>
      </c>
      <c r="J35" s="31">
        <f t="shared" si="0"/>
        <v>37.329290119970246</v>
      </c>
      <c r="K35" s="31">
        <f t="shared" si="1"/>
        <v>100.11358391226592</v>
      </c>
      <c r="L35" s="22"/>
    </row>
    <row r="36" spans="1:26" ht="12.95" customHeight="1" outlineLevel="1" x14ac:dyDescent="0.2">
      <c r="B36" s="109" t="s">
        <v>31</v>
      </c>
      <c r="C36" s="32">
        <f>10751774050</f>
        <v>10751774050</v>
      </c>
      <c r="D36" s="32">
        <f>10755669971</f>
        <v>10755669971</v>
      </c>
      <c r="E36" s="97" t="s">
        <v>88</v>
      </c>
      <c r="F36" s="97" t="s">
        <v>88</v>
      </c>
      <c r="G36" s="97" t="s">
        <v>88</v>
      </c>
      <c r="H36" s="97" t="s">
        <v>88</v>
      </c>
      <c r="I36" s="97" t="s">
        <v>88</v>
      </c>
      <c r="J36" s="33">
        <f t="shared" si="0"/>
        <v>27.564183409715927</v>
      </c>
      <c r="K36" s="33">
        <f t="shared" si="1"/>
        <v>100.03623514577113</v>
      </c>
      <c r="L36" s="21"/>
    </row>
    <row r="37" spans="1:26" ht="12.95" customHeight="1" outlineLevel="1" x14ac:dyDescent="0.2">
      <c r="B37" s="109" t="s">
        <v>30</v>
      </c>
      <c r="C37" s="32">
        <f>910657907</f>
        <v>910657907</v>
      </c>
      <c r="D37" s="32">
        <f>910657907</f>
        <v>910657907</v>
      </c>
      <c r="E37" s="97" t="s">
        <v>88</v>
      </c>
      <c r="F37" s="97" t="s">
        <v>88</v>
      </c>
      <c r="G37" s="97" t="s">
        <v>88</v>
      </c>
      <c r="H37" s="97" t="s">
        <v>88</v>
      </c>
      <c r="I37" s="97" t="s">
        <v>88</v>
      </c>
      <c r="J37" s="33">
        <f t="shared" si="0"/>
        <v>2.3337961874747104</v>
      </c>
      <c r="K37" s="33">
        <f t="shared" si="1"/>
        <v>100</v>
      </c>
      <c r="L37" s="21"/>
    </row>
    <row r="38" spans="1:26" ht="12.95" customHeight="1" outlineLevel="1" x14ac:dyDescent="0.2">
      <c r="B38" s="109" t="s">
        <v>32</v>
      </c>
      <c r="C38" s="32">
        <f>2676919627</f>
        <v>2676919627</v>
      </c>
      <c r="D38" s="32">
        <f>2676919627</f>
        <v>2676919627</v>
      </c>
      <c r="E38" s="97" t="s">
        <v>88</v>
      </c>
      <c r="F38" s="97" t="s">
        <v>88</v>
      </c>
      <c r="G38" s="97" t="s">
        <v>88</v>
      </c>
      <c r="H38" s="97" t="s">
        <v>88</v>
      </c>
      <c r="I38" s="97" t="s">
        <v>88</v>
      </c>
      <c r="J38" s="33">
        <f t="shared" si="0"/>
        <v>6.8602982213702157</v>
      </c>
      <c r="K38" s="33">
        <f t="shared" si="1"/>
        <v>100</v>
      </c>
      <c r="L38" s="21"/>
    </row>
    <row r="39" spans="1:26" s="5" customFormat="1" ht="12.95" customHeight="1" outlineLevel="1" x14ac:dyDescent="0.2">
      <c r="B39" s="109" t="s">
        <v>29</v>
      </c>
      <c r="C39" s="32">
        <f>210181594</f>
        <v>210181594</v>
      </c>
      <c r="D39" s="32">
        <f>222811602</f>
        <v>222811602</v>
      </c>
      <c r="E39" s="97" t="s">
        <v>88</v>
      </c>
      <c r="F39" s="97" t="s">
        <v>88</v>
      </c>
      <c r="G39" s="97" t="s">
        <v>88</v>
      </c>
      <c r="H39" s="97" t="s">
        <v>88</v>
      </c>
      <c r="I39" s="97" t="s">
        <v>88</v>
      </c>
      <c r="J39" s="33">
        <f t="shared" si="0"/>
        <v>0.57101230140939474</v>
      </c>
      <c r="K39" s="33">
        <f t="shared" si="1"/>
        <v>106.009093260564</v>
      </c>
      <c r="L39" s="22"/>
    </row>
    <row r="40" spans="1:26" s="5" customFormat="1" ht="12.95" customHeight="1" x14ac:dyDescent="0.2">
      <c r="B40" s="106" t="s">
        <v>5</v>
      </c>
      <c r="C40" s="58">
        <f>+C5</f>
        <v>39775374598.330002</v>
      </c>
      <c r="D40" s="58">
        <f>+D5</f>
        <v>39020455680.209999</v>
      </c>
      <c r="E40" s="97" t="s">
        <v>88</v>
      </c>
      <c r="F40" s="97" t="s">
        <v>88</v>
      </c>
      <c r="G40" s="97" t="s">
        <v>88</v>
      </c>
      <c r="H40" s="97" t="s">
        <v>88</v>
      </c>
      <c r="I40" s="97" t="s">
        <v>88</v>
      </c>
      <c r="J40" s="59">
        <f>IF($D$5=0,"",100*$D40/$D$40)</f>
        <v>100</v>
      </c>
      <c r="K40" s="59">
        <f t="shared" si="1"/>
        <v>98.102044479169535</v>
      </c>
    </row>
    <row r="41" spans="1:26" s="5" customFormat="1" ht="12.95" customHeight="1" x14ac:dyDescent="0.2">
      <c r="B41" s="116" t="s">
        <v>56</v>
      </c>
      <c r="C41" s="32">
        <f>4980208639.55</f>
        <v>4980208639.5500002</v>
      </c>
      <c r="D41" s="32">
        <f>4138883827.27</f>
        <v>4138883827.27</v>
      </c>
      <c r="E41" s="97" t="s">
        <v>88</v>
      </c>
      <c r="F41" s="97" t="s">
        <v>88</v>
      </c>
      <c r="G41" s="97" t="s">
        <v>88</v>
      </c>
      <c r="H41" s="97" t="s">
        <v>88</v>
      </c>
      <c r="I41" s="97" t="s">
        <v>88</v>
      </c>
      <c r="J41" s="33">
        <f>IF($D$5=0,"",100*$D41/$D$40)</f>
        <v>10.606959234894628</v>
      </c>
      <c r="K41" s="33">
        <f t="shared" si="1"/>
        <v>83.106635220085465</v>
      </c>
    </row>
    <row r="42" spans="1:26" s="5" customFormat="1" ht="12.95" customHeight="1" x14ac:dyDescent="0.2">
      <c r="A42" s="2"/>
      <c r="B42" s="116" t="s">
        <v>57</v>
      </c>
      <c r="C42" s="32">
        <f>C40-C41</f>
        <v>34795165958.779999</v>
      </c>
      <c r="D42" s="32">
        <f>D40-D41</f>
        <v>34881571852.940002</v>
      </c>
      <c r="E42" s="97" t="s">
        <v>88</v>
      </c>
      <c r="F42" s="97" t="s">
        <v>88</v>
      </c>
      <c r="G42" s="97" t="s">
        <v>88</v>
      </c>
      <c r="H42" s="97" t="s">
        <v>88</v>
      </c>
      <c r="I42" s="97" t="s">
        <v>88</v>
      </c>
      <c r="J42" s="33">
        <f>IF($D$5=0,"",100*$D42/$D$40)</f>
        <v>89.393040765105368</v>
      </c>
      <c r="K42" s="33">
        <f t="shared" si="1"/>
        <v>100.2483272942637</v>
      </c>
      <c r="M42" s="15"/>
      <c r="N42" s="15"/>
      <c r="O42" s="9"/>
      <c r="P42" s="9"/>
      <c r="Q42" s="3"/>
    </row>
    <row r="43" spans="1:26" s="5" customFormat="1" ht="12.95" customHeight="1" x14ac:dyDescent="0.2">
      <c r="A43" s="2"/>
      <c r="B43" s="129" t="s">
        <v>99</v>
      </c>
      <c r="C43" s="76"/>
      <c r="D43" s="76"/>
      <c r="E43" s="128"/>
      <c r="F43" s="128"/>
      <c r="G43" s="128"/>
      <c r="H43" s="128"/>
      <c r="I43" s="128"/>
      <c r="J43" s="57"/>
      <c r="K43" s="57"/>
      <c r="M43" s="15"/>
      <c r="N43" s="15"/>
      <c r="O43" s="9"/>
      <c r="P43" s="9"/>
      <c r="Q43" s="3"/>
    </row>
    <row r="44" spans="1:26" ht="20.100000000000001" customHeight="1" x14ac:dyDescent="0.2">
      <c r="B44" s="117" t="str">
        <f>CONCATENATE("Informacja z wykonania budżetów powiatów za ",$D$99," ",$C$100," rok     ",$C$102,"")</f>
        <v xml:space="preserve">Informacja z wykonania budżetów powiatów za IV Kwartały 2022 rok     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</row>
    <row r="45" spans="1:26" s="5" customFormat="1" ht="9" customHeight="1" x14ac:dyDescent="0.2">
      <c r="B45" s="6"/>
      <c r="C45" s="7"/>
      <c r="D45" s="8"/>
      <c r="E45" s="8"/>
      <c r="F45" s="4"/>
      <c r="G45" s="4"/>
      <c r="H45" s="4"/>
      <c r="I45" s="4"/>
      <c r="J45" s="4"/>
      <c r="K45" s="9"/>
      <c r="L45" s="9"/>
      <c r="M45" s="3"/>
    </row>
    <row r="46" spans="1:26" ht="29.25" customHeight="1" x14ac:dyDescent="0.2">
      <c r="B46" s="130" t="s">
        <v>0</v>
      </c>
      <c r="C46" s="131" t="s">
        <v>38</v>
      </c>
      <c r="D46" s="131" t="s">
        <v>40</v>
      </c>
      <c r="E46" s="131" t="s">
        <v>39</v>
      </c>
      <c r="F46" s="131" t="s">
        <v>12</v>
      </c>
      <c r="G46" s="131"/>
      <c r="H46" s="131"/>
      <c r="I46" s="132" t="s">
        <v>68</v>
      </c>
      <c r="J46" s="131" t="s">
        <v>2</v>
      </c>
      <c r="K46" s="163" t="s">
        <v>18</v>
      </c>
      <c r="M46" s="10"/>
      <c r="N46" s="73"/>
      <c r="O46" s="77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" customHeight="1" x14ac:dyDescent="0.2">
      <c r="B47" s="130"/>
      <c r="C47" s="131"/>
      <c r="D47" s="131"/>
      <c r="E47" s="157"/>
      <c r="F47" s="158" t="s">
        <v>41</v>
      </c>
      <c r="G47" s="156" t="s">
        <v>25</v>
      </c>
      <c r="H47" s="157"/>
      <c r="I47" s="133"/>
      <c r="J47" s="131"/>
      <c r="K47" s="163"/>
      <c r="L47" s="11"/>
      <c r="M47" s="12"/>
      <c r="N47" s="74"/>
      <c r="O47" s="78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57" customHeight="1" x14ac:dyDescent="0.2">
      <c r="B48" s="130"/>
      <c r="C48" s="131"/>
      <c r="D48" s="131"/>
      <c r="E48" s="157"/>
      <c r="F48" s="157"/>
      <c r="G48" s="17" t="s">
        <v>36</v>
      </c>
      <c r="H48" s="17" t="s">
        <v>37</v>
      </c>
      <c r="I48" s="134"/>
      <c r="J48" s="131"/>
      <c r="K48" s="163"/>
      <c r="L48" s="11"/>
      <c r="M48" s="10"/>
      <c r="N48" s="74"/>
      <c r="O48" s="76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 x14ac:dyDescent="0.2">
      <c r="B49" s="130"/>
      <c r="C49" s="135" t="s">
        <v>60</v>
      </c>
      <c r="D49" s="136"/>
      <c r="E49" s="136"/>
      <c r="F49" s="136"/>
      <c r="G49" s="136"/>
      <c r="H49" s="136"/>
      <c r="I49" s="137"/>
      <c r="J49" s="138" t="s">
        <v>4</v>
      </c>
      <c r="K49" s="138"/>
      <c r="N49" s="10"/>
      <c r="O49" s="78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1.25" customHeight="1" x14ac:dyDescent="0.2">
      <c r="B50" s="16">
        <v>1</v>
      </c>
      <c r="C50" s="18">
        <v>2</v>
      </c>
      <c r="D50" s="18">
        <v>3</v>
      </c>
      <c r="E50" s="18">
        <v>4</v>
      </c>
      <c r="F50" s="16">
        <v>5</v>
      </c>
      <c r="G50" s="16">
        <v>6</v>
      </c>
      <c r="H50" s="18">
        <v>7</v>
      </c>
      <c r="I50" s="18">
        <v>8</v>
      </c>
      <c r="J50" s="16">
        <v>9</v>
      </c>
      <c r="K50" s="18">
        <v>10</v>
      </c>
      <c r="M50" s="10"/>
      <c r="N50" s="10"/>
      <c r="O50" s="76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26.85" customHeight="1" x14ac:dyDescent="0.2">
      <c r="B51" s="103" t="s">
        <v>45</v>
      </c>
      <c r="C51" s="60">
        <f>43608123309.35</f>
        <v>43608123309.349998</v>
      </c>
      <c r="D51" s="72">
        <f>40003248745.87</f>
        <v>40003248745.870003</v>
      </c>
      <c r="E51" s="72">
        <f>40027466982.51</f>
        <v>40027466982.510002</v>
      </c>
      <c r="F51" s="60">
        <f>1955226315.59</f>
        <v>1955226315.5899999</v>
      </c>
      <c r="G51" s="60">
        <f>941946.48</f>
        <v>941946.48</v>
      </c>
      <c r="H51" s="60">
        <f>8652049.88</f>
        <v>8652049.8800000008</v>
      </c>
      <c r="I51" s="80">
        <f>304923601.59</f>
        <v>304923601.58999997</v>
      </c>
      <c r="J51" s="50">
        <f>IF($D$51=0,"",100*$D51/$D$51)</f>
        <v>100</v>
      </c>
      <c r="K51" s="50">
        <f>IF(C51=0,"",100*D51/C51)</f>
        <v>91.733479246727697</v>
      </c>
      <c r="O51" s="75"/>
    </row>
    <row r="52" spans="2:26" ht="12.95" customHeight="1" x14ac:dyDescent="0.2">
      <c r="B52" s="19" t="s">
        <v>14</v>
      </c>
      <c r="C52" s="38">
        <f>9575784934.02</f>
        <v>9575784934.0200005</v>
      </c>
      <c r="D52" s="38">
        <f>7742701757.55001</f>
        <v>7742701757.5500097</v>
      </c>
      <c r="E52" s="38">
        <f>7754784726.54</f>
        <v>7754784726.54</v>
      </c>
      <c r="F52" s="38">
        <f>187830686.97</f>
        <v>187830686.97</v>
      </c>
      <c r="G52" s="38">
        <f>46.23</f>
        <v>46.23</v>
      </c>
      <c r="H52" s="38">
        <f>0</f>
        <v>0</v>
      </c>
      <c r="I52" s="81">
        <f>280376353.08</f>
        <v>280376353.07999998</v>
      </c>
      <c r="J52" s="50">
        <f t="shared" ref="J52:J60" si="2">IF($D$51=0,"",100*$D52/$D$51)</f>
        <v>19.355182392153534</v>
      </c>
      <c r="K52" s="50">
        <f t="shared" ref="K52:K60" si="3">IF(C52=0,"",100*D52/C52)</f>
        <v>80.857097469288647</v>
      </c>
      <c r="O52" s="76"/>
    </row>
    <row r="53" spans="2:26" ht="12.95" customHeight="1" outlineLevel="1" x14ac:dyDescent="0.2">
      <c r="B53" s="20" t="s">
        <v>13</v>
      </c>
      <c r="C53" s="35">
        <f>9490173273.78</f>
        <v>9490173273.7800007</v>
      </c>
      <c r="D53" s="35">
        <f>7659009727.11001</f>
        <v>7659009727.1100101</v>
      </c>
      <c r="E53" s="35">
        <f>7671092696.10001</f>
        <v>7671092696.1000099</v>
      </c>
      <c r="F53" s="35">
        <f>187830686.97</f>
        <v>187830686.97</v>
      </c>
      <c r="G53" s="35">
        <f>46.23</f>
        <v>46.23</v>
      </c>
      <c r="H53" s="35">
        <f>0</f>
        <v>0</v>
      </c>
      <c r="I53" s="82">
        <f>280376353.08</f>
        <v>280376353.07999998</v>
      </c>
      <c r="J53" s="50">
        <f t="shared" si="2"/>
        <v>19.145969308057104</v>
      </c>
      <c r="K53" s="50">
        <f t="shared" si="3"/>
        <v>80.704635270156388</v>
      </c>
      <c r="O53" s="75"/>
    </row>
    <row r="54" spans="2:26" ht="26.85" customHeight="1" x14ac:dyDescent="0.2">
      <c r="B54" s="19" t="s">
        <v>46</v>
      </c>
      <c r="C54" s="38">
        <f t="shared" ref="C54:I54" si="4">C51-C52</f>
        <v>34032338375.329998</v>
      </c>
      <c r="D54" s="38">
        <f>D51-D52</f>
        <v>32260546988.319992</v>
      </c>
      <c r="E54" s="38">
        <f>E51-E52</f>
        <v>32272682255.970001</v>
      </c>
      <c r="F54" s="38">
        <f t="shared" si="4"/>
        <v>1767395628.6199999</v>
      </c>
      <c r="G54" s="38">
        <f t="shared" si="4"/>
        <v>941900.25</v>
      </c>
      <c r="H54" s="38">
        <f t="shared" si="4"/>
        <v>8652049.8800000008</v>
      </c>
      <c r="I54" s="81">
        <f t="shared" si="4"/>
        <v>24547248.50999999</v>
      </c>
      <c r="J54" s="50">
        <f t="shared" si="2"/>
        <v>80.644817607846463</v>
      </c>
      <c r="K54" s="50">
        <f t="shared" si="3"/>
        <v>94.793800627304591</v>
      </c>
      <c r="O54" s="75"/>
    </row>
    <row r="55" spans="2:26" ht="22.5" outlineLevel="1" x14ac:dyDescent="0.2">
      <c r="B55" s="20" t="s">
        <v>87</v>
      </c>
      <c r="C55" s="35">
        <f>20094180863.26</f>
        <v>20094180863.259998</v>
      </c>
      <c r="D55" s="35">
        <f>19668159260.63</f>
        <v>19668159260.630001</v>
      </c>
      <c r="E55" s="35">
        <f>19675641968.21</f>
        <v>19675641968.209999</v>
      </c>
      <c r="F55" s="35">
        <f>1534038003.9</f>
        <v>1534038003.9000001</v>
      </c>
      <c r="G55" s="35">
        <f>1971.94</f>
        <v>1971.94</v>
      </c>
      <c r="H55" s="35">
        <f>0</f>
        <v>0</v>
      </c>
      <c r="I55" s="82">
        <f>66426.1</f>
        <v>66426.100000000006</v>
      </c>
      <c r="J55" s="50">
        <f t="shared" si="2"/>
        <v>49.166404922701609</v>
      </c>
      <c r="K55" s="50">
        <f t="shared" si="3"/>
        <v>97.87987574348486</v>
      </c>
      <c r="O55" s="76"/>
    </row>
    <row r="56" spans="2:26" ht="12.95" customHeight="1" outlineLevel="1" x14ac:dyDescent="0.2">
      <c r="B56" s="23" t="s">
        <v>35</v>
      </c>
      <c r="C56" s="61">
        <f>2538997902.63</f>
        <v>2538997902.6300001</v>
      </c>
      <c r="D56" s="61">
        <f>2424610448.86</f>
        <v>2424610448.8600001</v>
      </c>
      <c r="E56" s="61">
        <f>2425439201.82</f>
        <v>2425439201.8200002</v>
      </c>
      <c r="F56" s="61">
        <f>784236.95</f>
        <v>784236.95</v>
      </c>
      <c r="G56" s="61">
        <f>0</f>
        <v>0</v>
      </c>
      <c r="H56" s="61">
        <f>58.66</f>
        <v>58.66</v>
      </c>
      <c r="I56" s="83">
        <f>0</f>
        <v>0</v>
      </c>
      <c r="J56" s="50">
        <f t="shared" si="2"/>
        <v>6.0610338531825381</v>
      </c>
      <c r="K56" s="50">
        <f t="shared" si="3"/>
        <v>95.494779509210588</v>
      </c>
    </row>
    <row r="57" spans="2:26" ht="12.95" customHeight="1" outlineLevel="1" x14ac:dyDescent="0.2">
      <c r="B57" s="23" t="s">
        <v>34</v>
      </c>
      <c r="C57" s="32">
        <f>353602937.67</f>
        <v>353602937.67000002</v>
      </c>
      <c r="D57" s="32">
        <f>332924830.02</f>
        <v>332924830.01999998</v>
      </c>
      <c r="E57" s="32">
        <f>332936016.99</f>
        <v>332936016.99000001</v>
      </c>
      <c r="F57" s="32">
        <f>8914531.29</f>
        <v>8914531.2899999991</v>
      </c>
      <c r="G57" s="32">
        <f>0</f>
        <v>0</v>
      </c>
      <c r="H57" s="32">
        <f>0</f>
        <v>0</v>
      </c>
      <c r="I57" s="84">
        <f>0</f>
        <v>0</v>
      </c>
      <c r="J57" s="50">
        <f t="shared" si="2"/>
        <v>0.83224448127946526</v>
      </c>
      <c r="K57" s="50">
        <f t="shared" si="3"/>
        <v>94.152167460413509</v>
      </c>
    </row>
    <row r="58" spans="2:26" ht="22.5" customHeight="1" outlineLevel="1" x14ac:dyDescent="0.2">
      <c r="B58" s="23" t="s">
        <v>52</v>
      </c>
      <c r="C58" s="61">
        <f>20912516.15</f>
        <v>20912516.149999999</v>
      </c>
      <c r="D58" s="61">
        <f>3338153.94</f>
        <v>3338153.94</v>
      </c>
      <c r="E58" s="61">
        <f>3338153.94</f>
        <v>3338153.94</v>
      </c>
      <c r="F58" s="61">
        <f>0</f>
        <v>0</v>
      </c>
      <c r="G58" s="61">
        <f>0</f>
        <v>0</v>
      </c>
      <c r="H58" s="61">
        <f>0</f>
        <v>0</v>
      </c>
      <c r="I58" s="83">
        <f>0</f>
        <v>0</v>
      </c>
      <c r="J58" s="50">
        <f t="shared" si="2"/>
        <v>8.3447071041814723E-3</v>
      </c>
      <c r="K58" s="50">
        <f t="shared" si="3"/>
        <v>15.962469155104515</v>
      </c>
    </row>
    <row r="59" spans="2:26" ht="12.95" customHeight="1" outlineLevel="1" x14ac:dyDescent="0.2">
      <c r="B59" s="23" t="s">
        <v>53</v>
      </c>
      <c r="C59" s="61">
        <f>1220531862.65</f>
        <v>1220531862.6500001</v>
      </c>
      <c r="D59" s="61">
        <f>1157547855.56</f>
        <v>1157547855.5599999</v>
      </c>
      <c r="E59" s="61">
        <f>1158023944.47</f>
        <v>1158023944.47</v>
      </c>
      <c r="F59" s="61">
        <f>6827067.85</f>
        <v>6827067.8499999996</v>
      </c>
      <c r="G59" s="61">
        <f>0</f>
        <v>0</v>
      </c>
      <c r="H59" s="61">
        <f>3</f>
        <v>3</v>
      </c>
      <c r="I59" s="85">
        <f>0</f>
        <v>0</v>
      </c>
      <c r="J59" s="50">
        <f t="shared" si="2"/>
        <v>2.8936346218118274</v>
      </c>
      <c r="K59" s="50">
        <f t="shared" si="3"/>
        <v>94.839626148452183</v>
      </c>
    </row>
    <row r="60" spans="2:26" ht="12.95" customHeight="1" outlineLevel="1" x14ac:dyDescent="0.2">
      <c r="B60" s="20" t="s">
        <v>33</v>
      </c>
      <c r="C60" s="35">
        <f t="shared" ref="C60:I60" si="5">C54-C55-C56-C57-C58-C59</f>
        <v>9804112292.9699993</v>
      </c>
      <c r="D60" s="35">
        <f>D54-D55-D56-D57-D58-D59</f>
        <v>8673966439.3099899</v>
      </c>
      <c r="E60" s="86">
        <f>E54-E55-E56-E57-E58-E59</f>
        <v>8677302970.5400028</v>
      </c>
      <c r="F60" s="86">
        <f t="shared" si="5"/>
        <v>216831788.62999982</v>
      </c>
      <c r="G60" s="86">
        <f t="shared" si="5"/>
        <v>939928.31</v>
      </c>
      <c r="H60" s="86">
        <f t="shared" si="5"/>
        <v>8651988.2200000007</v>
      </c>
      <c r="I60" s="87">
        <f t="shared" si="5"/>
        <v>24480822.409999989</v>
      </c>
      <c r="J60" s="50">
        <f t="shared" si="2"/>
        <v>21.683155021766837</v>
      </c>
      <c r="K60" s="50">
        <f t="shared" si="3"/>
        <v>88.472736542701824</v>
      </c>
    </row>
    <row r="61" spans="2:26" ht="12.95" customHeight="1" x14ac:dyDescent="0.2">
      <c r="B61" s="103" t="s">
        <v>15</v>
      </c>
      <c r="C61" s="64">
        <f>C5-C51</f>
        <v>-3832748711.0199966</v>
      </c>
      <c r="D61" s="64">
        <f>D5-D51</f>
        <v>-982793065.66000366</v>
      </c>
      <c r="E61" s="92"/>
      <c r="F61" s="93"/>
      <c r="G61" s="93"/>
      <c r="H61" s="93"/>
      <c r="I61" s="162"/>
      <c r="J61" s="162"/>
      <c r="K61" s="94"/>
      <c r="L61" s="88"/>
      <c r="M61" s="13"/>
    </row>
    <row r="62" spans="2:26" ht="39" customHeight="1" x14ac:dyDescent="0.2">
      <c r="B62" s="104" t="s">
        <v>97</v>
      </c>
      <c r="C62" s="65">
        <f>C42-C54</f>
        <v>762827583.45000076</v>
      </c>
      <c r="D62" s="65">
        <f>D42-D54</f>
        <v>2621024864.6200104</v>
      </c>
      <c r="E62" s="91"/>
      <c r="F62" s="89"/>
      <c r="G62" s="89"/>
      <c r="H62" s="89"/>
      <c r="I62" s="89"/>
      <c r="J62" s="89"/>
      <c r="K62" s="90"/>
      <c r="L62" s="90"/>
      <c r="M62" s="10"/>
    </row>
    <row r="63" spans="2:26" ht="12" customHeight="1" x14ac:dyDescent="0.2">
      <c r="B63" s="37"/>
      <c r="C63" s="42"/>
      <c r="D63" s="42"/>
      <c r="E63" s="42"/>
      <c r="F63" s="43"/>
      <c r="G63" s="43"/>
      <c r="H63" s="43"/>
      <c r="I63" s="43"/>
      <c r="J63" s="40"/>
      <c r="K63" s="40"/>
      <c r="L63" s="41"/>
      <c r="M63" s="10"/>
    </row>
    <row r="64" spans="2:26" ht="12" customHeight="1" x14ac:dyDescent="0.2">
      <c r="B64" s="127" t="s">
        <v>100</v>
      </c>
      <c r="C64" s="42"/>
      <c r="D64" s="42"/>
      <c r="E64" s="42"/>
      <c r="F64" s="43"/>
      <c r="G64" s="43"/>
      <c r="H64" s="43"/>
      <c r="I64" s="43"/>
      <c r="J64" s="40"/>
      <c r="K64" s="40"/>
      <c r="L64" s="41"/>
      <c r="M64" s="10"/>
    </row>
    <row r="65" spans="2:13" ht="26.85" customHeight="1" x14ac:dyDescent="0.2">
      <c r="B65" s="125" t="s">
        <v>96</v>
      </c>
      <c r="C65" s="123">
        <f>1911516846.39</f>
        <v>1911516846.3900001</v>
      </c>
      <c r="D65" s="62">
        <f>1513251019.11</f>
        <v>1513251019.1099999</v>
      </c>
      <c r="E65" s="62">
        <f>1515070345.68</f>
        <v>1515070345.6800001</v>
      </c>
      <c r="F65" s="62">
        <f>21442185.89</f>
        <v>21442185.890000001</v>
      </c>
      <c r="G65" s="62">
        <f>0</f>
        <v>0</v>
      </c>
      <c r="H65" s="62">
        <f>0</f>
        <v>0</v>
      </c>
      <c r="I65" s="62">
        <f>18166028.95</f>
        <v>18166028.949999999</v>
      </c>
      <c r="J65" s="50">
        <f>IF($D$65=0,"",100*$D65/$D$65)</f>
        <v>100</v>
      </c>
      <c r="K65" s="63">
        <f>IF(C65=0,"",100*D65/C65)</f>
        <v>79.164932392191787</v>
      </c>
      <c r="L65" s="10"/>
    </row>
    <row r="66" spans="2:13" ht="12.95" customHeight="1" x14ac:dyDescent="0.2">
      <c r="B66" s="126" t="s">
        <v>58</v>
      </c>
      <c r="C66" s="124">
        <f>946214188.05</f>
        <v>946214188.04999995</v>
      </c>
      <c r="D66" s="61">
        <f>767310898.299999</f>
        <v>767310898.299999</v>
      </c>
      <c r="E66" s="61">
        <f>768035023.66</f>
        <v>768035023.65999997</v>
      </c>
      <c r="F66" s="61">
        <f>16750067.2</f>
        <v>16750067.199999999</v>
      </c>
      <c r="G66" s="61">
        <f>0</f>
        <v>0</v>
      </c>
      <c r="H66" s="61">
        <f>0</f>
        <v>0</v>
      </c>
      <c r="I66" s="61">
        <f>17839600.16</f>
        <v>17839600.16</v>
      </c>
      <c r="J66" s="50">
        <f>IF($D$65=0,"",100*$D66/$D$65)</f>
        <v>50.706121364536301</v>
      </c>
      <c r="K66" s="63">
        <f>IF(C66=0,"",100*D66/C66)</f>
        <v>81.092728051489814</v>
      </c>
    </row>
    <row r="67" spans="2:13" ht="12.95" customHeight="1" x14ac:dyDescent="0.2">
      <c r="B67" s="126" t="s">
        <v>59</v>
      </c>
      <c r="C67" s="124">
        <f>C65-C66</f>
        <v>965302658.34000015</v>
      </c>
      <c r="D67" s="61">
        <f t="shared" ref="D67:I67" si="6">D65-D66</f>
        <v>745940120.8100009</v>
      </c>
      <c r="E67" s="61">
        <f t="shared" si="6"/>
        <v>747035322.0200001</v>
      </c>
      <c r="F67" s="61">
        <f t="shared" si="6"/>
        <v>4692118.6900000013</v>
      </c>
      <c r="G67" s="61">
        <f t="shared" si="6"/>
        <v>0</v>
      </c>
      <c r="H67" s="61">
        <f t="shared" si="6"/>
        <v>0</v>
      </c>
      <c r="I67" s="61">
        <f t="shared" si="6"/>
        <v>326428.78999999911</v>
      </c>
      <c r="J67" s="50">
        <f>IF($D$65=0,"",100*$D67/$D$65)</f>
        <v>49.293878635463699</v>
      </c>
      <c r="K67" s="63">
        <f>IF(C67=0,"",100*D67/C67)</f>
        <v>77.275258113633512</v>
      </c>
    </row>
    <row r="68" spans="2:13" ht="20.100000000000001" customHeight="1" x14ac:dyDescent="0.2">
      <c r="B68" s="117" t="str">
        <f>CONCATENATE("Informacja z wykonania budżetów powiatów za ",$D$99," ",$C$100," rok     ",$C$102,"")</f>
        <v xml:space="preserve">Informacja z wykonania budżetów powiatów za IV Kwartały 2022 rok     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2:13" x14ac:dyDescent="0.2">
      <c r="B69" s="28" t="s">
        <v>16</v>
      </c>
      <c r="C69" s="95" t="s">
        <v>17</v>
      </c>
      <c r="D69" s="71" t="s">
        <v>1</v>
      </c>
      <c r="E69" s="147" t="s">
        <v>88</v>
      </c>
      <c r="F69" s="148"/>
      <c r="G69" s="148"/>
      <c r="H69" s="148"/>
      <c r="I69" s="149"/>
      <c r="J69" s="18" t="s">
        <v>22</v>
      </c>
      <c r="K69" s="18" t="s">
        <v>23</v>
      </c>
    </row>
    <row r="70" spans="2:13" x14ac:dyDescent="0.2">
      <c r="B70" s="28"/>
      <c r="C70" s="158" t="s">
        <v>60</v>
      </c>
      <c r="D70" s="159"/>
      <c r="E70" s="150"/>
      <c r="F70" s="151"/>
      <c r="G70" s="151"/>
      <c r="H70" s="151"/>
      <c r="I70" s="152"/>
      <c r="J70" s="160" t="s">
        <v>4</v>
      </c>
      <c r="K70" s="161"/>
    </row>
    <row r="71" spans="2:13" x14ac:dyDescent="0.2">
      <c r="B71" s="26">
        <v>1</v>
      </c>
      <c r="C71" s="29">
        <v>2</v>
      </c>
      <c r="D71" s="27">
        <v>3</v>
      </c>
      <c r="E71" s="153"/>
      <c r="F71" s="154"/>
      <c r="G71" s="154"/>
      <c r="H71" s="154"/>
      <c r="I71" s="155"/>
      <c r="J71" s="27">
        <v>4</v>
      </c>
      <c r="K71" s="27">
        <v>5</v>
      </c>
    </row>
    <row r="72" spans="2:13" ht="26.85" customHeight="1" x14ac:dyDescent="0.2">
      <c r="B72" s="105" t="s">
        <v>47</v>
      </c>
      <c r="C72" s="44">
        <f>5222712990.26</f>
        <v>5222712990.2600002</v>
      </c>
      <c r="D72" s="72">
        <f>7605554245.57</f>
        <v>7605554245.5699997</v>
      </c>
      <c r="E72" s="102" t="s">
        <v>88</v>
      </c>
      <c r="F72" s="102" t="s">
        <v>88</v>
      </c>
      <c r="G72" s="102" t="s">
        <v>88</v>
      </c>
      <c r="H72" s="102" t="s">
        <v>88</v>
      </c>
      <c r="I72" s="102" t="s">
        <v>88</v>
      </c>
      <c r="J72" s="45">
        <f>IF($D$72=0,"",100*$D72/$D$72)</f>
        <v>100</v>
      </c>
      <c r="K72" s="39">
        <f t="shared" ref="K72:K85" si="7">IF(C72=0,"",100*D72/C72)</f>
        <v>145.62458744629151</v>
      </c>
    </row>
    <row r="73" spans="2:13" ht="25.5" customHeight="1" x14ac:dyDescent="0.2">
      <c r="B73" s="119" t="s">
        <v>71</v>
      </c>
      <c r="C73" s="46">
        <f>914011646.41</f>
        <v>914011646.40999997</v>
      </c>
      <c r="D73" s="98">
        <f>779944121.4</f>
        <v>779944121.39999998</v>
      </c>
      <c r="E73" s="102" t="s">
        <v>88</v>
      </c>
      <c r="F73" s="102" t="s">
        <v>88</v>
      </c>
      <c r="G73" s="102" t="s">
        <v>88</v>
      </c>
      <c r="H73" s="102" t="s">
        <v>88</v>
      </c>
      <c r="I73" s="102" t="s">
        <v>88</v>
      </c>
      <c r="J73" s="47">
        <f t="shared" ref="J73:J80" si="8">IF($D$72=0,"",100*$D73/$D$72)</f>
        <v>10.254928125117159</v>
      </c>
      <c r="K73" s="48">
        <f t="shared" si="7"/>
        <v>85.331967537111552</v>
      </c>
    </row>
    <row r="74" spans="2:13" ht="22.5" x14ac:dyDescent="0.2">
      <c r="B74" s="120" t="s">
        <v>72</v>
      </c>
      <c r="C74" s="66">
        <f>20300000</f>
        <v>20300000</v>
      </c>
      <c r="D74" s="56">
        <f>18700000</f>
        <v>18700000</v>
      </c>
      <c r="E74" s="102" t="s">
        <v>88</v>
      </c>
      <c r="F74" s="102" t="s">
        <v>88</v>
      </c>
      <c r="G74" s="102" t="s">
        <v>88</v>
      </c>
      <c r="H74" s="102" t="s">
        <v>88</v>
      </c>
      <c r="I74" s="102" t="s">
        <v>88</v>
      </c>
      <c r="J74" s="67">
        <f t="shared" si="8"/>
        <v>0.24587294227626044</v>
      </c>
      <c r="K74" s="68">
        <f t="shared" si="7"/>
        <v>92.118226600985224</v>
      </c>
    </row>
    <row r="75" spans="2:13" ht="12.95" customHeight="1" x14ac:dyDescent="0.2">
      <c r="B75" s="118" t="s">
        <v>73</v>
      </c>
      <c r="C75" s="66">
        <f>37515712.93</f>
        <v>37515712.93</v>
      </c>
      <c r="D75" s="56">
        <f>40011476.06</f>
        <v>40011476.060000002</v>
      </c>
      <c r="E75" s="102" t="s">
        <v>88</v>
      </c>
      <c r="F75" s="102" t="s">
        <v>88</v>
      </c>
      <c r="G75" s="102" t="s">
        <v>88</v>
      </c>
      <c r="H75" s="102" t="s">
        <v>88</v>
      </c>
      <c r="I75" s="102" t="s">
        <v>88</v>
      </c>
      <c r="J75" s="67">
        <f t="shared" si="8"/>
        <v>0.52608231784429715</v>
      </c>
      <c r="K75" s="68">
        <f t="shared" si="7"/>
        <v>106.65258083901219</v>
      </c>
    </row>
    <row r="76" spans="2:13" ht="48.75" customHeight="1" x14ac:dyDescent="0.2">
      <c r="B76" s="118" t="s">
        <v>81</v>
      </c>
      <c r="C76" s="66">
        <f>744260590.03</f>
        <v>744260590.02999997</v>
      </c>
      <c r="D76" s="56">
        <f>1838316147.37</f>
        <v>1838316147.3699999</v>
      </c>
      <c r="E76" s="102" t="s">
        <v>88</v>
      </c>
      <c r="F76" s="102" t="s">
        <v>88</v>
      </c>
      <c r="G76" s="102" t="s">
        <v>88</v>
      </c>
      <c r="H76" s="102" t="s">
        <v>88</v>
      </c>
      <c r="I76" s="102" t="s">
        <v>88</v>
      </c>
      <c r="J76" s="67">
        <f t="shared" si="8"/>
        <v>24.170705881701682</v>
      </c>
      <c r="K76" s="68">
        <f t="shared" si="7"/>
        <v>246.99899094427403</v>
      </c>
    </row>
    <row r="77" spans="2:13" ht="35.25" customHeight="1" x14ac:dyDescent="0.2">
      <c r="B77" s="118" t="s">
        <v>82</v>
      </c>
      <c r="C77" s="66">
        <f>1647748219.24</f>
        <v>1647748219.24</v>
      </c>
      <c r="D77" s="56">
        <f>1899842865.99</f>
        <v>1899842865.99</v>
      </c>
      <c r="E77" s="102" t="s">
        <v>88</v>
      </c>
      <c r="F77" s="102" t="s">
        <v>88</v>
      </c>
      <c r="G77" s="102" t="s">
        <v>88</v>
      </c>
      <c r="H77" s="102" t="s">
        <v>88</v>
      </c>
      <c r="I77" s="102" t="s">
        <v>88</v>
      </c>
      <c r="J77" s="67">
        <f t="shared" si="8"/>
        <v>24.979676755268688</v>
      </c>
      <c r="K77" s="68">
        <f t="shared" si="7"/>
        <v>115.29934269121983</v>
      </c>
    </row>
    <row r="78" spans="2:13" ht="12.95" customHeight="1" x14ac:dyDescent="0.2">
      <c r="B78" s="118" t="s">
        <v>74</v>
      </c>
      <c r="C78" s="66">
        <f>0</f>
        <v>0</v>
      </c>
      <c r="D78" s="56">
        <f>0</f>
        <v>0</v>
      </c>
      <c r="E78" s="102" t="s">
        <v>88</v>
      </c>
      <c r="F78" s="102" t="s">
        <v>88</v>
      </c>
      <c r="G78" s="102" t="s">
        <v>88</v>
      </c>
      <c r="H78" s="102" t="s">
        <v>88</v>
      </c>
      <c r="I78" s="102" t="s">
        <v>88</v>
      </c>
      <c r="J78" s="67">
        <f t="shared" si="8"/>
        <v>0</v>
      </c>
      <c r="K78" s="68" t="str">
        <f t="shared" si="7"/>
        <v/>
      </c>
    </row>
    <row r="79" spans="2:13" ht="33.75" x14ac:dyDescent="0.2">
      <c r="B79" s="118" t="s">
        <v>75</v>
      </c>
      <c r="C79" s="66">
        <f>1872456821.65</f>
        <v>1872456821.6500001</v>
      </c>
      <c r="D79" s="56">
        <f>3038030418.55</f>
        <v>3038030418.5500002</v>
      </c>
      <c r="E79" s="102" t="s">
        <v>88</v>
      </c>
      <c r="F79" s="102" t="s">
        <v>88</v>
      </c>
      <c r="G79" s="102" t="s">
        <v>88</v>
      </c>
      <c r="H79" s="102" t="s">
        <v>88</v>
      </c>
      <c r="I79" s="102" t="s">
        <v>88</v>
      </c>
      <c r="J79" s="67">
        <f t="shared" si="8"/>
        <v>39.944891857415371</v>
      </c>
      <c r="K79" s="68">
        <f t="shared" si="7"/>
        <v>162.24835645998513</v>
      </c>
    </row>
    <row r="80" spans="2:13" ht="12.95" customHeight="1" x14ac:dyDescent="0.2">
      <c r="B80" s="118" t="s">
        <v>62</v>
      </c>
      <c r="C80" s="66">
        <f>6720000</f>
        <v>6720000</v>
      </c>
      <c r="D80" s="56">
        <f>9409216.2</f>
        <v>9409216.1999999993</v>
      </c>
      <c r="E80" s="102" t="s">
        <v>88</v>
      </c>
      <c r="F80" s="102" t="s">
        <v>88</v>
      </c>
      <c r="G80" s="102" t="s">
        <v>88</v>
      </c>
      <c r="H80" s="102" t="s">
        <v>88</v>
      </c>
      <c r="I80" s="102" t="s">
        <v>88</v>
      </c>
      <c r="J80" s="67">
        <f t="shared" si="8"/>
        <v>0.12371506265280505</v>
      </c>
      <c r="K80" s="68">
        <f t="shared" si="7"/>
        <v>140.01809821428569</v>
      </c>
    </row>
    <row r="81" spans="2:11" ht="26.85" customHeight="1" x14ac:dyDescent="0.2">
      <c r="B81" s="105" t="s">
        <v>48</v>
      </c>
      <c r="C81" s="51">
        <f>1388907238.24</f>
        <v>1388907238.24</v>
      </c>
      <c r="D81" s="72">
        <f>1278780572.19</f>
        <v>1278780572.1900001</v>
      </c>
      <c r="E81" s="102" t="s">
        <v>88</v>
      </c>
      <c r="F81" s="102" t="s">
        <v>88</v>
      </c>
      <c r="G81" s="102" t="s">
        <v>88</v>
      </c>
      <c r="H81" s="102" t="s">
        <v>88</v>
      </c>
      <c r="I81" s="102" t="s">
        <v>88</v>
      </c>
      <c r="J81" s="45">
        <f>IF($D$81=0,"",100*$D81/$D$81)</f>
        <v>100</v>
      </c>
      <c r="K81" s="39">
        <f t="shared" si="7"/>
        <v>92.070984798844407</v>
      </c>
    </row>
    <row r="82" spans="2:11" ht="22.5" x14ac:dyDescent="0.2">
      <c r="B82" s="119" t="s">
        <v>77</v>
      </c>
      <c r="C82" s="46">
        <f>985766164.74</f>
        <v>985766164.74000001</v>
      </c>
      <c r="D82" s="99">
        <f>960677984.23</f>
        <v>960677984.23000002</v>
      </c>
      <c r="E82" s="102" t="s">
        <v>88</v>
      </c>
      <c r="F82" s="102" t="s">
        <v>88</v>
      </c>
      <c r="G82" s="102" t="s">
        <v>88</v>
      </c>
      <c r="H82" s="102" t="s">
        <v>88</v>
      </c>
      <c r="I82" s="102" t="s">
        <v>88</v>
      </c>
      <c r="J82" s="47">
        <f>IF($D$81=0,"",100*$D82/$D$81)</f>
        <v>75.124537009877514</v>
      </c>
      <c r="K82" s="48">
        <f t="shared" si="7"/>
        <v>97.454956215035324</v>
      </c>
    </row>
    <row r="83" spans="2:11" ht="12.95" customHeight="1" x14ac:dyDescent="0.2">
      <c r="B83" s="120" t="s">
        <v>76</v>
      </c>
      <c r="C83" s="66">
        <f>36935638.02</f>
        <v>36935638.020000003</v>
      </c>
      <c r="D83" s="56">
        <f>36935638.02</f>
        <v>36935638.020000003</v>
      </c>
      <c r="E83" s="102" t="s">
        <v>88</v>
      </c>
      <c r="F83" s="102" t="s">
        <v>88</v>
      </c>
      <c r="G83" s="102" t="s">
        <v>88</v>
      </c>
      <c r="H83" s="102" t="s">
        <v>88</v>
      </c>
      <c r="I83" s="102" t="s">
        <v>88</v>
      </c>
      <c r="J83" s="67">
        <f>IF($D$81=0,"",100*$D83/$D$81)</f>
        <v>2.8883483862086812</v>
      </c>
      <c r="K83" s="68">
        <f t="shared" si="7"/>
        <v>100</v>
      </c>
    </row>
    <row r="84" spans="2:11" ht="12.95" customHeight="1" x14ac:dyDescent="0.2">
      <c r="B84" s="118" t="s">
        <v>86</v>
      </c>
      <c r="C84" s="66">
        <f>67559578.97</f>
        <v>67559578.969999999</v>
      </c>
      <c r="D84" s="56">
        <f>70677615.73</f>
        <v>70677615.730000004</v>
      </c>
      <c r="E84" s="102" t="s">
        <v>88</v>
      </c>
      <c r="F84" s="102" t="s">
        <v>88</v>
      </c>
      <c r="G84" s="102" t="s">
        <v>88</v>
      </c>
      <c r="H84" s="102" t="s">
        <v>88</v>
      </c>
      <c r="I84" s="102" t="s">
        <v>88</v>
      </c>
      <c r="J84" s="67">
        <f>IF($D$81=0,"",100*$D84/$D$81)</f>
        <v>5.5269541363894588</v>
      </c>
      <c r="K84" s="68">
        <f t="shared" si="7"/>
        <v>104.61524007037488</v>
      </c>
    </row>
    <row r="85" spans="2:11" ht="12.95" customHeight="1" x14ac:dyDescent="0.2">
      <c r="B85" s="121" t="s">
        <v>24</v>
      </c>
      <c r="C85" s="66">
        <f>335581494.53</f>
        <v>335581494.52999997</v>
      </c>
      <c r="D85" s="56">
        <f>247424972.23</f>
        <v>247424972.22999999</v>
      </c>
      <c r="E85" s="102" t="s">
        <v>88</v>
      </c>
      <c r="F85" s="102" t="s">
        <v>88</v>
      </c>
      <c r="G85" s="102" t="s">
        <v>88</v>
      </c>
      <c r="H85" s="102" t="s">
        <v>88</v>
      </c>
      <c r="I85" s="102" t="s">
        <v>88</v>
      </c>
      <c r="J85" s="67">
        <f>IF($D$81=0,"",100*$D85/$D$81)</f>
        <v>19.348508853733026</v>
      </c>
      <c r="K85" s="68">
        <f t="shared" si="7"/>
        <v>73.730219414074682</v>
      </c>
    </row>
    <row r="86" spans="2:11" x14ac:dyDescent="0.2">
      <c r="B86" s="25"/>
    </row>
    <row r="87" spans="2:11" x14ac:dyDescent="0.2">
      <c r="B87" s="52" t="s">
        <v>16</v>
      </c>
      <c r="C87" s="79" t="s">
        <v>17</v>
      </c>
      <c r="D87" s="18" t="s">
        <v>1</v>
      </c>
    </row>
    <row r="88" spans="2:11" x14ac:dyDescent="0.2">
      <c r="B88" s="52"/>
      <c r="C88" s="131" t="s">
        <v>60</v>
      </c>
      <c r="D88" s="131"/>
    </row>
    <row r="89" spans="2:11" x14ac:dyDescent="0.2">
      <c r="B89" s="26">
        <v>1</v>
      </c>
      <c r="C89" s="27">
        <v>2</v>
      </c>
      <c r="D89" s="27">
        <v>3</v>
      </c>
    </row>
    <row r="90" spans="2:11" ht="36" customHeight="1" x14ac:dyDescent="0.2">
      <c r="B90" s="53" t="s">
        <v>95</v>
      </c>
      <c r="C90" s="49">
        <f>3866979408.21</f>
        <v>3866979408.21</v>
      </c>
      <c r="D90" s="96">
        <f>1497892827.94</f>
        <v>1497892827.9400001</v>
      </c>
    </row>
    <row r="91" spans="2:11" ht="35.25" customHeight="1" x14ac:dyDescent="0.2">
      <c r="B91" s="122" t="s">
        <v>63</v>
      </c>
      <c r="C91" s="66">
        <f>14314924</f>
        <v>14314924</v>
      </c>
      <c r="D91" s="56">
        <f>5986957.3</f>
        <v>5986957.2999999998</v>
      </c>
    </row>
    <row r="92" spans="2:11" ht="12.95" customHeight="1" x14ac:dyDescent="0.2">
      <c r="B92" s="122" t="s">
        <v>64</v>
      </c>
      <c r="C92" s="66">
        <f>528711482.29</f>
        <v>528711482.29000002</v>
      </c>
      <c r="D92" s="56">
        <f>243557493.32</f>
        <v>243557493.31999999</v>
      </c>
    </row>
    <row r="93" spans="2:11" ht="24" customHeight="1" x14ac:dyDescent="0.2">
      <c r="B93" s="122" t="s">
        <v>65</v>
      </c>
      <c r="C93" s="66">
        <f>0</f>
        <v>0</v>
      </c>
      <c r="D93" s="56">
        <f>0</f>
        <v>0</v>
      </c>
    </row>
    <row r="94" spans="2:11" ht="57.75" customHeight="1" x14ac:dyDescent="0.2">
      <c r="B94" s="122" t="s">
        <v>83</v>
      </c>
      <c r="C94" s="66">
        <f>614544833.51</f>
        <v>614544833.50999999</v>
      </c>
      <c r="D94" s="56">
        <f>163965410.77</f>
        <v>163965410.77000001</v>
      </c>
    </row>
    <row r="95" spans="2:11" ht="81" customHeight="1" x14ac:dyDescent="0.2">
      <c r="B95" s="122" t="s">
        <v>66</v>
      </c>
      <c r="C95" s="66">
        <f>1186189778.49</f>
        <v>1186189778.49</v>
      </c>
      <c r="D95" s="56">
        <f>361607566.49</f>
        <v>361607566.49000001</v>
      </c>
    </row>
    <row r="96" spans="2:11" ht="149.25" customHeight="1" x14ac:dyDescent="0.2">
      <c r="B96" s="122" t="s">
        <v>84</v>
      </c>
      <c r="C96" s="66">
        <f>1515070206.99</f>
        <v>1515070206.99</v>
      </c>
      <c r="D96" s="56">
        <f>718405107.06</f>
        <v>718405107.05999994</v>
      </c>
    </row>
    <row r="97" spans="2:4" ht="25.5" customHeight="1" x14ac:dyDescent="0.2">
      <c r="B97" s="122" t="s">
        <v>85</v>
      </c>
      <c r="C97" s="66">
        <f>8148182.93</f>
        <v>8148182.9299999997</v>
      </c>
      <c r="D97" s="56">
        <f>4370293</f>
        <v>4370293</v>
      </c>
    </row>
    <row r="99" spans="2:4" ht="10.5" customHeight="1" x14ac:dyDescent="0.2">
      <c r="B99" s="24" t="s">
        <v>49</v>
      </c>
      <c r="C99" s="24">
        <f>4</f>
        <v>4</v>
      </c>
      <c r="D99" s="24" t="str">
        <f>IF(C99=1,"I Kwartał",IF(C99=2,"II Kwartały",IF(C99=3,"III Kwartały",IF(C99=4,"IV Kwartały",IF(C99="M1","Styczeń",IF(C99="M11","Listopad",IF(C99="M12","Grudzień","-")))))))</f>
        <v>IV Kwartały</v>
      </c>
    </row>
    <row r="100" spans="2:4" ht="10.5" customHeight="1" x14ac:dyDescent="0.2">
      <c r="B100" s="24" t="s">
        <v>50</v>
      </c>
      <c r="C100" s="100">
        <f>2022</f>
        <v>2022</v>
      </c>
      <c r="D100" s="25"/>
    </row>
    <row r="101" spans="2:4" ht="12" customHeight="1" x14ac:dyDescent="0.2">
      <c r="B101" s="24" t="s">
        <v>51</v>
      </c>
      <c r="C101" s="145" t="str">
        <f>"Mar 23 2023 12:00AM"</f>
        <v>Mar 23 2023 12:00AM</v>
      </c>
      <c r="D101" s="146"/>
    </row>
    <row r="102" spans="2:4" ht="9.75" hidden="1" customHeight="1" x14ac:dyDescent="0.2">
      <c r="B102" s="24" t="s">
        <v>55</v>
      </c>
      <c r="C102" s="101" t="str">
        <f>""</f>
        <v/>
      </c>
      <c r="D102" s="25"/>
    </row>
  </sheetData>
  <mergeCells count="22">
    <mergeCell ref="J70:K70"/>
    <mergeCell ref="D46:D48"/>
    <mergeCell ref="E46:E48"/>
    <mergeCell ref="F47:F48"/>
    <mergeCell ref="I61:J61"/>
    <mergeCell ref="K46:K48"/>
    <mergeCell ref="C101:D101"/>
    <mergeCell ref="E69:I71"/>
    <mergeCell ref="F46:H46"/>
    <mergeCell ref="G47:H47"/>
    <mergeCell ref="C70:D70"/>
    <mergeCell ref="C88:D88"/>
    <mergeCell ref="J46:J48"/>
    <mergeCell ref="J49:K49"/>
    <mergeCell ref="C3:D3"/>
    <mergeCell ref="J3:L3"/>
    <mergeCell ref="E3:I4"/>
    <mergeCell ref="B2:B3"/>
    <mergeCell ref="C46:C48"/>
    <mergeCell ref="B46:B49"/>
    <mergeCell ref="I46:I48"/>
    <mergeCell ref="C49:I49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4" min="1" max="11" man="1"/>
    <brk id="43" max="16383" man="1"/>
    <brk id="67" max="16383" man="1"/>
    <brk id="8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2023-03-29T10:50:19Z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