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d07\Ksiegowosc\REJESTR umów i zamówień do BIP w 2022\12.Grudzień 2022\"/>
    </mc:Choice>
  </mc:AlternateContent>
  <bookViews>
    <workbookView xWindow="0" yWindow="0" windowWidth="28800" windowHeight="12345"/>
  </bookViews>
  <sheets>
    <sheet name="zamówienia" sheetId="2" r:id="rId1"/>
  </sheets>
  <definedNames>
    <definedName name="_xlnm._FilterDatabase" localSheetId="0" hidden="1">zamówienia!$B$3:$F$195</definedName>
    <definedName name="_xlnm.Print_Area" localSheetId="0">zamówienia!$A$1:$F$195</definedName>
  </definedNames>
  <calcPr calcId="162913"/>
</workbook>
</file>

<file path=xl/calcChain.xml><?xml version="1.0" encoding="utf-8"?>
<calcChain xmlns="http://schemas.openxmlformats.org/spreadsheetml/2006/main">
  <c r="F124" i="2" l="1"/>
  <c r="F142" i="2"/>
  <c r="F11" i="2"/>
  <c r="F157" i="2"/>
  <c r="F191" i="2"/>
  <c r="F146" i="2"/>
  <c r="F185" i="2"/>
  <c r="F190" i="2"/>
  <c r="F137" i="2"/>
  <c r="F119" i="2"/>
  <c r="F65" i="2"/>
  <c r="F141" i="2"/>
  <c r="F189" i="2"/>
  <c r="F48" i="2"/>
  <c r="F110" i="2"/>
  <c r="F180" i="2"/>
  <c r="F186" i="2"/>
  <c r="F187" i="2"/>
  <c r="F87" i="2"/>
  <c r="F188" i="2"/>
  <c r="F172" i="2"/>
  <c r="F184" i="2"/>
  <c r="F166" i="2"/>
  <c r="F171" i="2"/>
  <c r="F47" i="2"/>
  <c r="F20" i="2"/>
  <c r="F178" i="2"/>
  <c r="F86" i="2"/>
  <c r="F173" i="2"/>
  <c r="F138" i="2"/>
  <c r="F179" i="2"/>
  <c r="F50" i="2"/>
  <c r="F154" i="2"/>
  <c r="F32" i="2"/>
  <c r="F21" i="2"/>
  <c r="F14" i="2" l="1"/>
  <c r="F38" i="2"/>
  <c r="F26" i="2"/>
  <c r="F149" i="2"/>
  <c r="F175" i="2"/>
  <c r="F174" i="2"/>
  <c r="F168" i="2"/>
  <c r="F177" i="2"/>
  <c r="F88" i="2"/>
  <c r="F122" i="2"/>
  <c r="F129" i="2"/>
  <c r="F167" i="2"/>
  <c r="F152" i="2"/>
  <c r="F75" i="2" l="1"/>
  <c r="F73" i="2"/>
  <c r="F163" i="2" l="1"/>
  <c r="F17" i="2"/>
  <c r="F125" i="2"/>
  <c r="F126" i="2"/>
  <c r="F153" i="2"/>
  <c r="F165" i="2"/>
  <c r="F162" i="2"/>
  <c r="F161" i="2"/>
  <c r="F164" i="2"/>
  <c r="F151" i="2"/>
  <c r="F160" i="2"/>
  <c r="F33" i="2"/>
  <c r="F159" i="2"/>
  <c r="F135" i="2"/>
  <c r="F134" i="2"/>
  <c r="F158" i="2"/>
  <c r="F81" i="2"/>
  <c r="F111" i="2"/>
  <c r="F155" i="2"/>
  <c r="F150" i="2"/>
  <c r="F25" i="2"/>
  <c r="F27" i="2"/>
  <c r="F98" i="2"/>
  <c r="F15" i="2" l="1"/>
  <c r="F144" i="2"/>
  <c r="F140" i="2"/>
  <c r="F131" i="2"/>
  <c r="F106" i="2"/>
  <c r="F82" i="2"/>
  <c r="F130" i="2" l="1"/>
  <c r="F117" i="2"/>
  <c r="F127" i="2"/>
  <c r="F72" i="2"/>
  <c r="F120" i="2"/>
  <c r="F58" i="2"/>
  <c r="F115" i="2"/>
  <c r="F59" i="2" l="1"/>
  <c r="F6" i="2" l="1"/>
  <c r="F31" i="2" l="1"/>
  <c r="F64" i="2"/>
  <c r="F51" i="2"/>
  <c r="F85" i="2" l="1"/>
  <c r="F18" i="2"/>
  <c r="F19" i="2"/>
  <c r="F78" i="2"/>
  <c r="F46" i="2"/>
  <c r="F68" i="2"/>
  <c r="F56" i="2"/>
  <c r="F30" i="2" l="1"/>
  <c r="F63" i="2"/>
  <c r="F69" i="2"/>
  <c r="F8" i="2"/>
  <c r="F71" i="2"/>
  <c r="F70" i="2"/>
  <c r="F55" i="2"/>
  <c r="F45" i="2"/>
  <c r="F67" i="2"/>
  <c r="F43" i="2"/>
  <c r="F66" i="2"/>
  <c r="F60" i="2"/>
  <c r="F5" i="2"/>
  <c r="F61" i="2"/>
  <c r="F37" i="2"/>
  <c r="F35" i="2"/>
  <c r="F44" i="2"/>
  <c r="F57" i="2"/>
  <c r="F29" i="2"/>
  <c r="F62" i="2"/>
  <c r="F36" i="2"/>
  <c r="F54" i="2"/>
  <c r="F23" i="2"/>
  <c r="F40" i="2"/>
  <c r="F39" i="2"/>
  <c r="F24" i="2"/>
  <c r="F41" i="2"/>
  <c r="F34" i="2" l="1"/>
  <c r="F28" i="2"/>
  <c r="F193" i="2" s="1"/>
</calcChain>
</file>

<file path=xl/sharedStrings.xml><?xml version="1.0" encoding="utf-8"?>
<sst xmlns="http://schemas.openxmlformats.org/spreadsheetml/2006/main" count="584" uniqueCount="497">
  <si>
    <t>Wykonawca</t>
  </si>
  <si>
    <t>usługa/zakup</t>
  </si>
  <si>
    <t>Data wniosku</t>
  </si>
  <si>
    <t>Lp.</t>
  </si>
  <si>
    <t>Wartość zamówienia</t>
  </si>
  <si>
    <t>-</t>
  </si>
  <si>
    <t>RAZEM</t>
  </si>
  <si>
    <t>Opłata</t>
  </si>
  <si>
    <t>Poczta Polska s.a.</t>
  </si>
  <si>
    <t>Opłata za odbiorniki radiofoniczne i telefoniczne CPPC za 2021 r.</t>
  </si>
  <si>
    <t>Strefa Xero - Druk i Reklama Sp. z o.o.</t>
  </si>
  <si>
    <t xml:space="preserve"> Rejestr zamówień finansowanych przez Centrum Projektów Polska Cyfrowa w 2022 roku </t>
  </si>
  <si>
    <t>DF-WBO/2021/134</t>
  </si>
  <si>
    <t xml:space="preserve">Nr zamówienia - wniosku </t>
  </si>
  <si>
    <t>D07-WB/2022/010</t>
  </si>
  <si>
    <t>Szkolenie online dla jednej osoby z Departamentu Systemowego z tworzenia raportów w systemie raportującym Oracle Business Intelligence Publisher 12c.</t>
  </si>
  <si>
    <t>Usługa polega na przygotowaniu, wyprodukowania i dostarczeniu 1105 bonów promocyjnych na potrzeby POPC.</t>
  </si>
  <si>
    <t>Comarch s.a.</t>
  </si>
  <si>
    <t>DF-WBO/2021/128</t>
  </si>
  <si>
    <t>Publikacja ogłoszeń rekrutacyjnych w internecie na potrzeby CPPC w latach 2021-2022</t>
  </si>
  <si>
    <t>Grupa Pracuj Sp. z o.o.</t>
  </si>
  <si>
    <t>D07-WB/2022/006</t>
  </si>
  <si>
    <t>D07-WB/2022/016</t>
  </si>
  <si>
    <t>D07-WB/2022/012</t>
  </si>
  <si>
    <t>D07-WB/2022/018</t>
  </si>
  <si>
    <t>D07-WB/2022/028</t>
  </si>
  <si>
    <t>D07-WB/2022/005</t>
  </si>
  <si>
    <t>D07-WB/2022/025</t>
  </si>
  <si>
    <t>D07-WB/2022/026</t>
  </si>
  <si>
    <t>Zakup artykułów spożywczych na potrzeby CPPC.</t>
  </si>
  <si>
    <t xml:space="preserve">Udział w szkoleniu „Kurs kancelaryjno-archiwalny pierwszego stopnia” 1 pracownika CPPC. </t>
  </si>
  <si>
    <t>Zakup usługi mailingowej na potrzeby realizacji zadań informacyjno- promocyjnych POPC 2014-2020, REACT-EU.</t>
  </si>
  <si>
    <t>Zakup prenumeraty w wersji papierowej i elektronicznej na potrzeby CPPC. Zakupy będą realizowane na bieżąco w ramach zapotrzebowania CPPC.</t>
  </si>
  <si>
    <t>Udział w szkoleniu "Przygotowanie i przeprowadzenie postępowania o udzielenie zamówienia publicznego oraz wypełnienie obowiązku sporządzenia sprawozdania rocznego z udzielonych zamówień” 1 pracownika CPPC.</t>
  </si>
  <si>
    <t xml:space="preserve"> Zakup środków ochrony osobistej.</t>
  </si>
  <si>
    <t>Zakup akcesoriów na wyposażenie biur i pomieszczeń socjalnych CPPC</t>
  </si>
  <si>
    <t>Tłumaczenie wniosku o dofinansowanie w ramach konkursu DIGITAL-2021-EDIH-01 organizowanego przez Komisję Europejską</t>
  </si>
  <si>
    <t>SUKCES Centrum Rozwoju Edyta Szczerkowska</t>
  </si>
  <si>
    <t>FRESHMAIL SP. Z O.O.</t>
  </si>
  <si>
    <t>PRESSCOM Sp. z o.o.</t>
  </si>
  <si>
    <t>Szkolenia Prawne Agnieszka Kuźdub</t>
  </si>
  <si>
    <t>EUROPEJSKIE BIURO TŁUMACZEŃ "PROXIMUSS" Marcin MARCZEWSKI</t>
  </si>
  <si>
    <t>D07-WB/2022/036</t>
  </si>
  <si>
    <t>DF-WBO/2021/160</t>
  </si>
  <si>
    <t>D07-WB/2022/009</t>
  </si>
  <si>
    <t>D07-WB/2022/034</t>
  </si>
  <si>
    <t>D07-WB/2022/035</t>
  </si>
  <si>
    <t>D07-WB/2022/008</t>
  </si>
  <si>
    <t>D07-WB/2022/037</t>
  </si>
  <si>
    <t>D07-WB/2022/057</t>
  </si>
  <si>
    <t>D07-WB/2022/033</t>
  </si>
  <si>
    <t>D07-WB/2022/031</t>
  </si>
  <si>
    <t>D07-WB/2022/032</t>
  </si>
  <si>
    <t>D07-WB/2022/020</t>
  </si>
  <si>
    <t>D07-WB/2022/004</t>
  </si>
  <si>
    <t>D07-WB/2022/058</t>
  </si>
  <si>
    <t>D07-WB/2022/060</t>
  </si>
  <si>
    <t>D07-WB/2022/063</t>
  </si>
  <si>
    <t>D07-WB/2022/041</t>
  </si>
  <si>
    <t>D07-WB/2022/030</t>
  </si>
  <si>
    <t>D07-WB/2022/027</t>
  </si>
  <si>
    <t>D07-WB/2022/048</t>
  </si>
  <si>
    <t>Oplata</t>
  </si>
  <si>
    <t>D07-WB/2022/068</t>
  </si>
  <si>
    <t>NBP</t>
  </si>
  <si>
    <t>D07-WB/2022/067</t>
  </si>
  <si>
    <t>D07-WB/2022/077</t>
  </si>
  <si>
    <t>D07-WB/2022/040</t>
  </si>
  <si>
    <t>D07-WB/2022/078</t>
  </si>
  <si>
    <t>Usługa przewozu taksówką</t>
  </si>
  <si>
    <t>D07-WB/2022/076</t>
  </si>
  <si>
    <t>D07-WB/2022/044</t>
  </si>
  <si>
    <t>D07-WB/2022/083</t>
  </si>
  <si>
    <t>D07-WB/2022/049</t>
  </si>
  <si>
    <t>D07-WB/2022/084</t>
  </si>
  <si>
    <t>Usługa udostępnienia domeny cppc.gov.pl i wwpe.gov.pl</t>
  </si>
  <si>
    <t>D07-WB/2022/051</t>
  </si>
  <si>
    <t>D07-WB/2022/081</t>
  </si>
  <si>
    <t>D07-WB/2022/072</t>
  </si>
  <si>
    <t>D07-WB/2022/021</t>
  </si>
  <si>
    <t>Udział w szkoleniu pn. „Metody i techniki zarządzania zespołem” 1 pracownika CPPC. Szkolenie odbędzie się online.</t>
  </si>
  <si>
    <t>Udział w szkoleniu otwartym online Altkom Akademia pt.: " Agile Project Management® Foundation – akredytowane szkolenie z egzaminem " 24 - 25 lutego 2022 r. dla 1 pracownika Departamentu Naboru Projektów.</t>
  </si>
  <si>
    <t>Szkolenie PRINCE2® 6th edition Foundation - kurs zdalny wieczorowy w terminie 14.02.2022-18.02.2022 r.</t>
  </si>
  <si>
    <t>Zakup subskrypcji w programie do wizualizacji danych na potrzeby POPC</t>
  </si>
  <si>
    <t>Zakup subskrypcji w programie do wizualizacji danych na potrzeby POPC (Canva)</t>
  </si>
  <si>
    <t>Zakup książek w wersji drukowanej na potrzeby CPPC</t>
  </si>
  <si>
    <t>Opracowanie analizy projektu, składającej się z modelu edukacyjnego oraz wdrożeniowego, do wniosku o dofinansowanie dotyczącego utworzenia pracowni kreatywnego wykorzystania nowoczesnych technologii.</t>
  </si>
  <si>
    <t>Szkolenie online pn. Zdalne zarządzanie zespołem rozproszonym – czyli jak zwiększyć efektywność w 5 krokach dla 2 osób z Departamentu Kontroli Projektów</t>
  </si>
  <si>
    <t xml:space="preserve"> Szkolenie online pn. Myślenie krytyczne - warsztaty. Praktyczne aspekty myślenia krytycznego w podejmowaniu decyzji i zarządzaniu zmianą dla 3 osób z Departamentu Kontroli Projektów </t>
  </si>
  <si>
    <t>Zakup 20 subskrypcji Microsoft Power BI PRO</t>
  </si>
  <si>
    <t xml:space="preserve"> Szkolenie online pn. Wynagrodzenia 2022 w kontekście Polskiego Ładu dla 10 pracowników Departamentu Kontroli Projektów.</t>
  </si>
  <si>
    <t>Szkolenie pn. Umiejętności interpersonalne w audycie i kontroli dla 8 pracowników WKP</t>
  </si>
  <si>
    <t>Szkolenie online pn.: „Nieprawidłowości w procedurach zamówień publicznych, jak ich uniknąć w 2022 roku – wnioski organów orzekających i kontroli” dla 1 pracownika CPPC.</t>
  </si>
  <si>
    <t>Udział w szkoleniu online dla 3 pracowników CPPC - B-RUC z tematu: Design Thinking w działaniach projektowych w terminie 17-18.02.2022 r</t>
  </si>
  <si>
    <t>Sprzęt komputerowy dla grafika.</t>
  </si>
  <si>
    <t>Szkolenie online dla 1 pracownika BIT z tematu „System monitorowania sieci, infrastruktury i aplikacji IT – ZABBIX® 6.0 LTS”.</t>
  </si>
  <si>
    <t>Szkolenie online dla 7 pracowników CPPC - B-RUC pn. „Profesjonalna Obsługa klienta i budowanie relacji”</t>
  </si>
  <si>
    <t xml:space="preserve">Szkolenie online z tematu „Techniki hackingu i cyberprzestępczości – poziom 1” dl a1 pracownika CPPC </t>
  </si>
  <si>
    <t xml:space="preserve"> Usługi drukarskie i poligraficzne na potrzeby POPC</t>
  </si>
  <si>
    <t>Wykonanie i dostawa pieczątek (automaty samotuszujące, gumki z tekstem), datowników zgodnie z ustalonymi parametrami</t>
  </si>
  <si>
    <t xml:space="preserve">Szkolenie online dla 3 pracowników WP (CPPC) z tematu: „Wybrane materialne (nieprawidłowości i nakładanie korekt finansowych) i proceduralne aspekty z zakresu wydawania decyzji zwrotowych odnoszących się do środków europejskich”. </t>
  </si>
  <si>
    <t xml:space="preserve">Szkolenie online pn. Microsoft Excel – Kurs Średnio Zaawansowany dla 2 osób z Departamentu Kontroli Projektów </t>
  </si>
  <si>
    <t xml:space="preserve">Szkolenie online pn. „Zamówienia publiczne finansowane z funduszy unijnych” – dla 3 pracowników WKZP. </t>
  </si>
  <si>
    <t>Akcesoria komputerowe i teleinformatyczne</t>
  </si>
  <si>
    <t xml:space="preserve">Udział w szkoleniu stacjonarnie dla 4 pracowników CPPC - B-RUC z tematu: „Księgowość Projektów Unijnych. 2-dniowe warsztaty praktyczne. Możliwość indywidualnych konsultacji.’’ </t>
  </si>
  <si>
    <t xml:space="preserve"> Szkolenie online pn.: „Jak przeprowadzić procedurę udzielenia zamówienia krok po kroku: 45 zagadnień, które należy poznać, żeby prawidłowo udzielać zamówień” dla 1 pracownika DP. </t>
  </si>
  <si>
    <t>Zakup 300 sztuk biletów ZTM</t>
  </si>
  <si>
    <t>Obsługa techniczna samochodu służbowego Skoda Rapid WY2031H</t>
  </si>
  <si>
    <t>Szkolenie online pn. „Szkolenie Google Ads i Google Ads PRO” dla 1 pracownika DS.</t>
  </si>
  <si>
    <t>Szkolenie online pn. „Bezpieczeństwo informacji i ochrona danych Osobowych w administracji. Praca zdalna, Cyberbezpieczeństwo, zagadnienia praktyczne” dla 2 pracowników DZC</t>
  </si>
  <si>
    <t>Refundacja studiów - “Kurs 2022 – art.25/66 Wrześniowy”</t>
  </si>
  <si>
    <t xml:space="preserve">Szkolenie stacjonarne lub online (Forma szkolenia w zależności od łącznej liczby uczestników) pn. „Zamówienia publiczne a naruszenie dyscypliny finansów publicznych” – dla 1 pracownika WKZP i 3 pracowników z APT </t>
  </si>
  <si>
    <t xml:space="preserve">Szkolenie online pn. „Zamówienia publiczne dla początkujących” – dla 1 pracownika WKZP i 3 pracowników z APT </t>
  </si>
  <si>
    <t xml:space="preserve">Altkom Akademia S.A.
</t>
  </si>
  <si>
    <t>Ernst &amp; Young Sp.z o. o. Academy of Business sp.k.</t>
  </si>
  <si>
    <t>Archibald Sp. z o.o.; CAMBRIDGE SCHOOL OF ENGLISH SP. Z O.O.</t>
  </si>
  <si>
    <t>INPROGRESS Sp. z o.o.</t>
  </si>
  <si>
    <t>Cortland Sp. z o.o.</t>
  </si>
  <si>
    <t>Canva Pty Ltd</t>
  </si>
  <si>
    <t>Stowarzyszenie Robisz.to, Oktawia Gorzeńska</t>
  </si>
  <si>
    <t>Krajowa Szkoła Administracji Publicznej im.Prezedenta Rzeczypospolitej Lecha Kaczyńskiego</t>
  </si>
  <si>
    <t>J.G.Training Jadwiga Gwóźdź</t>
  </si>
  <si>
    <t xml:space="preserve">P&amp;P SOLUTIONS Sp. z o.o. </t>
  </si>
  <si>
    <t>INFOR PL S.A.</t>
  </si>
  <si>
    <t>Polski Instytut Kontroli Wewnętrznej Sp. z o.o.</t>
  </si>
  <si>
    <t>Centrum Doradztwa i Kształcenia Nowe Przetargi Wojciech Błaszczak</t>
  </si>
  <si>
    <t>Progress Project Sp. z o.o</t>
  </si>
  <si>
    <t xml:space="preserve">STATIM PIOTR WYPIJEWSKI </t>
  </si>
  <si>
    <t>Prof Consulting Grzegorz Grabowski</t>
  </si>
  <si>
    <t xml:space="preserve">HIGH5 Group Sp. z. o.o. </t>
  </si>
  <si>
    <t>DAGMA Sp.z o.o.</t>
  </si>
  <si>
    <t>Bazarnik Sp.z o.o.</t>
  </si>
  <si>
    <t>Comarch S.A.</t>
  </si>
  <si>
    <t>ACC Training &amp; Consulting Group Płużańska Marzena Anna</t>
  </si>
  <si>
    <t>Centrum Organizacji Szkoleń i Konferencji SEMPER Magdalena Wolniewicz-Kesaria</t>
  </si>
  <si>
    <t>ApexNet Sp. z o.o. S.k.</t>
  </si>
  <si>
    <t>Miasto Stołeczne Warszwa</t>
  </si>
  <si>
    <t xml:space="preserve"> sprawny.marketing sp. z o.o</t>
  </si>
  <si>
    <t>FUNDACJA ROZWOJU DEMOKRACJI LOKALNEJ</t>
  </si>
  <si>
    <t xml:space="preserve"> 
  AGATA REWERSKA AD EXEMPLUM
 </t>
  </si>
  <si>
    <t>D07-WB/2022/070</t>
  </si>
  <si>
    <t>Międzynarodowy Instytut Szkoleń Specjalistycznych</t>
  </si>
  <si>
    <t>Udział w szkoleniu online dla 4 pracowników CPPC - B-RUC z tematu: „Zamówienia publiczne w projektach unijnych – jak prawidłowo przeprowadzić procedurę. Warsztaty praktyczne z uwzględnieniem Nowej Ustawy PZP’’</t>
  </si>
  <si>
    <t>Naukowa i Akademicka Sieć Komputerowa</t>
  </si>
  <si>
    <t>Opłata za czytnik karty</t>
  </si>
  <si>
    <t>Centrum Obsługi Administracji Rządowej</t>
  </si>
  <si>
    <t xml:space="preserve">Wynagrodzenie za usługę przeprowadzenia postepowania, które skutkowało zwiększeniem środków na umowie centralnej. </t>
  </si>
  <si>
    <t>D07-WB/2022/059</t>
  </si>
  <si>
    <t>D07-WB/2022/080</t>
  </si>
  <si>
    <t>D07-WB/2022/045</t>
  </si>
  <si>
    <t>D07-WB/2022/085</t>
  </si>
  <si>
    <t>D07-WB/2022/107</t>
  </si>
  <si>
    <t>DF-WBO/2021/033</t>
  </si>
  <si>
    <t>D07-WB/2022/093</t>
  </si>
  <si>
    <t>D07-WB/2022/003</t>
  </si>
  <si>
    <t>D07-WB/2022/002</t>
  </si>
  <si>
    <t>D07-WB/2022/102</t>
  </si>
  <si>
    <t>D07-WB/2022/074</t>
  </si>
  <si>
    <t>Świadczenia usług eksperckich w ramach oceny projektów dla naborów w ramach II osi POPC .</t>
  </si>
  <si>
    <t>Anna Czekalska</t>
  </si>
  <si>
    <t>Udział w szkoleniu pn. „Zarządzanie zadaniami w czasie” 1 pracownika CPPC. Szkolenie odbędzie się online, w terminie 27-28 stycznia 2022r.</t>
  </si>
  <si>
    <t>Udział w szkoleniu pn. „First Time Manager – pierwsze kroki w roli menedżera” dla 1 pracownika z Wydziału Komunikacji. Szkolenie odbędzie się online 3-4.03.2022r.</t>
  </si>
  <si>
    <t xml:space="preserve">Szkolenie online z tematu „ESET CLIENT &amp; NETWORK SECURITY ADMINISTRATOR”. </t>
  </si>
  <si>
    <t xml:space="preserve">Szkolenie online pn. Microsoft Excel – Kurs Zaawansowany dla 2 osób z Departamentu Kontroli Projektów </t>
  </si>
  <si>
    <t>Udział w szkoleniu online dla 4 pracowników CPPC - DNP z tematu: „KRYTYCZNE MYŚLENIE - kluczowa kompetencja lidera XXI wieku” w terminie 28-29.03.2022 r.</t>
  </si>
  <si>
    <t>Przeprowadzenia szkolenia z zakresu pomocy publicznej i pomocy de minimis dla pracowników DNP</t>
  </si>
  <si>
    <t>Udział w szkoleniu dotyczącym bieżących problemów z zakresu rachunkowości budżetowej i gospodarowania majątkiem jsfp oraz zmiany w sprawozdawczości dla 6 pracowników CPPC w terminie 16-18.05.2022r.</t>
  </si>
  <si>
    <t>Udział w szkoleniu dla 4 pracowników CPPC z tematu: „Budowa wizerunku menadżera” w terminie 21-22.04.2022 r.</t>
  </si>
  <si>
    <t>Szkolenie online pn. "Power BI (Business Intelligence)" – dla 3 pracowników DKP w terminie 5-6 maja 2022 r.</t>
  </si>
  <si>
    <t xml:space="preserve">Ernst &amp; Young Sp.z o. o. Academy of Business sp.k.
</t>
  </si>
  <si>
    <t>Akademia Leona Koźmińskiego</t>
  </si>
  <si>
    <t>Artur Bartoszewicz</t>
  </si>
  <si>
    <t>COGNITY SPÓŁKA Z OGRANICZONA ODPOWIEDZIALNOŚCIĄ</t>
  </si>
  <si>
    <t>Agnieszka Kostrzewa-Nowak</t>
  </si>
  <si>
    <t>Zakup etui do telefonów komórkowych</t>
  </si>
  <si>
    <t xml:space="preserve"> Zakup przewodu do ładowania telefonów komórkowych.</t>
  </si>
  <si>
    <t>CosmoTel Krzysztof Nowicki</t>
  </si>
  <si>
    <t>JG GRUPA Jakub Groszek</t>
  </si>
  <si>
    <t>D07-WB/2022/124</t>
  </si>
  <si>
    <t>D07-WB/2022/100</t>
  </si>
  <si>
    <t>D07-WB/2022/052</t>
  </si>
  <si>
    <t>D07-WB/2022/126</t>
  </si>
  <si>
    <t>D07-WB/2022/095</t>
  </si>
  <si>
    <t>D07-WB/2022/118</t>
  </si>
  <si>
    <t>D07-WB/2022/119</t>
  </si>
  <si>
    <t>D07-WB/2022/120</t>
  </si>
  <si>
    <t>D07-WB/2022/111</t>
  </si>
  <si>
    <t>D07-WB/2022/096</t>
  </si>
  <si>
    <t>D07-WB/2022/116</t>
  </si>
  <si>
    <t>D07-WB/2022/139</t>
  </si>
  <si>
    <t>D07-WB/2022/101</t>
  </si>
  <si>
    <t>D07-WB/2022/114</t>
  </si>
  <si>
    <t>D07-WB/2022/115</t>
  </si>
  <si>
    <t>D07-WB/2022/123</t>
  </si>
  <si>
    <t>ENJOY - Piotr Wilga; P.H.U. SHOWERWIS Aleksandra Klos-Bargieł</t>
  </si>
  <si>
    <t>ADN Akademia sp. z o.o. sp.k.</t>
  </si>
  <si>
    <t>Szkolenie online Microsoft Excel poziom średniozaawansowany – wykorzystanie arkusza kalkulacyjnego w biznesie. Termin 11-12.04.2022r.</t>
  </si>
  <si>
    <t>FUNDACJA ROZWOJU DEMOKRACJI LOKALNEJ im. Jerzego Regulskiego</t>
  </si>
  <si>
    <t>Szkolenie online pn. „Zasady postępowania kontrolnego, dowody oraz kwalifikacje kontrolera jako istotne elementy wpływające na jakość postępowań kontrolnych” dla 1 pracownika CPPC.</t>
  </si>
  <si>
    <t>Szkolenie online pn. „Kontrola i audyt projektów współfinansowanych z UE” dla 2 pracownika CPPC w dniach 30-31.05.2022 r.</t>
  </si>
  <si>
    <t>Certes Sp. Z o.o.</t>
  </si>
  <si>
    <t>Udział w szkoleniu dla 10 pracowników CPPC z tematu: „Transformacja cyfrowa” w terminie 05-06.05.2022r.</t>
  </si>
  <si>
    <t>Udział w szkoleniu dla 9 pracowników CPPC z tematu: „Mindfulness at work – trening uważności” w terminie 26-27.05.2022 r.</t>
  </si>
  <si>
    <t>Szkolenie online w dniu 02.06.2022 r. pn. „Kontrola zarządcza w jst w 2022 roku” dla dwóch pracowników CPPC.</t>
  </si>
  <si>
    <t xml:space="preserve">FUNDACJA ROZWOJU DEMOKRACJI LOKALNEJ im. Jerzego Regulskiego
</t>
  </si>
  <si>
    <t>Szkolenie online pn. „Specjalista ds. funduszy UE – nowy okres programowania 2021-2027” dla 1 pracownika CPPC</t>
  </si>
  <si>
    <t>Szkolenie online pn. „Pomoc publiczna. Modernizacja zasad udzielania pomocy publicznej w perspektywie 2021-2027” dla 1 pracownika CPPC.</t>
  </si>
  <si>
    <t>Udział w szkoleniu dla 2 pracowników CPPC z tematu: „Mówca doskonały. Sztuka wystąpień publicznych–warsztaty” w terminie 24-25.05.2022 r.</t>
  </si>
  <si>
    <t xml:space="preserve"> EURO-TRAINING Centrum Szkoleniowo-Doradcze Honorata Filipiak</t>
  </si>
  <si>
    <t>Udział w szkoleniu: „Nowa perspektywa finansowa 2021-2027 - kompendium wiedzy do wykorzystania w 2022 r.” dla 24 pracowników CPPC, online w terminie 24-25.05.2022</t>
  </si>
  <si>
    <t>Udział w szkoleniu dla 8 pracowników CPPC z tematu: „Prawidłowe zamykanie projektów współfinansowanych ze środków unijnych w praktyce” w terminie 30-31.05.2022r.</t>
  </si>
  <si>
    <t>Szkolenie online pn. „Ochrona informacji niejawnych w instytucji. Przetwarzanie informacji niejawnych, bezpieczeństwo teleinformatyczne. Niezbędne procedury i praktyka” dla 2 pracowników CPPC, termin 30.05.,01-02.06.2022r.</t>
  </si>
  <si>
    <t>WYJŚCIE AWARYJNE SP. Z O.O.</t>
  </si>
  <si>
    <t>Wniosek o wyjście szkoleniowe do przestrzeni escape room z działaniem szkoleniowym w zakresie kompetencji miękkich pracowników Departamentu Strategii.</t>
  </si>
  <si>
    <t>RealtimeBoard Inc. dba Miro</t>
  </si>
  <si>
    <t>Postępowanie na zakup narzędzia do współpracy online z tablicami, które umożliwia zespołom rozproszonym efektywną współpracę.</t>
  </si>
  <si>
    <t>Akademia Finansów i Rachunkowości Halina Piwowarczyk</t>
  </si>
  <si>
    <t>Szkolenie online pn. „Należności w jednostkach budżetowych -praktyczne aspekty realizacji, ewidencji i windykacji” dla 3 pracowników CPPC</t>
  </si>
  <si>
    <t>Szkolenie „Zamówienia publiczne dla początkujących według nowej ustawy” – 1 pracownik CPPC.</t>
  </si>
  <si>
    <t xml:space="preserve">Sawa Taxi, Taxi Osobowe Leszek Maiczak, Taxi Osobowe Leszek Malczak, Taxi Osobowe Jerzy Wojcieski </t>
  </si>
  <si>
    <t>D07-WB/2022/127</t>
  </si>
  <si>
    <t>D07-WB/2022/138</t>
  </si>
  <si>
    <t>D07-WB/2022/065</t>
  </si>
  <si>
    <t>D07-WB/2022/145</t>
  </si>
  <si>
    <t>D07-WB/2022/086</t>
  </si>
  <si>
    <t>D07-WB/2022/091</t>
  </si>
  <si>
    <t>D07-WB/2022/133</t>
  </si>
  <si>
    <t>D07-WB/2022/146</t>
  </si>
  <si>
    <t>D07-WB/2022/135</t>
  </si>
  <si>
    <t>D07-WB/2022/148</t>
  </si>
  <si>
    <t>D07-WB/2022/117</t>
  </si>
  <si>
    <t>D07-WB/2022/131</t>
  </si>
  <si>
    <t>D07-WB/2022/110</t>
  </si>
  <si>
    <t>D07-WB/2022/092</t>
  </si>
  <si>
    <t>D07-WB/2022/143</t>
  </si>
  <si>
    <t>D07-WB/2022/050</t>
  </si>
  <si>
    <t>D07-WB/2022/088</t>
  </si>
  <si>
    <t>Refundacja kursu języka angielskiego</t>
  </si>
  <si>
    <t>Szkolenie online pn. „Zasady etykiety dla pracowników biznesu i administracji” dla 1 pracownika CPPC. Termin 16.03.2022.</t>
  </si>
  <si>
    <t>Świadczenie usług transportowych tj. przewóz pracowników CPPC na terenie Warszawy</t>
  </si>
  <si>
    <t>Postępowanie na zakup narzędzia do zarządzania publikacjami – na potrzeby działań informacyjno-edukacyjnych dotyczących Programu Operacyjnego Polska Cyfrowa, REACT-EU</t>
  </si>
  <si>
    <t>Udział w szkoleniu stacjonarnym DAX – tworzenie zaawansowanych formuł dla Power BI, SQL Server Analysis Services oraz dla Power Pivot w MS Excel w dniach 20-21.06.2022</t>
  </si>
  <si>
    <t>Udział w szkoleniu stacjonarnym „Podstawy programowania w języku Python - Szkolenie dla programistów” w dniach 6-9.06.2022r.</t>
  </si>
  <si>
    <t>Szkolenie online pn. „AZ 104T00 Administrator Microsoft Azure” dla 1 pracownika CPPC</t>
  </si>
  <si>
    <t>Przeprowadzenie szkolenia z wybranych tematów dot. Design Thinking dla pracowników CPPC.</t>
  </si>
  <si>
    <t>"IWO ZMYŚLONY umiemy"</t>
  </si>
  <si>
    <t>Szkolenie online: Rozliczanie Projektów Unijnych oraz kwalifikowalność wydatków w Perspektywie Finansowej 2014-2020 dla jednego pracownika CPPC w terminie 04-05.07.2022r.</t>
  </si>
  <si>
    <t>POLSKIE RADIO S.A. Biuro Zarządu</t>
  </si>
  <si>
    <t>Szkolenie stacjonarne w Warszawie „Sztuka wystąpień publicznych” (2-dniowe warsztaty) dla Naczelnika Biura Projektów Sektora TCB - Telekomunikacji i Cyberbezp.</t>
  </si>
  <si>
    <t xml:space="preserve"> EURO-TRAINING Centrum Szkoleniowo-Doradcze Patrycja Mencfel</t>
  </si>
  <si>
    <t>Udział w szkoleniu dla 6 pracowników CPPC z tematu: „Zachowanie trwałości projektu unijnego – obowiązki Beneficjenta w tym zakresie i kontrola wypełnienia tych obowiązków” w terminie 22-23.06.2022 r.</t>
  </si>
  <si>
    <t>Udział w szkoleniu 16 pracowników CPPC z tematu: „Przyjazny język urzędowy – warsztaty poprawnego redagowania” w terminie 13.06.2022r.</t>
  </si>
  <si>
    <t>Polska Platforma Szkoleniowa Sp. z o.o.</t>
  </si>
  <si>
    <t>MSERWIS Sp.z o.o. sp. k.</t>
  </si>
  <si>
    <t>Zakup certyfikatu SSL typu OV Wildcard dla Centrum Projektów Polska Cyfrowa</t>
  </si>
  <si>
    <t>Szkolenie online w dniu 08.07.2022 r. pn. „Kontrola zarządcza w jst w 2022 roku – w praktyce” dla jednego pracownika CPPC.</t>
  </si>
  <si>
    <t>Aleksandra Hankowska-Nwobi</t>
  </si>
  <si>
    <t>Refundację nauki języka angielskiego</t>
  </si>
  <si>
    <t>Akademia Cedoz Sp. z o.o.</t>
  </si>
  <si>
    <t>Refundacja kosztów kursu pn. Zintegrowany kurs specjalistów ds. kadr i płac (od podstaw do specjalisty), organizowanego przez CEDOZ Akademia Prawa Pracy i Rachunkowości w Warszawie</t>
  </si>
  <si>
    <t>Bogumiła Rzeszotek</t>
  </si>
  <si>
    <t>Szkolenie stacjonarne w Warszawie „Mediacje społeczne a konflikty trudno rozwiązywalne” (1-dniowe warsztaty) dla 8 pracowników CPPC.</t>
  </si>
  <si>
    <t>Centrum Doskonalenia Językowego Dominika Dymerska</t>
  </si>
  <si>
    <t>FeedHive</t>
  </si>
  <si>
    <t>D07-WB/2022/147</t>
  </si>
  <si>
    <t>D07-WB/2022/149</t>
  </si>
  <si>
    <t>D07-WB/2022/155</t>
  </si>
  <si>
    <t>D07-WB/2022/163</t>
  </si>
  <si>
    <t>D07-WB/2022/160</t>
  </si>
  <si>
    <t>D07-WB/2022/169</t>
  </si>
  <si>
    <t>NTT Technology Sp. z o.o.; MORELE.NET Sp. z o.o.; X-KOM Sp. z o.o.; DrTusz Sp. z o.o.</t>
  </si>
  <si>
    <t>Szkolenie online pn. „Zmiana ustawy o finansach publicznych w zakresie kontroli zarządczej i audytu wewnętrznego” dla 1 pracownika DZC. Termin 15.07.2022r.</t>
  </si>
  <si>
    <t>Barbara Le Nart English Tutoring</t>
  </si>
  <si>
    <t>Udział w dwudniowym szkoleniu zamkniętym dedykowanym dla pracowników B-RKC z tematu: „Organizacja pracy- zarządzanie sobą w czasie” w terminie 18-19.07.2022r.</t>
  </si>
  <si>
    <t>Szkolenie online: „Odpisy aktualizujące w jednostkach budżetowych – metody, ewidencja księgowa, prezentacja, rozwiązanie” dla 2 pracowników DKSF-K.</t>
  </si>
  <si>
    <t>Rozrywka Julian Atkaczunas</t>
  </si>
  <si>
    <t>Udział pracownika Departamentu Prawnego w szkoleniu pn. „Komisja antymobbingowa w jednostkach sektora finansów publicznych - powoływanie, zasady pracy, regulaminy, ochrona sygnalistów i rozstrzygnięcia”.</t>
  </si>
  <si>
    <t>Szkolenie z kompetencji miękkich.</t>
  </si>
  <si>
    <t>D07-WB/2022/151</t>
  </si>
  <si>
    <t>D07-WB/2022/098</t>
  </si>
  <si>
    <t>D07-WB/2022/136</t>
  </si>
  <si>
    <t>D07-WB/2022/170</t>
  </si>
  <si>
    <t>D07-WB/2022/186</t>
  </si>
  <si>
    <t>D07-WB/2022/089</t>
  </si>
  <si>
    <t>D07-WB/2022/184</t>
  </si>
  <si>
    <t>D07-WB/2022/140</t>
  </si>
  <si>
    <t>D07-WB/2022/165</t>
  </si>
  <si>
    <t>D07-WB/2022/156</t>
  </si>
  <si>
    <t>D07-WB/2022/158</t>
  </si>
  <si>
    <t>D07-WB/2022/137</t>
  </si>
  <si>
    <t>D07-WB/2022/159</t>
  </si>
  <si>
    <t>D07-WB/2022/188</t>
  </si>
  <si>
    <t>D07-WB/2022/157</t>
  </si>
  <si>
    <t>D07-WB/2022/189</t>
  </si>
  <si>
    <t>D07-WB/2022/195</t>
  </si>
  <si>
    <t>D07-WB/2022/172</t>
  </si>
  <si>
    <t>D07-WB/2022/183</t>
  </si>
  <si>
    <t>Lidl Sp. z o.o. sp.k., Carrefour Polska Sp. z o.o., Wanda-Wypieki z Otwocka; Transgourmet Polska Sp.z o.o.; Media Markt Polska BIS Sp. z o.o. Warszawa VI Sp. Komandytowa; Jeronimo Martins Polska S.A.</t>
  </si>
  <si>
    <t>WEIMPACT SPÓŁKA Z OGRANICZONĄ ODPOWIEDZIALNOŚCIĄ</t>
  </si>
  <si>
    <t>Szkolenie stacjonarne w Warszawie „Rozliczanie wynagrodzeń i podróży służbowych w projektach unijnych. 2-dniowe warsztaty praktyczne” organizowane dla 2 pracowników Biura Projektów Sektora TCB - Telekomunikacji i Cyberbezpieczeństwa Departamentu Koordynacji Realizacji Projektów. Termin 16-17.05.2022r.</t>
  </si>
  <si>
    <t>Usługa transkrypcji filmów zgodna z zasadami dostępności WCAG 2.1</t>
  </si>
  <si>
    <t>Szkolenie online „Rozliczanie wynagrodzeń i podróży służbowych w projektach unijnych. 2-dniowe warsztaty praktyczne” organizowane dla 3 pracowników Biura Projektów Sektora TCB - Telekomunikacji i Cyberbezp. Termin 25-26.08.2022r.</t>
  </si>
  <si>
    <t>Szkolenie stacjonarne pn. „Od wartości do skuteczności – lider w komunikacji wewnętrznej i zewnętrznej” dla 1 pracownika DS. Termin 05-07.09.2022r.</t>
  </si>
  <si>
    <t>Active-Learning Aneta Przybysz</t>
  </si>
  <si>
    <t>Dariusz Koba Consulting Group</t>
  </si>
  <si>
    <t>Szkolenie stacjonarne pn.: „Strategie zakupowe w zamówieniach publicznych” dla 1 pracownika DP.</t>
  </si>
  <si>
    <t>Szkolenie dla 1 pracownika CPPC (DNP) z tematu "PRINCE2 6th edition Foundation - akredytowane szkolenie z egzaminem"</t>
  </si>
  <si>
    <t>Altkom Akademia S.A.</t>
  </si>
  <si>
    <t>Publikacja ogłoszeń rekrutacyjnych w internecie na potrzeby CPPC w latach 2022-2023.</t>
  </si>
  <si>
    <t>Grupa Pracuj S.A.</t>
  </si>
  <si>
    <t>Uniwersytet Kardynała Stefana Wyszyńskiego w Warszawie</t>
  </si>
  <si>
    <t>Refundacja studiów na kierunku Prawo na Uniwersytecie Kardynała Stefana Wyszyńskiego w Warszawie.</t>
  </si>
  <si>
    <t>Adaptacja i przystosowanie pomieszczenie 1.11 do stworzenia kancelarii, w której przechowywane będą dokumenty niejawne o klauzurze poufne. Zakup niezbędnego wyposażenia oraz akcesoriów, w tym m.in. drzwi antywłamaniowych oraz folii okiennej.</t>
  </si>
  <si>
    <t xml:space="preserve">Szkolenie „Mówca doskonały. Sztuka wystąpień publicznych” w terminie 30-31.08.2022 r. </t>
  </si>
  <si>
    <t>Udział w szkoleniu „Przekazywanie akt w systemie Archiwum Dokumentacji Elektronicznej 2021” pracownika CPPC.</t>
  </si>
  <si>
    <t>IBEX INTERNATIONAL EWA WOJDYŁO, WIESŁAW KAPITAN Sp.j.</t>
  </si>
  <si>
    <t>Zakup teczek na akta osobowe</t>
  </si>
  <si>
    <t>Udział 4 pracowników Departamentu Prawnego w szkoleniu on-line pn. „Prawo zamówień publicznych dla radców prawnych i adwokatów - w praktyce, orzecznictwie KIO i opiniach UZP”.</t>
  </si>
  <si>
    <t>Compendium - Centrum Edukacyjne Spółka z o.o.</t>
  </si>
  <si>
    <t>Udział 2 pracowników CPPC w szkoleniu on-line pn. „System teleinformatyczny KRZ – szkolenie praktyczne”.</t>
  </si>
  <si>
    <t>RealtimeBoard Inc.</t>
  </si>
  <si>
    <t>Zakup narzędzia do współpracy online z tablicami, które umożliwia zespołom rozproszonym efektywną współpracę.</t>
  </si>
  <si>
    <t>Kancelaria Adwokacka Adwokat Paulina Wołoszyn</t>
  </si>
  <si>
    <t>Zlecenie zastępstwa procesowego – posiedzenie wstępne SO Tarnobrzeg.</t>
  </si>
  <si>
    <t>Szkolenie online pn. KONTROLA ZAMÓWIEŃ PUBLICZNYCH Z UWZGLĘDNIENIEM ANALIZY PORÓWNAWCZEJ PZP</t>
  </si>
  <si>
    <t>ACC Training &amp; Consulting Group</t>
  </si>
  <si>
    <t>D07-WB/2022/122</t>
  </si>
  <si>
    <t>D07-WB/2022/161</t>
  </si>
  <si>
    <t>D07-WB/2022/210</t>
  </si>
  <si>
    <t>D07-WB/2022/197</t>
  </si>
  <si>
    <t>D07-WB/2022/198</t>
  </si>
  <si>
    <t>D07-WB/2022/203</t>
  </si>
  <si>
    <t>D07-WB/2022/141</t>
  </si>
  <si>
    <t>D07-WB/2022/208</t>
  </si>
  <si>
    <t>D07-WB/2022/192</t>
  </si>
  <si>
    <t>D07-WB/2022/097</t>
  </si>
  <si>
    <t>D07-WB/2022/213</t>
  </si>
  <si>
    <t>D07-WB/2022/173</t>
  </si>
  <si>
    <t>D07-WB/2022/202</t>
  </si>
  <si>
    <t>D07-WB/2022/177</t>
  </si>
  <si>
    <t>D07-WB/2022/212</t>
  </si>
  <si>
    <t>D07-WB/2022/217</t>
  </si>
  <si>
    <t>D07-WB/2022/219</t>
  </si>
  <si>
    <t>D07-WB/2022/215</t>
  </si>
  <si>
    <t>D07-WB/2022/216</t>
  </si>
  <si>
    <t>D07-WB/2022/221</t>
  </si>
  <si>
    <t>D07-WB/2022/201</t>
  </si>
  <si>
    <t>Postój w Strefie Płatnego Parkowania Niestrzeżonego w Warszawie pojazdu służbowego</t>
  </si>
  <si>
    <t>PRESSCOM Sp. z o.o.; Wydawnictwo C.H.Beck Sp. z o.o.., Wolters Kluwer Polska Sp. z o.o.</t>
  </si>
  <si>
    <t>TRANSMAR Gabriel Żelazowski; TAKSÓWKA OSOBOWA Mirosław Hejduk; Tanie Taxi Sp. z o.o., D&amp;W T.S.U. Daniel Wrzesień, Małgorzata Fila, Abc-trans Waldemar Zwoliński, Taxi Osobowe Kazimierz Nowacki, ANGELS GROUP SP.Z O.O., mytaxi Polska Sp. z o.</t>
  </si>
  <si>
    <t>Systeo Spółka Z Ograniczoną Odpowiedzialnością</t>
  </si>
  <si>
    <t>Rozbudowa eksploatowanej przez CPPC aplikacji Rezerwacji biurek o dodatkowe moduły tzn.: “Rezerwacje sal konferencyjnych” oraz “Rejestrowanie zgłoszeń HelpDesk”.</t>
  </si>
  <si>
    <t>Szkolenie online pn. „Pracownik i zespół w kryzysie – biznesowe rozmowy z zakresu interwencji kryzysowej” dla 1 pracownika DS.</t>
  </si>
  <si>
    <t>Szkolenie jednodniowe z zakresu bezpieczeństwa teleinformatycznego, dla administratorów systemów oraz inspektorów bezpieczeństwa teleinformatycznego. W szkoleniu weźmie udział 4 pracowników IT</t>
  </si>
  <si>
    <t>Agencja Bezpieczeństwa Wewnętrznego</t>
  </si>
  <si>
    <t>Szkolenie: „Specjalista do spraw finansów publicznych (3 dni)” dla 2 pracowników DKSF-K</t>
  </si>
  <si>
    <t xml:space="preserve">Udział w szkoleniu „Kurs kancelaryjno-archiwalny drugiego stopnia” pracownika CPPC. </t>
  </si>
  <si>
    <t>ALTIUS ANDRZEJ ZDANOWSKI</t>
  </si>
  <si>
    <t>Udział w dwudniowym szkoleniu zamkniętym dedykowanym dla pracowników DKRP z tematu: „Efektywna współpraca i komunikacja – motywacja, współpraca, różnorodność, zrozumienie i wspólny cel”.</t>
  </si>
  <si>
    <t>Usługa kompleksowa polegająca na przygotowaniu i produkcji radiowego spotu informacyjno-promocyjnego dotyczącego projektu „Cyfrowe Koła Gospodyń Wiejskich” realizowanego w ramach działania 3.2 „Innowacyjne rozwiązania na rzecz aktywizacji cyfrowej” Programu Operacyjnego Polska Cyfrowa oraz zapewnieniu jego emisji we wskazanych rozgłośniach radiowych, a także publikacji w prasie lokalnej artykułu sponsorowanego.</t>
  </si>
  <si>
    <t>Udział 12 pracowników Wydział Prawnego w szkoleniu stacjonarnym pn. „Wydawanie Decyzji administracyjnych przy wykorzystaniu środków europejskich w ujęciu materialnoprawnym i proceduralnym” - najnowsze orzecznictwo ” – w terminie 22.09.2022r.</t>
  </si>
  <si>
    <t>Udział 10 pracowników Wydział Prawnego w szkoleniu online pn. „Doręczenia elektroniczne po 5 października 2021 roku w postępowaniach administracyjnych i egzekucyjnych” – w terminie 29.09.2022r.</t>
  </si>
  <si>
    <t>Manhattan Academy Sp. z o.o.</t>
  </si>
  <si>
    <t>EURO-TRAINING Centrum Szkoleniowo-Doradcze Patrycja Mencfel</t>
  </si>
  <si>
    <t>Refundacja kursu języka angielskiego pracownika CPPC</t>
  </si>
  <si>
    <t>Udział w pakiecie szkoleniowym „Akademia Menedżera II” w terminie 19-21 grudnia 2022 oraz „Menedżer – sprawne zarządzanie organizacją” w terminie 13-16 grudnia 2022 dla 1 pracownika z Wydziału Komunikacji</t>
  </si>
  <si>
    <t>Udział w jednodniowym szkoleniu online 3 pracowników CPPC (DP) z zakresu występowania pomocy publicznej w przypadku ulg w spłacie zobowiązań publicznych w dniu 21 września 2022 r.</t>
  </si>
  <si>
    <t>Refundacja kosztu szkolenia „Rozliczanie wydatków w projektach unijnych metodami uproszczonymi – stawki jednostkowe, stawki ryczałtowe, kwoty ryczałtowe” dla pracownika CPPC</t>
  </si>
  <si>
    <t>CodeTwo Sp. z o.o. Sp.k.</t>
  </si>
  <si>
    <t>ApexNet Sp. z o.o. S.k. PRYZMAT sp.z o.o. sp.k.</t>
  </si>
  <si>
    <t>El Puerto - Szkoła języka hiszpańskiego Michał Bigoszewski</t>
  </si>
  <si>
    <t>Zakup dodatkowych 50 sztuk licencji CodeTwo Exchange Rules Pro</t>
  </si>
  <si>
    <t>Refundacja kosztu szkolenia „Rozliczanie wydatków w projektach unijnych metodami uproszczonymi – stawki jednostkowe, stawki ryczałtowe, kwoty ryczałtowe” w terminie 29-30.09.2022 dla pracownika CPPC</t>
  </si>
  <si>
    <t>Refundacja studiów podyplomowych pn. „Zarządzenie Cyberbezpieczeństwem” pracownika CPPC</t>
  </si>
  <si>
    <t>Szkolenie online pn.: „Odporność psychiczna – jak dbać o siebie w trudnej sytuacji” dla 1 pracownika DS w dn. 07.10.2022r.</t>
  </si>
  <si>
    <t>Szkolenie online pn.: „NEWRALGICZNE ELEMENTY UMÓW I SWZ W ORZECZNICTWIE” dla 1 pracownika DS w dn. 11-12.10.2022r.</t>
  </si>
  <si>
    <t>Zakup materiałów eksploatacyjnych – tuszów, tonerów oraz bębnów do drukarek</t>
  </si>
  <si>
    <t>Refundacja kursu języka hiszpańskiego pracownika CPPC</t>
  </si>
  <si>
    <t>Szkolenie online pn. „Orzecznictwo dotyczące naruszeń ochrony danych Osobowych” dla pracownika DZC.</t>
  </si>
  <si>
    <t xml:space="preserve">Udział 1 pracownika CPPC w szkoleniu „C)VA - Certified Vulnerability Assessor” w terminie 30-31.08.2022 r. </t>
  </si>
  <si>
    <t xml:space="preserve">Refundacja języka angielskiego </t>
  </si>
  <si>
    <t>D07-WB/2022/179</t>
  </si>
  <si>
    <t>D07-WB/2022/199</t>
  </si>
  <si>
    <t>D07-WB/2022/226</t>
  </si>
  <si>
    <t>D07-WB/2022/167</t>
  </si>
  <si>
    <t>D07-WB/2022/053</t>
  </si>
  <si>
    <t>D07-WB/2022/054</t>
  </si>
  <si>
    <t>D07-WB/2022/194</t>
  </si>
  <si>
    <t>D07-WB/2022/108</t>
  </si>
  <si>
    <t>D07-WB/2022/227</t>
  </si>
  <si>
    <t>D07-WB/2022/237</t>
  </si>
  <si>
    <t>D07-WB/2022/234</t>
  </si>
  <si>
    <t>D07-WB/2022/235</t>
  </si>
  <si>
    <t>Refundacja kosztów nauki języka angielskiego dla pracownika CPPC</t>
  </si>
  <si>
    <t>D07-WB/2022/196</t>
  </si>
  <si>
    <t xml:space="preserve"> Szkolenie online dla 1 pracownika DS: „Microsoft Excel poziom zaawansowany – wykorzystanie arkusza kalkulacyjnego w biznesie”. Termin 16-17.05.2022r.</t>
  </si>
  <si>
    <t>Szkolenie online dla 1 pracownika DS MS Excel – tabele przestawne. Termin 11.05.2022r.</t>
  </si>
  <si>
    <t>Refundacja języka angielskiego dla pracownika CPPC</t>
  </si>
  <si>
    <t>Refundacja kursu języka angielskiego dla pracownika CPPC</t>
  </si>
  <si>
    <t>Udział 1 pracownika CPPC w szkoleniu „Perswazja w biznesie. Kody wpływu w działaniu. Umiejętność przekonania do własnego zdania." w terminie 12-13 pażdziernika 2022 r.</t>
  </si>
  <si>
    <t xml:space="preserve">Refundacja kosztów studiów podyplomowych „Transformacja Cyfrowa” pracownika CPPC </t>
  </si>
  <si>
    <t>Zakup 300 szt. biletów ZTM.</t>
  </si>
  <si>
    <t xml:space="preserve">Refundacja kosztów studiów podyplomowych z zakresu pomocy publicznej pracownika CPPC </t>
  </si>
  <si>
    <t xml:space="preserve">Refundacja kosztów III semestru studiów magisterskich „Administracja” organizowanych przez Wyższą Szkołę Bankową w roku akademickim 2022/02023 - pracownika CPPC </t>
  </si>
  <si>
    <t>Usługa transportowa do miejsca przeprowadzania szkolenia zewnętrznego: „Radzenie sobie ze stresem i negatywnymi emocjami - pobudzenie własnego zaangażowania i motywacji do codziennych działań.” W Folwark Łochów z siedziby CPPC i z powrotem w dniach 26-27.10.2022r. dla ok 150 pracowników CPPC</t>
  </si>
  <si>
    <t xml:space="preserve">Udział w Warsztatach biznesowych i Coaching dla lidera dla 2 pracowników CPPC </t>
  </si>
  <si>
    <t>Szkoła Głowna Handlowa w Warszawie</t>
  </si>
  <si>
    <t>Miasto Stołeczne Warszawa</t>
  </si>
  <si>
    <t>Wyższa Szkoła Bankowa w Warszawie</t>
  </si>
  <si>
    <t>PRO COMPLEX GRUPA DOMINIK SKIBA</t>
  </si>
  <si>
    <t>GET Training Cezary Handziuk</t>
  </si>
  <si>
    <t>Studio Językowe Językownia Eleonora Derewicka</t>
  </si>
  <si>
    <t>Inspiro Language Academy Weronika Sokołowska</t>
  </si>
  <si>
    <t>Carrefour Polska Sp. z o.o.; Leroy Merlin Polska Sp. z o.o.; Media Markt Polska BIS Sp. z o.o.; kawawbiurze.pl Michał Ścisk; EURO-Net Sp. z o.o.; KOM-SERWIS Sebastian Maścibrocki; ACSS ID Systems Sp. z o.o.; EURO-Net Sp. z o.o.; IKEA Retail Sp. z o.o.; Transgourmet Polska Sp.z o.o., B2B Partner Spółka z o.o., CASTORAMA POLSKA Sp. z o.o., GENTO Bobowiec Kwiatek Sp. K., Kwiaciarnia "Pod Katedrą" Leszczyk Wiesław, MBS TEAM s.c., Wydawnictwa Akcydensowe S.A., Kwiaciarnia "Pod Katedrą" Leszczyk Wiesław</t>
  </si>
  <si>
    <t>UNIWERSYTET WARSZAWSKI</t>
  </si>
  <si>
    <t>Pure Joy</t>
  </si>
  <si>
    <t>Stan na 31-12-2022</t>
  </si>
  <si>
    <t>D07-WB/2022/246</t>
  </si>
  <si>
    <t>D07-WB/2022/242</t>
  </si>
  <si>
    <t>D07-WB/2022/180</t>
  </si>
  <si>
    <t>D07-WB/2022/181</t>
  </si>
  <si>
    <t>D07-WB/2022/228</t>
  </si>
  <si>
    <t>D07-WB/2022/233</t>
  </si>
  <si>
    <t>D07-WB/2022/106</t>
  </si>
  <si>
    <t>D07-WB/2022/239</t>
  </si>
  <si>
    <t>Uniwersytecie Kardynała Stefana Wyszyńskiego w Warszawie</t>
  </si>
  <si>
    <t>D07-WB/2022/243</t>
  </si>
  <si>
    <t>D07-WB/2022/244</t>
  </si>
  <si>
    <t>D07-WB/2022/229</t>
  </si>
  <si>
    <t>D07-WB/2022/230</t>
  </si>
  <si>
    <t>D07-WB/2022/171</t>
  </si>
  <si>
    <t>D07-WB/2022/222</t>
  </si>
  <si>
    <t>D07-WB/2022/247</t>
  </si>
  <si>
    <t>D07-WB/2022/248</t>
  </si>
  <si>
    <t>D07-WB/2022/232</t>
  </si>
  <si>
    <t>D07-WB/2022/249</t>
  </si>
  <si>
    <t>D07-WB/2022/252</t>
  </si>
  <si>
    <t>D07-WB/2022/191</t>
  </si>
  <si>
    <t>D07-WB/2022/236</t>
  </si>
  <si>
    <t>D07-WB/2022/251</t>
  </si>
  <si>
    <t>D07-WB/2022/250</t>
  </si>
  <si>
    <t>D07-WB/2022/253</t>
  </si>
  <si>
    <t>D07-WB/2022/185</t>
  </si>
  <si>
    <t>D07-WB/2022/152</t>
  </si>
  <si>
    <t>D07-WB/2022/256</t>
  </si>
  <si>
    <t>D07-WB/2022/259</t>
  </si>
  <si>
    <t>D07-WB/2022/206</t>
  </si>
  <si>
    <t>Zakup paliwa do samochodu zastępczego</t>
  </si>
  <si>
    <t>Opłaty ewidencyjna w związku z rejestracją pojazdu służbowego CPPC.</t>
  </si>
  <si>
    <t>Porsche Inter Auto Polska Sp. z o.o., SKP NAGRABA DAWID NAGRABA , OPONEO.PL S.A., Centrum Serwisowe GP s.c., aVecar Aleksandra Bychawska</t>
  </si>
  <si>
    <t>Cherry School Agnieszka Malinowska</t>
  </si>
  <si>
    <t>WARSZAWSKA SZKOŁA ZARZĄDZANIA-SZKOŁA WYŻSZA</t>
  </si>
  <si>
    <t>Refundacja studiów "Zarządzanie w Warszawskiej Szkole Zarządzania w Warszawie"</t>
  </si>
  <si>
    <t>”KOZŁOWSKI” Bartosz Kozłowski, Konsorcjum Biuro Klub Sp. z o.o.</t>
  </si>
  <si>
    <t>Friday English Sp. z o.o.</t>
  </si>
  <si>
    <t>Udział 1 pracownika CPPC w szkoleniu "Efektywne prowadzenie spotkań” - w dniu 14.12.2022 r.</t>
  </si>
  <si>
    <t>Przedmiotem zamówienia jest usługa wykonania profesjonalnej sesji fotograficznej (portret biznesowy) dla Dyrektorów i Naczelników Centrum Projektów Polska Cyfrowa (dalej: CPPC) oraz dostarczenie zdjęć po obróbce graficznej.</t>
  </si>
  <si>
    <t>FLUENTBE Sp. z o.o</t>
  </si>
  <si>
    <t>Udział w warsztacie pn. „Radzenie sobie ze stresem i negatywnymi emocjami” podczas wyjazdu szkoleniowego w dniu 26.10.2022 dla pracowników CPPC</t>
  </si>
  <si>
    <t>Udział w szkoleniu pn. „XIV Forum Finansów Publicznych” dotyczącym zamknięcia roku 2022, sprawozdawczości budżetowej oraz sprawozdawczości z zakresu operacji finansowych dla 8 pracowników CPPC.</t>
  </si>
  <si>
    <t>udział w szkolenie „Redagowanie treści dostępnej strony internetowej” dla 1 pracownika CPPC</t>
  </si>
  <si>
    <t>Fundacja WIDZIALNI</t>
  </si>
  <si>
    <t>Wydawnictwa Szkolne i Pedagogiczne S.A.</t>
  </si>
  <si>
    <t>Berlitz Poland Sp. z o.o.</t>
  </si>
  <si>
    <t>Natalia Oparka-Kharma NATALIA OPARKA-KHARMA</t>
  </si>
  <si>
    <t>Udział w szkoleniu dla 4 pracowników CPPC z tematu: „Autoprezentacja i wystąpienia publiczne - warsztaty z Maciejem Orłosiem w terminie 24-25.11.2022</t>
  </si>
  <si>
    <t>Centrum Wiedzy Prawno-Podatkowej Firma Szkoleniowo-Consultingowa Anna Denkiewicz-Jamanek</t>
  </si>
  <si>
    <t>ADN Akademia Biznesu Sp. z o.o.</t>
  </si>
  <si>
    <t>Verifone Payments BV dba 2Checkout</t>
  </si>
  <si>
    <t>Sebastian Pietrzyk</t>
  </si>
  <si>
    <t>Udział pracownika CPPC (Departament Prawny) w szkoleniu on-line pn. „Nowe zasady stosowania pracy zdalnej i inne nowe zasady związane z zatrudnieniem”.</t>
  </si>
  <si>
    <t>Udział 4 pracowników DKSF-K w szkoleniu pn. „Szkolenie online Podróże służbowe 2022 w sektorze publicznym – praktyczne zasady i kompleksowa problematyka rozliczeń z pracownikami" w terminie 08.12.2022</t>
  </si>
  <si>
    <t>Zakup licencji rocznej na oprogramowanie Excel Merger Pro</t>
  </si>
  <si>
    <t>Świadczenie usług prawnych na zlecenie Centrum Projektów Polska Cyfrowa (konsultacje)</t>
  </si>
  <si>
    <t>Zakup usługi abonamentowej do Portalu Zamówień Publicznych na okres 24 miesięcy</t>
  </si>
  <si>
    <t>Wiedza i Praktyka Sp. Z o.o.</t>
  </si>
  <si>
    <t>Kancelaria Adwokacka Adwokat Paulina Perłowska</t>
  </si>
  <si>
    <t>Zastępstwo procesowe na posiedzeniu wstępnym przed SO Tarnobrzeg 28.11.2022 r. II K 50/20</t>
  </si>
  <si>
    <t>Szkolenie z zakresu motywowania pracowników, organizacji pracy i delegowania zadań, komunikacji interpersonalnej, oceny pracy, zarządzania konfliktem, oraz narzędzi strategicznych dla Martyny Schlapfer</t>
  </si>
  <si>
    <t>refundację kosztów indywidualnej nauki języka angielskiego - M. Wasilewska</t>
  </si>
  <si>
    <t>Zestaw certyfikatów do integracji z Krajowym Węzłem Tożsamości na 3 lata</t>
  </si>
  <si>
    <t>Agnieszka Pieczyńska Doradztwo Biznesowe</t>
  </si>
  <si>
    <t>CAT Communication And Teaching Martyna Cegiełka</t>
  </si>
  <si>
    <t>Enigma Systemy Ochrony Informacji Sp. z o.o.</t>
  </si>
  <si>
    <t>Platforma do prowadzenia webinariów na potrzeby projektu pn. Pracownie Aktywnego Korzystania z Technologii – PAKT w ramach Programu Operacyjnego Polska Cyfrowa</t>
  </si>
  <si>
    <t>ClickMeeting Sp. z o.o.</t>
  </si>
  <si>
    <t>Szkolenie „Zwinność w zarządzaniu zespołem z wykorzystaniem metodyk Agile” dla 1 pracownika CPPC.</t>
  </si>
  <si>
    <t xml:space="preserve">Studio Galeria Sp. z o. o.
</t>
  </si>
  <si>
    <t xml:space="preserve">Usługa sprzątania samochodów służbowych.
</t>
  </si>
  <si>
    <t>ROBO WASH S.A.</t>
  </si>
  <si>
    <t>Shutterstock Ireland Ltd.</t>
  </si>
  <si>
    <t>zakup subskrypcji banku zdjęć i grafik do pobrania</t>
  </si>
  <si>
    <t>Szkolenie Zarządzanie stresem i emocjami dla pracownika DS w dn. 12-13.12.2022r. - dla 1 pracownika CPPC.</t>
  </si>
  <si>
    <t xml:space="preserve">Refundacja II roku studiów na kierunku Prawo na Uniwersytecie Kardynała Stefana Wyszyńskiego w Warszawie </t>
  </si>
  <si>
    <t>Polski Koncern Naftowy ORLEN s.a.</t>
  </si>
  <si>
    <t>Urząd Dzielnicy Warszawa-Wola</t>
  </si>
  <si>
    <t>stan na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</si>
</sst>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5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6">
    <xf numFmtId="0" fontId="0" fillId="0" borderId="0"/>
    <xf numFmtId="0" fontId="20" fillId="0" borderId="0"/>
    <xf numFmtId="0" fontId="24" fillId="0" borderId="0"/>
    <xf numFmtId="0" fontId="24" fillId="0" borderId="0"/>
    <xf numFmtId="164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7" fillId="0" borderId="0"/>
    <xf numFmtId="0" fontId="24" fillId="0" borderId="0"/>
    <xf numFmtId="0" fontId="28" fillId="0" borderId="0"/>
    <xf numFmtId="0" fontId="27" fillId="0" borderId="0"/>
    <xf numFmtId="9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5" fillId="0" borderId="0" applyFont="0" applyFill="0" applyBorder="0" applyAlignment="0" applyProtection="0"/>
    <xf numFmtId="0" fontId="20" fillId="0" borderId="0"/>
    <xf numFmtId="0" fontId="20" fillId="0" borderId="0"/>
    <xf numFmtId="164" fontId="25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6" fillId="32" borderId="0" applyNumberFormat="0" applyBorder="0" applyAlignment="0" applyProtection="0"/>
    <xf numFmtId="0" fontId="6" fillId="0" borderId="0"/>
    <xf numFmtId="0" fontId="6" fillId="8" borderId="16" applyNumberFormat="0" applyFont="0" applyAlignment="0" applyProtection="0"/>
    <xf numFmtId="0" fontId="27" fillId="0" borderId="0"/>
    <xf numFmtId="0" fontId="47" fillId="0" borderId="0"/>
    <xf numFmtId="0" fontId="5" fillId="0" borderId="0"/>
    <xf numFmtId="0" fontId="5" fillId="8" borderId="16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16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8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33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30" fillId="0" borderId="0" xfId="0" applyFont="1"/>
    <xf numFmtId="0" fontId="23" fillId="0" borderId="5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left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/>
    <xf numFmtId="4" fontId="21" fillId="0" borderId="0" xfId="0" applyNumberFormat="1" applyFont="1" applyFill="1"/>
    <xf numFmtId="165" fontId="23" fillId="0" borderId="19" xfId="0" applyNumberFormat="1" applyFont="1" applyFill="1" applyBorder="1" applyAlignment="1">
      <alignment vertical="center" wrapText="1"/>
    </xf>
    <xf numFmtId="165" fontId="29" fillId="0" borderId="8" xfId="1" applyNumberFormat="1" applyFont="1" applyFill="1" applyBorder="1" applyAlignment="1">
      <alignment horizontal="right" vertical="center" wrapText="1"/>
    </xf>
    <xf numFmtId="0" fontId="4" fillId="0" borderId="0" xfId="103" applyAlignment="1">
      <alignment wrapText="1"/>
    </xf>
    <xf numFmtId="0" fontId="4" fillId="0" borderId="0" xfId="103" applyAlignment="1">
      <alignment horizontal="right" wrapText="1"/>
    </xf>
    <xf numFmtId="0" fontId="4" fillId="0" borderId="0" xfId="103" applyFill="1" applyAlignment="1">
      <alignment wrapText="1"/>
    </xf>
    <xf numFmtId="0" fontId="30" fillId="0" borderId="0" xfId="0" applyFont="1" applyFill="1"/>
    <xf numFmtId="0" fontId="21" fillId="0" borderId="0" xfId="0" applyFont="1" applyFill="1" applyAlignment="1">
      <alignment vertical="center" wrapText="1"/>
    </xf>
    <xf numFmtId="14" fontId="23" fillId="0" borderId="18" xfId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165" fontId="21" fillId="0" borderId="0" xfId="0" applyNumberFormat="1" applyFont="1"/>
    <xf numFmtId="164" fontId="21" fillId="0" borderId="0" xfId="0" applyNumberFormat="1" applyFont="1"/>
    <xf numFmtId="165" fontId="1" fillId="0" borderId="0" xfId="103" applyNumberFormat="1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</cellXfs>
  <cellStyles count="206">
    <cellStyle name="20% — akcent 1" xfId="62" builtinId="30" customBuiltin="1"/>
    <cellStyle name="20% — akcent 1 2" xfId="91"/>
    <cellStyle name="20% — akcent 1 3" xfId="105"/>
    <cellStyle name="20% — akcent 1 4" xfId="151"/>
    <cellStyle name="20% — akcent 1 5" xfId="171"/>
    <cellStyle name="20% — akcent 1 6" xfId="190"/>
    <cellStyle name="20% — akcent 2" xfId="66" builtinId="34" customBuiltin="1"/>
    <cellStyle name="20% — akcent 2 2" xfId="93"/>
    <cellStyle name="20% — akcent 2 3" xfId="107"/>
    <cellStyle name="20% — akcent 2 4" xfId="154"/>
    <cellStyle name="20% — akcent 2 5" xfId="173"/>
    <cellStyle name="20% — akcent 2 6" xfId="193"/>
    <cellStyle name="20% — akcent 3" xfId="70" builtinId="38" customBuiltin="1"/>
    <cellStyle name="20% — akcent 3 2" xfId="95"/>
    <cellStyle name="20% — akcent 3 3" xfId="109"/>
    <cellStyle name="20% — akcent 3 4" xfId="156"/>
    <cellStyle name="20% — akcent 3 5" xfId="175"/>
    <cellStyle name="20% — akcent 3 6" xfId="195"/>
    <cellStyle name="20% — akcent 4" xfId="74" builtinId="42" customBuiltin="1"/>
    <cellStyle name="20% — akcent 4 2" xfId="97"/>
    <cellStyle name="20% — akcent 4 3" xfId="111"/>
    <cellStyle name="20% — akcent 4 4" xfId="158"/>
    <cellStyle name="20% — akcent 4 5" xfId="177"/>
    <cellStyle name="20% — akcent 4 6" xfId="198"/>
    <cellStyle name="20% — akcent 5" xfId="78" builtinId="46" customBuiltin="1"/>
    <cellStyle name="20% — akcent 5 2" xfId="99"/>
    <cellStyle name="20% — akcent 5 3" xfId="113"/>
    <cellStyle name="20% — akcent 5 4" xfId="161"/>
    <cellStyle name="20% — akcent 5 5" xfId="179"/>
    <cellStyle name="20% — akcent 5 6" xfId="201"/>
    <cellStyle name="20% — akcent 6" xfId="82" builtinId="50" customBuiltin="1"/>
    <cellStyle name="20% — akcent 6 2" xfId="101"/>
    <cellStyle name="20% — akcent 6 3" xfId="115"/>
    <cellStyle name="20% — akcent 6 4" xfId="163"/>
    <cellStyle name="20% — akcent 6 5" xfId="181"/>
    <cellStyle name="20% — akcent 6 6" xfId="203"/>
    <cellStyle name="40% — akcent 1" xfId="63" builtinId="31" customBuiltin="1"/>
    <cellStyle name="40% — akcent 1 2" xfId="92"/>
    <cellStyle name="40% — akcent 1 3" xfId="106"/>
    <cellStyle name="40% — akcent 1 4" xfId="152"/>
    <cellStyle name="40% — akcent 1 5" xfId="172"/>
    <cellStyle name="40% — akcent 1 6" xfId="191"/>
    <cellStyle name="40% — akcent 2" xfId="67" builtinId="35" customBuiltin="1"/>
    <cellStyle name="40% — akcent 2 2" xfId="94"/>
    <cellStyle name="40% — akcent 2 3" xfId="108"/>
    <cellStyle name="40% — akcent 2 4" xfId="155"/>
    <cellStyle name="40% — akcent 2 5" xfId="174"/>
    <cellStyle name="40% — akcent 2 6" xfId="194"/>
    <cellStyle name="40% — akcent 3" xfId="71" builtinId="39" customBuiltin="1"/>
    <cellStyle name="40% — akcent 3 2" xfId="96"/>
    <cellStyle name="40% — akcent 3 3" xfId="110"/>
    <cellStyle name="40% — akcent 3 4" xfId="157"/>
    <cellStyle name="40% — akcent 3 5" xfId="176"/>
    <cellStyle name="40% — akcent 3 6" xfId="196"/>
    <cellStyle name="40% — akcent 4" xfId="75" builtinId="43" customBuiltin="1"/>
    <cellStyle name="40% — akcent 4 2" xfId="98"/>
    <cellStyle name="40% — akcent 4 3" xfId="112"/>
    <cellStyle name="40% — akcent 4 4" xfId="159"/>
    <cellStyle name="40% — akcent 4 5" xfId="178"/>
    <cellStyle name="40% — akcent 4 6" xfId="199"/>
    <cellStyle name="40% — akcent 5" xfId="79" builtinId="47" customBuiltin="1"/>
    <cellStyle name="40% — akcent 5 2" xfId="100"/>
    <cellStyle name="40% — akcent 5 3" xfId="114"/>
    <cellStyle name="40% — akcent 5 4" xfId="162"/>
    <cellStyle name="40% — akcent 5 5" xfId="180"/>
    <cellStyle name="40% — akcent 5 6" xfId="202"/>
    <cellStyle name="40% — akcent 6" xfId="83" builtinId="51" customBuiltin="1"/>
    <cellStyle name="40% — akcent 6 2" xfId="102"/>
    <cellStyle name="40% — akcent 6 3" xfId="116"/>
    <cellStyle name="40% — akcent 6 4" xfId="164"/>
    <cellStyle name="40% — akcent 6 5" xfId="182"/>
    <cellStyle name="40% — akcent 6 6" xfId="204"/>
    <cellStyle name="60% — akcent 1" xfId="64" builtinId="32" customBuiltin="1"/>
    <cellStyle name="60% — akcent 2" xfId="68" builtinId="36" customBuiltin="1"/>
    <cellStyle name="60% — akcent 3" xfId="72" builtinId="40" customBuiltin="1"/>
    <cellStyle name="60% — akcent 4" xfId="76" builtinId="44" customBuiltin="1"/>
    <cellStyle name="60% — akcent 5" xfId="80" builtinId="48" customBuiltin="1"/>
    <cellStyle name="60% — akcent 6" xfId="84" builtinId="52" customBuiltin="1"/>
    <cellStyle name="Akcent 1" xfId="61" builtinId="29" customBuiltin="1"/>
    <cellStyle name="Akcent 2" xfId="65" builtinId="33" customBuiltin="1"/>
    <cellStyle name="Akcent 3" xfId="69" builtinId="37" customBuiltin="1"/>
    <cellStyle name="Akcent 4" xfId="73" builtinId="41" customBuiltin="1"/>
    <cellStyle name="Akcent 5" xfId="77" builtinId="45" customBuiltin="1"/>
    <cellStyle name="Akcent 6" xfId="81" builtinId="49" customBuiltin="1"/>
    <cellStyle name="Dane wejściowe" xfId="53" builtinId="20" customBuiltin="1"/>
    <cellStyle name="Dane wyjściowe" xfId="54" builtinId="21" customBuiltin="1"/>
    <cellStyle name="Dobry" xfId="50" builtinId="26" customBuiltin="1"/>
    <cellStyle name="Dziesiętny 2" xfId="4"/>
    <cellStyle name="Dziesiętny 2 2" xfId="17"/>
    <cellStyle name="Dziesiętny 2 2 2" xfId="35"/>
    <cellStyle name="Dziesiętny 2 2 3" xfId="38"/>
    <cellStyle name="Dziesiętny 2 2 4" xfId="32"/>
    <cellStyle name="Dziesiętny 2 3" xfId="20"/>
    <cellStyle name="Dziesiętny 2 3 2" xfId="36"/>
    <cellStyle name="Dziesiętny 2 3 3" xfId="39"/>
    <cellStyle name="Dziesiętny 2 3 4" xfId="33"/>
    <cellStyle name="Dziesiętny 2 4" xfId="34"/>
    <cellStyle name="Dziesiętny 2 5" xfId="37"/>
    <cellStyle name="Dziesiętny 2 6" xfId="40"/>
    <cellStyle name="Dziesiętny 2 7" xfId="31"/>
    <cellStyle name="Dziesiętny 3" xfId="41"/>
    <cellStyle name="Komórka połączona" xfId="56" builtinId="24" customBuiltin="1"/>
    <cellStyle name="Komórka zaznaczona" xfId="57" builtinId="23" customBuiltin="1"/>
    <cellStyle name="Nagłówek 1" xfId="46" builtinId="16" customBuiltin="1"/>
    <cellStyle name="Nagłówek 2" xfId="47" builtinId="17" customBuiltin="1"/>
    <cellStyle name="Nagłówek 3" xfId="48" builtinId="18" customBuiltin="1"/>
    <cellStyle name="Nagłówek 4" xfId="49" builtinId="19" customBuiltin="1"/>
    <cellStyle name="Neutralny" xfId="52" builtinId="28" customBuiltin="1"/>
    <cellStyle name="Normalny" xfId="0" builtinId="0"/>
    <cellStyle name="Normalny 10" xfId="21"/>
    <cellStyle name="Normalny 11" xfId="22"/>
    <cellStyle name="Normalny 12" xfId="23"/>
    <cellStyle name="Normalny 13" xfId="24"/>
    <cellStyle name="Normalny 14" xfId="25"/>
    <cellStyle name="Normalny 15" xfId="26"/>
    <cellStyle name="Normalny 16" xfId="27"/>
    <cellStyle name="Normalny 17" xfId="28"/>
    <cellStyle name="Normalny 18" xfId="29"/>
    <cellStyle name="Normalny 19" xfId="30"/>
    <cellStyle name="Normalny 2" xfId="3"/>
    <cellStyle name="Normalny 2 2" xfId="5"/>
    <cellStyle name="Normalny 20" xfId="42"/>
    <cellStyle name="Normalny 21" xfId="43"/>
    <cellStyle name="Normalny 22" xfId="44"/>
    <cellStyle name="Normalny 23" xfId="85"/>
    <cellStyle name="Normalny 24" xfId="87"/>
    <cellStyle name="Normalny 25" xfId="88"/>
    <cellStyle name="Normalny 26" xfId="89"/>
    <cellStyle name="Normalny 27" xfId="103"/>
    <cellStyle name="Normalny 28" xfId="117"/>
    <cellStyle name="Normalny 29" xfId="118"/>
    <cellStyle name="Normalny 3" xfId="1"/>
    <cellStyle name="Normalny 3 2" xfId="6"/>
    <cellStyle name="Normalny 3 3" xfId="16"/>
    <cellStyle name="Normalny 3_Osoby Prawne - ZBIORCZO (2)" xfId="7"/>
    <cellStyle name="Normalny 30" xfId="119"/>
    <cellStyle name="Normalny 31" xfId="120"/>
    <cellStyle name="Normalny 32" xfId="121"/>
    <cellStyle name="Normalny 33" xfId="122"/>
    <cellStyle name="Normalny 34" xfId="123"/>
    <cellStyle name="Normalny 35" xfId="124"/>
    <cellStyle name="Normalny 36" xfId="125"/>
    <cellStyle name="Normalny 37" xfId="126"/>
    <cellStyle name="Normalny 38" xfId="127"/>
    <cellStyle name="Normalny 39" xfId="128"/>
    <cellStyle name="Normalny 4" xfId="8"/>
    <cellStyle name="Normalny 4 2" xfId="9"/>
    <cellStyle name="Normalny 4 3" xfId="10"/>
    <cellStyle name="Normalny 40" xfId="129"/>
    <cellStyle name="Normalny 41" xfId="130"/>
    <cellStyle name="Normalny 42" xfId="131"/>
    <cellStyle name="Normalny 43" xfId="132"/>
    <cellStyle name="Normalny 44" xfId="133"/>
    <cellStyle name="Normalny 45" xfId="134"/>
    <cellStyle name="Normalny 46" xfId="135"/>
    <cellStyle name="Normalny 47" xfId="136"/>
    <cellStyle name="Normalny 48" xfId="137"/>
    <cellStyle name="Normalny 49" xfId="138"/>
    <cellStyle name="Normalny 5" xfId="11"/>
    <cellStyle name="Normalny 50" xfId="139"/>
    <cellStyle name="Normalny 51" xfId="140"/>
    <cellStyle name="Normalny 52" xfId="141"/>
    <cellStyle name="Normalny 53" xfId="142"/>
    <cellStyle name="Normalny 54" xfId="143"/>
    <cellStyle name="Normalny 55" xfId="144"/>
    <cellStyle name="Normalny 56" xfId="145"/>
    <cellStyle name="Normalny 57" xfId="148"/>
    <cellStyle name="Normalny 58" xfId="147"/>
    <cellStyle name="Normalny 59" xfId="146"/>
    <cellStyle name="Normalny 6" xfId="13"/>
    <cellStyle name="Normalny 6 2" xfId="18"/>
    <cellStyle name="Normalny 60" xfId="149"/>
    <cellStyle name="Normalny 61" xfId="160"/>
    <cellStyle name="Normalny 62" xfId="165"/>
    <cellStyle name="Normalny 63" xfId="153"/>
    <cellStyle name="Normalny 64" xfId="166"/>
    <cellStyle name="Normalny 65" xfId="167"/>
    <cellStyle name="Normalny 66" xfId="168"/>
    <cellStyle name="Normalny 67" xfId="169"/>
    <cellStyle name="Normalny 68" xfId="183"/>
    <cellStyle name="Normalny 69" xfId="184"/>
    <cellStyle name="Normalny 7" xfId="14"/>
    <cellStyle name="Normalny 7 2" xfId="19"/>
    <cellStyle name="Normalny 70" xfId="187"/>
    <cellStyle name="Normalny 71" xfId="186"/>
    <cellStyle name="Normalny 72" xfId="185"/>
    <cellStyle name="Normalny 73" xfId="188"/>
    <cellStyle name="Normalny 74" xfId="200"/>
    <cellStyle name="Normalny 75" xfId="205"/>
    <cellStyle name="Normalny 76" xfId="192"/>
    <cellStyle name="Normalny 77" xfId="197"/>
    <cellStyle name="Normalny 8" xfId="15"/>
    <cellStyle name="Normalny 9" xfId="2"/>
    <cellStyle name="Obliczenia" xfId="55" builtinId="22" customBuiltin="1"/>
    <cellStyle name="Procentowy 2" xfId="12"/>
    <cellStyle name="Suma" xfId="60" builtinId="25" customBuiltin="1"/>
    <cellStyle name="Tekst objaśnienia" xfId="59" builtinId="53" customBuiltin="1"/>
    <cellStyle name="Tekst ostrzeżenia" xfId="58" builtinId="11" customBuiltin="1"/>
    <cellStyle name="Tytuł" xfId="45" builtinId="15" customBuiltin="1"/>
    <cellStyle name="Uwaga 2" xfId="86"/>
    <cellStyle name="Uwaga 3" xfId="90"/>
    <cellStyle name="Uwaga 4" xfId="104"/>
    <cellStyle name="Uwaga 5" xfId="150"/>
    <cellStyle name="Uwaga 6" xfId="170"/>
    <cellStyle name="Uwaga 7" xfId="189"/>
    <cellStyle name="Zły" xfId="5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304800</xdr:rowOff>
    </xdr:from>
    <xdr:to>
      <xdr:col>4</xdr:col>
      <xdr:colOff>3588385</xdr:colOff>
      <xdr:row>0</xdr:row>
      <xdr:rowOff>1047750</xdr:rowOff>
    </xdr:to>
    <xdr:grpSp>
      <xdr:nvGrpSpPr>
        <xdr:cNvPr id="8" name="Grupa 7"/>
        <xdr:cNvGrpSpPr/>
      </xdr:nvGrpSpPr>
      <xdr:grpSpPr>
        <a:xfrm>
          <a:off x="2219325" y="304800"/>
          <a:ext cx="7626985" cy="742950"/>
          <a:chOff x="0" y="0"/>
          <a:chExt cx="6503035" cy="742950"/>
        </a:xfrm>
      </xdr:grpSpPr>
      <xdr:pic>
        <xdr:nvPicPr>
          <xdr:cNvPr id="9" name="Obraz 8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5"/>
  <sheetViews>
    <sheetView tabSelected="1" zoomScaleNormal="100" workbookViewId="0">
      <pane ySplit="1" topLeftCell="A2" activePane="bottomLeft" state="frozen"/>
      <selection pane="bottomLeft" activeCell="C208" sqref="C208"/>
    </sheetView>
  </sheetViews>
  <sheetFormatPr defaultRowHeight="16.5"/>
  <cols>
    <col min="1" max="1" width="6.125" style="8" customWidth="1"/>
    <col min="2" max="2" width="19.375" style="2" customWidth="1"/>
    <col min="3" max="3" width="42.75" style="26" customWidth="1"/>
    <col min="4" max="4" width="13.875" style="27" customWidth="1"/>
    <col min="5" max="5" width="70.375" style="8" customWidth="1"/>
    <col min="6" max="6" width="19.875" style="17" customWidth="1"/>
    <col min="7" max="7" width="18" style="8" customWidth="1"/>
    <col min="8" max="8" width="16.625" style="8" customWidth="1"/>
    <col min="9" max="9" width="17.875" style="8" customWidth="1"/>
    <col min="10" max="16384" width="9" style="8"/>
  </cols>
  <sheetData>
    <row r="1" spans="1:28" ht="108" customHeight="1">
      <c r="A1" s="31"/>
      <c r="B1" s="31"/>
      <c r="C1" s="31"/>
      <c r="D1" s="31"/>
      <c r="E1" s="31"/>
      <c r="F1" s="31"/>
      <c r="G1" s="28"/>
      <c r="H1" s="29"/>
    </row>
    <row r="2" spans="1:28" ht="25.5" customHeight="1" thickBot="1">
      <c r="A2" s="32" t="s">
        <v>11</v>
      </c>
      <c r="B2" s="32"/>
      <c r="C2" s="32"/>
      <c r="D2" s="32"/>
      <c r="E2" s="32"/>
      <c r="F2" s="16" t="s">
        <v>416</v>
      </c>
    </row>
    <row r="3" spans="1:28" s="1" customFormat="1" ht="67.5" customHeight="1">
      <c r="A3" s="3" t="s">
        <v>3</v>
      </c>
      <c r="B3" s="4" t="s">
        <v>13</v>
      </c>
      <c r="C3" s="5" t="s">
        <v>0</v>
      </c>
      <c r="D3" s="6" t="s">
        <v>2</v>
      </c>
      <c r="E3" s="5" t="s">
        <v>1</v>
      </c>
      <c r="F3" s="7" t="s">
        <v>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4" customFormat="1" ht="17.25" customHeight="1">
      <c r="A4" s="10">
        <v>1</v>
      </c>
      <c r="B4" s="11" t="s">
        <v>7</v>
      </c>
      <c r="C4" s="12" t="s">
        <v>8</v>
      </c>
      <c r="D4" s="25" t="s">
        <v>5</v>
      </c>
      <c r="E4" s="12" t="s">
        <v>9</v>
      </c>
      <c r="F4" s="18">
        <v>238.14</v>
      </c>
    </row>
    <row r="5" spans="1:28" s="24" customFormat="1">
      <c r="A5" s="10">
        <v>2</v>
      </c>
      <c r="B5" s="11" t="s">
        <v>7</v>
      </c>
      <c r="C5" s="12" t="s">
        <v>64</v>
      </c>
      <c r="D5" s="25" t="s">
        <v>5</v>
      </c>
      <c r="E5" s="12" t="s">
        <v>144</v>
      </c>
      <c r="F5" s="18">
        <f>50</f>
        <v>50</v>
      </c>
    </row>
    <row r="6" spans="1:28" s="24" customFormat="1" ht="45">
      <c r="A6" s="10">
        <v>3</v>
      </c>
      <c r="B6" s="11" t="s">
        <v>7</v>
      </c>
      <c r="C6" s="12" t="s">
        <v>219</v>
      </c>
      <c r="D6" s="25" t="s">
        <v>5</v>
      </c>
      <c r="E6" s="12" t="s">
        <v>69</v>
      </c>
      <c r="F6" s="18">
        <f>54.5+59+32+29</f>
        <v>174.5</v>
      </c>
    </row>
    <row r="7" spans="1:28" s="24" customFormat="1" ht="30">
      <c r="A7" s="10">
        <v>4</v>
      </c>
      <c r="B7" s="11" t="s">
        <v>7</v>
      </c>
      <c r="C7" s="12" t="s">
        <v>145</v>
      </c>
      <c r="D7" s="25" t="s">
        <v>5</v>
      </c>
      <c r="E7" s="12" t="s">
        <v>146</v>
      </c>
      <c r="F7" s="18">
        <v>140.24</v>
      </c>
    </row>
    <row r="8" spans="1:28" s="24" customFormat="1">
      <c r="A8" s="10">
        <v>5</v>
      </c>
      <c r="B8" s="11" t="s">
        <v>62</v>
      </c>
      <c r="C8" s="12" t="s">
        <v>143</v>
      </c>
      <c r="D8" s="25" t="s">
        <v>5</v>
      </c>
      <c r="E8" s="12" t="s">
        <v>75</v>
      </c>
      <c r="F8" s="18">
        <f>184.5+184.5</f>
        <v>369</v>
      </c>
    </row>
    <row r="9" spans="1:28" s="24" customFormat="1">
      <c r="A9" s="10">
        <v>6</v>
      </c>
      <c r="B9" s="11" t="s">
        <v>5</v>
      </c>
      <c r="C9" s="12" t="s">
        <v>176</v>
      </c>
      <c r="D9" s="25" t="s">
        <v>5</v>
      </c>
      <c r="E9" s="12" t="s">
        <v>174</v>
      </c>
      <c r="F9" s="18">
        <v>249</v>
      </c>
    </row>
    <row r="10" spans="1:28" s="24" customFormat="1">
      <c r="A10" s="10">
        <v>7</v>
      </c>
      <c r="B10" s="11" t="s">
        <v>5</v>
      </c>
      <c r="C10" s="12" t="s">
        <v>177</v>
      </c>
      <c r="D10" s="25" t="s">
        <v>5</v>
      </c>
      <c r="E10" s="12" t="s">
        <v>175</v>
      </c>
      <c r="F10" s="18">
        <v>79</v>
      </c>
    </row>
    <row r="11" spans="1:28" s="24" customFormat="1">
      <c r="A11" s="10">
        <v>8</v>
      </c>
      <c r="B11" s="11" t="s">
        <v>7</v>
      </c>
      <c r="C11" s="12" t="s">
        <v>136</v>
      </c>
      <c r="D11" s="25" t="s">
        <v>5</v>
      </c>
      <c r="E11" s="12" t="s">
        <v>347</v>
      </c>
      <c r="F11" s="18">
        <f>4.5+4+4+10+4.5</f>
        <v>27</v>
      </c>
    </row>
    <row r="12" spans="1:28" s="24" customFormat="1">
      <c r="A12" s="10">
        <v>9</v>
      </c>
      <c r="B12" s="11" t="s">
        <v>7</v>
      </c>
      <c r="C12" s="12" t="s">
        <v>495</v>
      </c>
      <c r="D12" s="25" t="s">
        <v>5</v>
      </c>
      <c r="E12" s="12" t="s">
        <v>448</v>
      </c>
      <c r="F12" s="18">
        <v>161.5</v>
      </c>
    </row>
    <row r="13" spans="1:28" s="24" customFormat="1">
      <c r="A13" s="10">
        <v>10</v>
      </c>
      <c r="B13" s="11" t="s">
        <v>5</v>
      </c>
      <c r="C13" s="12" t="s">
        <v>494</v>
      </c>
      <c r="D13" s="25" t="s">
        <v>5</v>
      </c>
      <c r="E13" s="12" t="s">
        <v>447</v>
      </c>
      <c r="F13" s="18">
        <v>120.19</v>
      </c>
    </row>
    <row r="14" spans="1:28" s="24" customFormat="1" ht="30">
      <c r="A14" s="10">
        <v>11</v>
      </c>
      <c r="B14" s="11" t="s">
        <v>152</v>
      </c>
      <c r="C14" s="12" t="s">
        <v>159</v>
      </c>
      <c r="D14" s="25">
        <v>44273</v>
      </c>
      <c r="E14" s="12" t="s">
        <v>158</v>
      </c>
      <c r="F14" s="18">
        <f>1476+1476+1249.13+226.87+1249.13+226.87+1249.13+226.87</f>
        <v>7380</v>
      </c>
    </row>
    <row r="15" spans="1:28" s="24" customFormat="1">
      <c r="A15" s="10">
        <v>12</v>
      </c>
      <c r="B15" s="11" t="s">
        <v>18</v>
      </c>
      <c r="C15" s="12" t="s">
        <v>20</v>
      </c>
      <c r="D15" s="25">
        <v>44476</v>
      </c>
      <c r="E15" s="12" t="s">
        <v>19</v>
      </c>
      <c r="F15" s="18">
        <f>623.79+113.29+623.79+113.29+4422.48+2948.32+4422.48+6633.72+3685.4+737.08</f>
        <v>24323.640000000003</v>
      </c>
    </row>
    <row r="16" spans="1:28" s="24" customFormat="1" ht="30">
      <c r="A16" s="10">
        <v>13</v>
      </c>
      <c r="B16" s="11" t="s">
        <v>12</v>
      </c>
      <c r="C16" s="12" t="s">
        <v>17</v>
      </c>
      <c r="D16" s="25">
        <v>44481</v>
      </c>
      <c r="E16" s="12" t="s">
        <v>15</v>
      </c>
      <c r="F16" s="18">
        <v>1800</v>
      </c>
    </row>
    <row r="17" spans="1:6" s="24" customFormat="1" ht="30">
      <c r="A17" s="10">
        <v>14</v>
      </c>
      <c r="B17" s="11" t="s">
        <v>43</v>
      </c>
      <c r="C17" s="12" t="s">
        <v>115</v>
      </c>
      <c r="D17" s="25">
        <v>44553</v>
      </c>
      <c r="E17" s="12" t="s">
        <v>380</v>
      </c>
      <c r="F17" s="18">
        <f>2959+246.27+44.73+1481.02+268.98</f>
        <v>5000</v>
      </c>
    </row>
    <row r="18" spans="1:6" s="24" customFormat="1" ht="30">
      <c r="A18" s="10">
        <v>15</v>
      </c>
      <c r="B18" s="11" t="s">
        <v>155</v>
      </c>
      <c r="C18" s="12" t="s">
        <v>169</v>
      </c>
      <c r="D18" s="25">
        <v>44579</v>
      </c>
      <c r="E18" s="12" t="s">
        <v>160</v>
      </c>
      <c r="F18" s="18">
        <f>2100</f>
        <v>2100</v>
      </c>
    </row>
    <row r="19" spans="1:6" s="24" customFormat="1" ht="30">
      <c r="A19" s="10">
        <v>16</v>
      </c>
      <c r="B19" s="11" t="s">
        <v>154</v>
      </c>
      <c r="C19" s="12" t="s">
        <v>169</v>
      </c>
      <c r="D19" s="25">
        <v>44579</v>
      </c>
      <c r="E19" s="12" t="s">
        <v>161</v>
      </c>
      <c r="F19" s="18">
        <f>1850</f>
        <v>1850</v>
      </c>
    </row>
    <row r="20" spans="1:6" s="24" customFormat="1" ht="30">
      <c r="A20" s="10">
        <v>17</v>
      </c>
      <c r="B20" s="11" t="s">
        <v>54</v>
      </c>
      <c r="C20" s="12" t="s">
        <v>114</v>
      </c>
      <c r="D20" s="25">
        <v>44579</v>
      </c>
      <c r="E20" s="12" t="s">
        <v>80</v>
      </c>
      <c r="F20" s="18">
        <f>3130</f>
        <v>3130</v>
      </c>
    </row>
    <row r="21" spans="1:6" s="24" customFormat="1" ht="60">
      <c r="A21" s="10">
        <v>18</v>
      </c>
      <c r="B21" s="11" t="s">
        <v>26</v>
      </c>
      <c r="C21" s="12" t="s">
        <v>297</v>
      </c>
      <c r="D21" s="25">
        <v>44579</v>
      </c>
      <c r="E21" s="12" t="s">
        <v>29</v>
      </c>
      <c r="F21" s="18">
        <f>949.81+342.05+64.56+118+68.58+425.6+857.2+105.98+943.5+2639.52+475.07+145.34+355.61+320.5+2005.54+76.78+43.9+92.8+158.52+2203.47+89.9+196.98+3825.51+385.73+100.08+4484.69+202.74+1401.03+1397.58</f>
        <v>24476.57</v>
      </c>
    </row>
    <row r="22" spans="1:6" s="24" customFormat="1">
      <c r="A22" s="10">
        <v>19</v>
      </c>
      <c r="B22" s="11" t="s">
        <v>21</v>
      </c>
      <c r="C22" s="12" t="s">
        <v>37</v>
      </c>
      <c r="D22" s="25">
        <v>44581</v>
      </c>
      <c r="E22" s="12" t="s">
        <v>30</v>
      </c>
      <c r="F22" s="18">
        <v>750</v>
      </c>
    </row>
    <row r="23" spans="1:6" s="24" customFormat="1" ht="45">
      <c r="A23" s="10">
        <v>20</v>
      </c>
      <c r="B23" s="11" t="s">
        <v>47</v>
      </c>
      <c r="C23" s="12" t="s">
        <v>113</v>
      </c>
      <c r="D23" s="25">
        <v>44581</v>
      </c>
      <c r="E23" s="12" t="s">
        <v>81</v>
      </c>
      <c r="F23" s="18">
        <f>1400</f>
        <v>1400</v>
      </c>
    </row>
    <row r="24" spans="1:6" s="24" customFormat="1" ht="30">
      <c r="A24" s="10">
        <v>21</v>
      </c>
      <c r="B24" s="11" t="s">
        <v>44</v>
      </c>
      <c r="C24" s="12" t="s">
        <v>116</v>
      </c>
      <c r="D24" s="25">
        <v>44581</v>
      </c>
      <c r="E24" s="12" t="s">
        <v>82</v>
      </c>
      <c r="F24" s="18">
        <f>2030</f>
        <v>2030</v>
      </c>
    </row>
    <row r="25" spans="1:6" s="24" customFormat="1" ht="30">
      <c r="A25" s="10">
        <v>22</v>
      </c>
      <c r="B25" s="11" t="s">
        <v>14</v>
      </c>
      <c r="C25" s="12" t="s">
        <v>10</v>
      </c>
      <c r="D25" s="25">
        <v>44581</v>
      </c>
      <c r="E25" s="12" t="s">
        <v>16</v>
      </c>
      <c r="F25" s="18">
        <f>5213.07</f>
        <v>5213.07</v>
      </c>
    </row>
    <row r="26" spans="1:6" s="24" customFormat="1" ht="30">
      <c r="A26" s="10">
        <v>23</v>
      </c>
      <c r="B26" s="11" t="s">
        <v>23</v>
      </c>
      <c r="C26" s="12" t="s">
        <v>38</v>
      </c>
      <c r="D26" s="25">
        <v>44586</v>
      </c>
      <c r="E26" s="12" t="s">
        <v>31</v>
      </c>
      <c r="F26" s="18">
        <f>423.15+76.85+1434.94+260.61</f>
        <v>2195.5500000000002</v>
      </c>
    </row>
    <row r="27" spans="1:6" s="24" customFormat="1" ht="30">
      <c r="A27" s="10">
        <v>24</v>
      </c>
      <c r="B27" s="11" t="s">
        <v>22</v>
      </c>
      <c r="C27" s="12" t="s">
        <v>39</v>
      </c>
      <c r="D27" s="25">
        <v>44585</v>
      </c>
      <c r="E27" s="12" t="s">
        <v>32</v>
      </c>
      <c r="F27" s="18">
        <f>432+432+288</f>
        <v>1152</v>
      </c>
    </row>
    <row r="28" spans="1:6" s="24" customFormat="1" ht="45">
      <c r="A28" s="10">
        <v>25</v>
      </c>
      <c r="B28" s="11" t="s">
        <v>24</v>
      </c>
      <c r="C28" s="12" t="s">
        <v>40</v>
      </c>
      <c r="D28" s="25">
        <v>44586</v>
      </c>
      <c r="E28" s="12" t="s">
        <v>33</v>
      </c>
      <c r="F28" s="18">
        <f>414.68+75.32</f>
        <v>490</v>
      </c>
    </row>
    <row r="29" spans="1:6" s="24" customFormat="1">
      <c r="A29" s="10">
        <v>26</v>
      </c>
      <c r="B29" s="11" t="s">
        <v>53</v>
      </c>
      <c r="C29" s="12" t="s">
        <v>117</v>
      </c>
      <c r="D29" s="25">
        <v>44592</v>
      </c>
      <c r="E29" s="12" t="s">
        <v>83</v>
      </c>
      <c r="F29" s="18">
        <f>15293.82</f>
        <v>15293.82</v>
      </c>
    </row>
    <row r="30" spans="1:6" s="24" customFormat="1">
      <c r="A30" s="10">
        <v>27</v>
      </c>
      <c r="B30" s="11" t="s">
        <v>79</v>
      </c>
      <c r="C30" s="12" t="s">
        <v>118</v>
      </c>
      <c r="D30" s="25">
        <v>44588</v>
      </c>
      <c r="E30" s="12" t="s">
        <v>84</v>
      </c>
      <c r="F30" s="18">
        <f>380.82+69.17</f>
        <v>449.99</v>
      </c>
    </row>
    <row r="31" spans="1:6" s="24" customFormat="1" ht="30">
      <c r="A31" s="10">
        <v>28</v>
      </c>
      <c r="B31" s="11" t="s">
        <v>27</v>
      </c>
      <c r="C31" s="12" t="s">
        <v>194</v>
      </c>
      <c r="D31" s="25">
        <v>44596</v>
      </c>
      <c r="E31" s="12" t="s">
        <v>34</v>
      </c>
      <c r="F31" s="18">
        <f>143.97+399.8</f>
        <v>543.77</v>
      </c>
    </row>
    <row r="32" spans="1:6" s="24" customFormat="1" ht="150">
      <c r="A32" s="10">
        <v>29</v>
      </c>
      <c r="B32" s="11" t="s">
        <v>28</v>
      </c>
      <c r="C32" s="12" t="s">
        <v>413</v>
      </c>
      <c r="D32" s="25">
        <v>44596</v>
      </c>
      <c r="E32" s="12" t="s">
        <v>35</v>
      </c>
      <c r="F32" s="18">
        <f>119.95+141.34+244.91+167.58+167.58+5.99+992+145.98+77.94+477+110.99+129.99+47.31+41.98+32.98+286.59+56.94+403.94+47.23+1115.61+1769.99+190.15+676+200+23.92+118.08+223.16+200+107.88+1882.46+531.9+1164.87+300+172.49+129+1000.9</f>
        <v>13504.629999999997</v>
      </c>
    </row>
    <row r="33" spans="1:6" s="24" customFormat="1" ht="30">
      <c r="A33" s="10">
        <v>30</v>
      </c>
      <c r="B33" s="11" t="s">
        <v>60</v>
      </c>
      <c r="C33" s="12" t="s">
        <v>348</v>
      </c>
      <c r="D33" s="25">
        <v>44596</v>
      </c>
      <c r="E33" s="12" t="s">
        <v>85</v>
      </c>
      <c r="F33" s="18">
        <f>128+56.69+312.38</f>
        <v>497.07</v>
      </c>
    </row>
    <row r="34" spans="1:6" s="24" customFormat="1" ht="30">
      <c r="A34" s="10">
        <v>31</v>
      </c>
      <c r="B34" s="11" t="s">
        <v>25</v>
      </c>
      <c r="C34" s="12" t="s">
        <v>41</v>
      </c>
      <c r="D34" s="25">
        <v>44596</v>
      </c>
      <c r="E34" s="12" t="s">
        <v>36</v>
      </c>
      <c r="F34" s="18">
        <f>3822.84</f>
        <v>3822.84</v>
      </c>
    </row>
    <row r="35" spans="1:6" s="24" customFormat="1" ht="45">
      <c r="A35" s="10">
        <v>32</v>
      </c>
      <c r="B35" s="11" t="s">
        <v>59</v>
      </c>
      <c r="C35" s="12" t="s">
        <v>119</v>
      </c>
      <c r="D35" s="25">
        <v>44601</v>
      </c>
      <c r="E35" s="12" t="s">
        <v>86</v>
      </c>
      <c r="F35" s="18">
        <f>59038.77</f>
        <v>59038.77</v>
      </c>
    </row>
    <row r="36" spans="1:6" s="24" customFormat="1" ht="30">
      <c r="A36" s="10">
        <v>33</v>
      </c>
      <c r="B36" s="11" t="s">
        <v>51</v>
      </c>
      <c r="C36" s="12" t="s">
        <v>120</v>
      </c>
      <c r="D36" s="25">
        <v>44601</v>
      </c>
      <c r="E36" s="12" t="s">
        <v>87</v>
      </c>
      <c r="F36" s="18">
        <f>1300</f>
        <v>1300</v>
      </c>
    </row>
    <row r="37" spans="1:6" s="24" customFormat="1" ht="45">
      <c r="A37" s="10">
        <v>34</v>
      </c>
      <c r="B37" s="11" t="s">
        <v>52</v>
      </c>
      <c r="C37" s="12" t="s">
        <v>121</v>
      </c>
      <c r="D37" s="25">
        <v>44601</v>
      </c>
      <c r="E37" s="12" t="s">
        <v>88</v>
      </c>
      <c r="F37" s="18">
        <f>3961.5</f>
        <v>3961.5</v>
      </c>
    </row>
    <row r="38" spans="1:6" s="24" customFormat="1">
      <c r="A38" s="10">
        <v>35</v>
      </c>
      <c r="B38" s="11" t="s">
        <v>50</v>
      </c>
      <c r="C38" s="12" t="s">
        <v>122</v>
      </c>
      <c r="D38" s="25">
        <v>44600</v>
      </c>
      <c r="E38" s="12" t="s">
        <v>89</v>
      </c>
      <c r="F38" s="18">
        <f>11313.54</f>
        <v>11313.54</v>
      </c>
    </row>
    <row r="39" spans="1:6" s="24" customFormat="1" ht="30">
      <c r="A39" s="10">
        <v>36</v>
      </c>
      <c r="B39" s="11" t="s">
        <v>45</v>
      </c>
      <c r="C39" s="12" t="s">
        <v>123</v>
      </c>
      <c r="D39" s="25">
        <v>44600</v>
      </c>
      <c r="E39" s="12" t="s">
        <v>90</v>
      </c>
      <c r="F39" s="18">
        <f>5355</f>
        <v>5355</v>
      </c>
    </row>
    <row r="40" spans="1:6" s="24" customFormat="1">
      <c r="A40" s="10">
        <v>37</v>
      </c>
      <c r="B40" s="11" t="s">
        <v>46</v>
      </c>
      <c r="C40" s="12" t="s">
        <v>124</v>
      </c>
      <c r="D40" s="25">
        <v>44601</v>
      </c>
      <c r="E40" s="12" t="s">
        <v>91</v>
      </c>
      <c r="F40" s="18">
        <f>3686</f>
        <v>3686</v>
      </c>
    </row>
    <row r="41" spans="1:6" s="24" customFormat="1" ht="30">
      <c r="A41" s="10">
        <v>38</v>
      </c>
      <c r="B41" s="11" t="s">
        <v>42</v>
      </c>
      <c r="C41" s="12" t="s">
        <v>125</v>
      </c>
      <c r="D41" s="25">
        <v>44601</v>
      </c>
      <c r="E41" s="12" t="s">
        <v>92</v>
      </c>
      <c r="F41" s="18">
        <f>390</f>
        <v>390</v>
      </c>
    </row>
    <row r="42" spans="1:6" s="24" customFormat="1" ht="30">
      <c r="A42" s="10">
        <v>39</v>
      </c>
      <c r="B42" s="11" t="s">
        <v>48</v>
      </c>
      <c r="C42" s="12" t="s">
        <v>126</v>
      </c>
      <c r="D42" s="25">
        <v>44606</v>
      </c>
      <c r="E42" s="12" t="s">
        <v>93</v>
      </c>
      <c r="F42" s="18">
        <v>4470</v>
      </c>
    </row>
    <row r="43" spans="1:6" s="24" customFormat="1">
      <c r="A43" s="10">
        <v>40</v>
      </c>
      <c r="B43" s="11" t="s">
        <v>67</v>
      </c>
      <c r="C43" s="12" t="s">
        <v>127</v>
      </c>
      <c r="D43" s="25">
        <v>44606</v>
      </c>
      <c r="E43" s="12" t="s">
        <v>94</v>
      </c>
      <c r="F43" s="18">
        <f>17373.75</f>
        <v>17373.75</v>
      </c>
    </row>
    <row r="44" spans="1:6" s="24" customFormat="1" ht="30">
      <c r="A44" s="10">
        <v>41</v>
      </c>
      <c r="B44" s="11" t="s">
        <v>58</v>
      </c>
      <c r="C44" s="12" t="s">
        <v>128</v>
      </c>
      <c r="D44" s="25">
        <v>44602</v>
      </c>
      <c r="E44" s="12" t="s">
        <v>95</v>
      </c>
      <c r="F44" s="18">
        <f>5710</f>
        <v>5710</v>
      </c>
    </row>
    <row r="45" spans="1:6" s="24" customFormat="1" ht="30">
      <c r="A45" s="10">
        <v>42</v>
      </c>
      <c r="B45" s="11" t="s">
        <v>71</v>
      </c>
      <c r="C45" s="12" t="s">
        <v>129</v>
      </c>
      <c r="D45" s="25">
        <v>44606</v>
      </c>
      <c r="E45" s="12" t="s">
        <v>96</v>
      </c>
      <c r="F45" s="18">
        <f>8281</f>
        <v>8281</v>
      </c>
    </row>
    <row r="46" spans="1:6" s="24" customFormat="1">
      <c r="A46" s="10">
        <v>43</v>
      </c>
      <c r="B46" s="11" t="s">
        <v>149</v>
      </c>
      <c r="C46" s="12" t="s">
        <v>130</v>
      </c>
      <c r="D46" s="25">
        <v>44606</v>
      </c>
      <c r="E46" s="12" t="s">
        <v>162</v>
      </c>
      <c r="F46" s="18">
        <f>1990</f>
        <v>1990</v>
      </c>
    </row>
    <row r="47" spans="1:6" s="24" customFormat="1" ht="30">
      <c r="A47" s="10">
        <v>44</v>
      </c>
      <c r="B47" s="11" t="s">
        <v>61</v>
      </c>
      <c r="C47" s="12" t="s">
        <v>130</v>
      </c>
      <c r="D47" s="25">
        <v>44609</v>
      </c>
      <c r="E47" s="12" t="s">
        <v>97</v>
      </c>
      <c r="F47" s="18">
        <f>3890-499.32-90.68-499.32-90.68</f>
        <v>2710</v>
      </c>
    </row>
    <row r="48" spans="1:6" s="24" customFormat="1">
      <c r="A48" s="10">
        <v>45</v>
      </c>
      <c r="B48" s="11" t="s">
        <v>73</v>
      </c>
      <c r="C48" s="12" t="s">
        <v>10</v>
      </c>
      <c r="D48" s="25">
        <v>44609</v>
      </c>
      <c r="E48" s="12" t="s">
        <v>98</v>
      </c>
      <c r="F48" s="18">
        <f>574.07+286.38+52.02+143.19+26.01+127.53+23.17+1970.51+357.88+16.78+3.05+1650.81+299.82+148.35+26.95+197.68+1088.4+66.33+365.2</f>
        <v>7424.13</v>
      </c>
    </row>
    <row r="49" spans="1:6" s="24" customFormat="1">
      <c r="A49" s="10">
        <v>46</v>
      </c>
      <c r="B49" s="11" t="s">
        <v>235</v>
      </c>
      <c r="C49" s="12" t="s">
        <v>262</v>
      </c>
      <c r="D49" s="25">
        <v>44697</v>
      </c>
      <c r="E49" s="12" t="s">
        <v>237</v>
      </c>
      <c r="F49" s="18">
        <v>3000</v>
      </c>
    </row>
    <row r="50" spans="1:6" s="24" customFormat="1" ht="30">
      <c r="A50" s="10">
        <v>47</v>
      </c>
      <c r="B50" s="11" t="s">
        <v>76</v>
      </c>
      <c r="C50" s="12" t="s">
        <v>131</v>
      </c>
      <c r="D50" s="25">
        <v>44609</v>
      </c>
      <c r="E50" s="12" t="s">
        <v>99</v>
      </c>
      <c r="F50" s="18">
        <f>53.1+28.5+28.5+28.5+28.5+171</f>
        <v>338.1</v>
      </c>
    </row>
    <row r="51" spans="1:6" s="24" customFormat="1" ht="30">
      <c r="A51" s="10">
        <v>48</v>
      </c>
      <c r="B51" s="11" t="s">
        <v>180</v>
      </c>
      <c r="C51" s="12" t="s">
        <v>195</v>
      </c>
      <c r="D51" s="25">
        <v>44615</v>
      </c>
      <c r="E51" s="12" t="s">
        <v>196</v>
      </c>
      <c r="F51" s="18">
        <f>890</f>
        <v>890</v>
      </c>
    </row>
    <row r="52" spans="1:6" s="24" customFormat="1" ht="30">
      <c r="A52" s="10">
        <v>49</v>
      </c>
      <c r="B52" s="11" t="s">
        <v>385</v>
      </c>
      <c r="C52" s="12" t="s">
        <v>195</v>
      </c>
      <c r="D52" s="25">
        <v>44615</v>
      </c>
      <c r="E52" s="12" t="s">
        <v>395</v>
      </c>
      <c r="F52" s="18">
        <v>1090</v>
      </c>
    </row>
    <row r="53" spans="1:6" s="24" customFormat="1">
      <c r="A53" s="10">
        <v>50</v>
      </c>
      <c r="B53" s="11" t="s">
        <v>386</v>
      </c>
      <c r="C53" s="12" t="s">
        <v>195</v>
      </c>
      <c r="D53" s="25">
        <v>44615</v>
      </c>
      <c r="E53" s="12" t="s">
        <v>396</v>
      </c>
      <c r="F53" s="18">
        <v>450</v>
      </c>
    </row>
    <row r="54" spans="1:6" s="24" customFormat="1" ht="45">
      <c r="A54" s="10">
        <v>51</v>
      </c>
      <c r="B54" s="11" t="s">
        <v>49</v>
      </c>
      <c r="C54" s="12" t="s">
        <v>40</v>
      </c>
      <c r="D54" s="25">
        <v>44631</v>
      </c>
      <c r="E54" s="12" t="s">
        <v>100</v>
      </c>
      <c r="F54" s="18">
        <f>4140</f>
        <v>4140</v>
      </c>
    </row>
    <row r="55" spans="1:6" s="24" customFormat="1" ht="30">
      <c r="A55" s="10">
        <v>52</v>
      </c>
      <c r="B55" s="11" t="s">
        <v>55</v>
      </c>
      <c r="C55" s="12" t="s">
        <v>132</v>
      </c>
      <c r="D55" s="25">
        <v>44614</v>
      </c>
      <c r="E55" s="12" t="s">
        <v>101</v>
      </c>
      <c r="F55" s="18">
        <f>1400</f>
        <v>1400</v>
      </c>
    </row>
    <row r="56" spans="1:6" s="24" customFormat="1" ht="30">
      <c r="A56" s="10">
        <v>53</v>
      </c>
      <c r="B56" s="11" t="s">
        <v>147</v>
      </c>
      <c r="C56" s="12" t="s">
        <v>132</v>
      </c>
      <c r="D56" s="25">
        <v>44614</v>
      </c>
      <c r="E56" s="12" t="s">
        <v>163</v>
      </c>
      <c r="F56" s="18">
        <f>1523.34+276.66</f>
        <v>1800</v>
      </c>
    </row>
    <row r="57" spans="1:6" s="24" customFormat="1" ht="30">
      <c r="A57" s="10">
        <v>54</v>
      </c>
      <c r="B57" s="11" t="s">
        <v>56</v>
      </c>
      <c r="C57" s="12" t="s">
        <v>133</v>
      </c>
      <c r="D57" s="25">
        <v>44617</v>
      </c>
      <c r="E57" s="12" t="s">
        <v>102</v>
      </c>
      <c r="F57" s="18">
        <f>3382</f>
        <v>3382</v>
      </c>
    </row>
    <row r="58" spans="1:6" s="24" customFormat="1" ht="30">
      <c r="A58" s="10">
        <v>55</v>
      </c>
      <c r="B58" s="11" t="s">
        <v>57</v>
      </c>
      <c r="C58" s="12" t="s">
        <v>270</v>
      </c>
      <c r="D58" s="25">
        <v>44614</v>
      </c>
      <c r="E58" s="12" t="s">
        <v>103</v>
      </c>
      <c r="F58" s="18">
        <f>8473.47+199.1+3270+3605.9+753.03+1141.64+645+1873.3+319+1334.88+887</f>
        <v>22502.32</v>
      </c>
    </row>
    <row r="59" spans="1:6" s="24" customFormat="1" ht="30">
      <c r="A59" s="10">
        <v>56</v>
      </c>
      <c r="B59" s="11" t="s">
        <v>222</v>
      </c>
      <c r="C59" s="12" t="s">
        <v>121</v>
      </c>
      <c r="D59" s="25">
        <v>44627</v>
      </c>
      <c r="E59" s="12" t="s">
        <v>238</v>
      </c>
      <c r="F59" s="18">
        <f>690</f>
        <v>690</v>
      </c>
    </row>
    <row r="60" spans="1:6" s="24" customFormat="1" ht="45">
      <c r="A60" s="10">
        <v>57</v>
      </c>
      <c r="B60" s="11" t="s">
        <v>65</v>
      </c>
      <c r="C60" s="12" t="s">
        <v>134</v>
      </c>
      <c r="D60" s="25">
        <v>44628</v>
      </c>
      <c r="E60" s="12" t="s">
        <v>104</v>
      </c>
      <c r="F60" s="18">
        <f>4600</f>
        <v>4600</v>
      </c>
    </row>
    <row r="61" spans="1:6" s="24" customFormat="1" ht="45">
      <c r="A61" s="10">
        <v>58</v>
      </c>
      <c r="B61" s="11" t="s">
        <v>63</v>
      </c>
      <c r="C61" s="12" t="s">
        <v>135</v>
      </c>
      <c r="D61" s="25">
        <v>44628</v>
      </c>
      <c r="E61" s="12" t="s">
        <v>105</v>
      </c>
      <c r="F61" s="18">
        <f>999</f>
        <v>999</v>
      </c>
    </row>
    <row r="62" spans="1:6" s="24" customFormat="1" ht="45">
      <c r="A62" s="10">
        <v>59</v>
      </c>
      <c r="B62" s="11" t="s">
        <v>140</v>
      </c>
      <c r="C62" s="12" t="s">
        <v>141</v>
      </c>
      <c r="D62" s="25">
        <v>44628</v>
      </c>
      <c r="E62" s="12" t="s">
        <v>142</v>
      </c>
      <c r="F62" s="18">
        <f>4760</f>
        <v>4760</v>
      </c>
    </row>
    <row r="63" spans="1:6" s="24" customFormat="1">
      <c r="A63" s="10">
        <v>60</v>
      </c>
      <c r="B63" s="11" t="s">
        <v>78</v>
      </c>
      <c r="C63" s="12" t="s">
        <v>136</v>
      </c>
      <c r="D63" s="25">
        <v>44634</v>
      </c>
      <c r="E63" s="12" t="s">
        <v>106</v>
      </c>
      <c r="F63" s="18">
        <f>1320</f>
        <v>1320</v>
      </c>
    </row>
    <row r="64" spans="1:6" s="24" customFormat="1" ht="30">
      <c r="A64" s="10">
        <v>61</v>
      </c>
      <c r="B64" s="11" t="s">
        <v>157</v>
      </c>
      <c r="C64" s="12" t="s">
        <v>170</v>
      </c>
      <c r="D64" s="25">
        <v>44637</v>
      </c>
      <c r="E64" s="12" t="s">
        <v>164</v>
      </c>
      <c r="F64" s="18">
        <f>2700+7830</f>
        <v>10530</v>
      </c>
    </row>
    <row r="65" spans="1:6" s="24" customFormat="1" ht="45">
      <c r="A65" s="10">
        <v>62</v>
      </c>
      <c r="B65" s="11" t="s">
        <v>70</v>
      </c>
      <c r="C65" s="12" t="s">
        <v>449</v>
      </c>
      <c r="D65" s="25">
        <v>44638</v>
      </c>
      <c r="E65" s="12" t="s">
        <v>107</v>
      </c>
      <c r="F65" s="18">
        <f>1767.59+110+1164+98+1+80</f>
        <v>3220.59</v>
      </c>
    </row>
    <row r="66" spans="1:6" s="24" customFormat="1">
      <c r="A66" s="10">
        <v>63</v>
      </c>
      <c r="B66" s="11" t="s">
        <v>66</v>
      </c>
      <c r="C66" s="12" t="s">
        <v>137</v>
      </c>
      <c r="D66" s="25">
        <v>44642</v>
      </c>
      <c r="E66" s="12" t="s">
        <v>108</v>
      </c>
      <c r="F66" s="18">
        <f>1870</f>
        <v>1870</v>
      </c>
    </row>
    <row r="67" spans="1:6" s="24" customFormat="1" ht="45">
      <c r="A67" s="10">
        <v>64</v>
      </c>
      <c r="B67" s="11" t="s">
        <v>68</v>
      </c>
      <c r="C67" s="12" t="s">
        <v>138</v>
      </c>
      <c r="D67" s="25">
        <v>44642</v>
      </c>
      <c r="E67" s="12" t="s">
        <v>109</v>
      </c>
      <c r="F67" s="18">
        <f>1198</f>
        <v>1198</v>
      </c>
    </row>
    <row r="68" spans="1:6" s="24" customFormat="1" ht="30">
      <c r="A68" s="10">
        <v>65</v>
      </c>
      <c r="B68" s="11" t="s">
        <v>148</v>
      </c>
      <c r="C68" s="12" t="s">
        <v>171</v>
      </c>
      <c r="D68" s="25">
        <v>44634</v>
      </c>
      <c r="E68" s="12" t="s">
        <v>165</v>
      </c>
      <c r="F68" s="18">
        <f>10400</f>
        <v>10400</v>
      </c>
    </row>
    <row r="69" spans="1:6" s="24" customFormat="1" ht="45">
      <c r="A69" s="10">
        <v>66</v>
      </c>
      <c r="B69" s="11" t="s">
        <v>77</v>
      </c>
      <c r="C69" s="12" t="s">
        <v>139</v>
      </c>
      <c r="D69" s="25">
        <v>44651</v>
      </c>
      <c r="E69" s="12" t="s">
        <v>110</v>
      </c>
      <c r="F69" s="18">
        <f>5902.77</f>
        <v>5902.77</v>
      </c>
    </row>
    <row r="70" spans="1:6" s="24" customFormat="1" ht="45">
      <c r="A70" s="10">
        <v>67</v>
      </c>
      <c r="B70" s="11" t="s">
        <v>72</v>
      </c>
      <c r="C70" s="12" t="s">
        <v>121</v>
      </c>
      <c r="D70" s="25">
        <v>44648</v>
      </c>
      <c r="E70" s="12" t="s">
        <v>111</v>
      </c>
      <c r="F70" s="18">
        <f>4902</f>
        <v>4902</v>
      </c>
    </row>
    <row r="71" spans="1:6" s="24" customFormat="1" ht="30">
      <c r="A71" s="10">
        <v>68</v>
      </c>
      <c r="B71" s="11" t="s">
        <v>74</v>
      </c>
      <c r="C71" s="12" t="s">
        <v>135</v>
      </c>
      <c r="D71" s="25">
        <v>44649</v>
      </c>
      <c r="E71" s="12" t="s">
        <v>112</v>
      </c>
      <c r="F71" s="18">
        <f>3996</f>
        <v>3996</v>
      </c>
    </row>
    <row r="72" spans="1:6" s="24" customFormat="1" ht="45">
      <c r="A72" s="10">
        <v>69</v>
      </c>
      <c r="B72" s="11" t="s">
        <v>150</v>
      </c>
      <c r="C72" s="12" t="s">
        <v>39</v>
      </c>
      <c r="D72" s="25">
        <v>44650</v>
      </c>
      <c r="E72" s="12" t="s">
        <v>166</v>
      </c>
      <c r="F72" s="18">
        <f>13680</f>
        <v>13680</v>
      </c>
    </row>
    <row r="73" spans="1:6" s="24" customFormat="1" ht="75">
      <c r="A73" s="10">
        <v>70</v>
      </c>
      <c r="B73" s="11" t="s">
        <v>224</v>
      </c>
      <c r="C73" s="12" t="s">
        <v>349</v>
      </c>
      <c r="D73" s="25">
        <v>44651</v>
      </c>
      <c r="E73" s="12" t="s">
        <v>239</v>
      </c>
      <c r="F73" s="18">
        <f>101+101+35+46.75+27.5+29+41+41+48.8+1+126.5+108.8+56+1</f>
        <v>764.34999999999991</v>
      </c>
    </row>
    <row r="74" spans="1:6" s="24" customFormat="1" ht="30">
      <c r="A74" s="10">
        <v>71</v>
      </c>
      <c r="B74" s="11" t="s">
        <v>236</v>
      </c>
      <c r="C74" s="12" t="s">
        <v>263</v>
      </c>
      <c r="D74" s="25">
        <v>44655</v>
      </c>
      <c r="E74" s="12" t="s">
        <v>240</v>
      </c>
      <c r="F74" s="18">
        <v>1174.67</v>
      </c>
    </row>
    <row r="75" spans="1:6" s="24" customFormat="1" ht="30">
      <c r="A75" s="10">
        <v>72</v>
      </c>
      <c r="B75" s="11" t="s">
        <v>283</v>
      </c>
      <c r="C75" s="12" t="s">
        <v>298</v>
      </c>
      <c r="D75" s="25">
        <v>44655</v>
      </c>
      <c r="E75" s="12" t="s">
        <v>300</v>
      </c>
      <c r="F75" s="18">
        <f>2531.74</f>
        <v>2531.7399999999998</v>
      </c>
    </row>
    <row r="76" spans="1:6" s="24" customFormat="1" ht="30">
      <c r="A76" s="10">
        <v>73</v>
      </c>
      <c r="B76" s="11" t="s">
        <v>225</v>
      </c>
      <c r="C76" s="12" t="s">
        <v>132</v>
      </c>
      <c r="D76" s="25">
        <v>44658</v>
      </c>
      <c r="E76" s="12" t="s">
        <v>241</v>
      </c>
      <c r="F76" s="18">
        <v>1400</v>
      </c>
    </row>
    <row r="77" spans="1:6" s="24" customFormat="1" ht="30">
      <c r="A77" s="10">
        <v>74</v>
      </c>
      <c r="B77" s="11" t="s">
        <v>233</v>
      </c>
      <c r="C77" s="12" t="s">
        <v>132</v>
      </c>
      <c r="D77" s="25">
        <v>44627</v>
      </c>
      <c r="E77" s="12" t="s">
        <v>242</v>
      </c>
      <c r="F77" s="18">
        <v>2400</v>
      </c>
    </row>
    <row r="78" spans="1:6" s="24" customFormat="1" ht="30">
      <c r="A78" s="10">
        <v>75</v>
      </c>
      <c r="B78" s="11" t="s">
        <v>153</v>
      </c>
      <c r="C78" s="12" t="s">
        <v>126</v>
      </c>
      <c r="D78" s="25">
        <v>44663</v>
      </c>
      <c r="E78" s="12" t="s">
        <v>167</v>
      </c>
      <c r="F78" s="18">
        <f>9160</f>
        <v>9160</v>
      </c>
    </row>
    <row r="79" spans="1:6" s="24" customFormat="1" ht="45">
      <c r="A79" s="10">
        <v>76</v>
      </c>
      <c r="B79" s="11" t="s">
        <v>182</v>
      </c>
      <c r="C79" s="12" t="s">
        <v>197</v>
      </c>
      <c r="D79" s="25">
        <v>44664</v>
      </c>
      <c r="E79" s="12" t="s">
        <v>198</v>
      </c>
      <c r="F79" s="18">
        <v>349</v>
      </c>
    </row>
    <row r="80" spans="1:6" s="24" customFormat="1" ht="30">
      <c r="A80" s="10">
        <v>77</v>
      </c>
      <c r="B80" s="11" t="s">
        <v>187</v>
      </c>
      <c r="C80" s="12" t="s">
        <v>120</v>
      </c>
      <c r="D80" s="25">
        <v>44671</v>
      </c>
      <c r="E80" s="12" t="s">
        <v>199</v>
      </c>
      <c r="F80" s="18">
        <v>1100</v>
      </c>
    </row>
    <row r="81" spans="1:6" s="24" customFormat="1" ht="30">
      <c r="A81" s="10">
        <v>78</v>
      </c>
      <c r="B81" s="11" t="s">
        <v>335</v>
      </c>
      <c r="C81" s="12" t="s">
        <v>350</v>
      </c>
      <c r="D81" s="25">
        <v>44672</v>
      </c>
      <c r="E81" s="12" t="s">
        <v>351</v>
      </c>
      <c r="F81" s="18">
        <f>287.33+16412.01+2980.66</f>
        <v>19680</v>
      </c>
    </row>
    <row r="82" spans="1:6" s="24" customFormat="1" ht="60">
      <c r="A82" s="10">
        <v>79</v>
      </c>
      <c r="B82" s="11" t="s">
        <v>279</v>
      </c>
      <c r="C82" s="12" t="s">
        <v>134</v>
      </c>
      <c r="D82" s="25">
        <v>44676</v>
      </c>
      <c r="E82" s="12" t="s">
        <v>299</v>
      </c>
      <c r="F82" s="18">
        <f>2380</f>
        <v>2380</v>
      </c>
    </row>
    <row r="83" spans="1:6" s="24" customFormat="1" ht="30">
      <c r="A83" s="10">
        <v>80</v>
      </c>
      <c r="B83" s="11" t="s">
        <v>179</v>
      </c>
      <c r="C83" s="12" t="s">
        <v>200</v>
      </c>
      <c r="D83" s="25">
        <v>44676</v>
      </c>
      <c r="E83" s="12" t="s">
        <v>201</v>
      </c>
      <c r="F83" s="18">
        <v>8850</v>
      </c>
    </row>
    <row r="84" spans="1:6" s="24" customFormat="1" ht="30">
      <c r="A84" s="10">
        <v>81</v>
      </c>
      <c r="B84" s="11" t="s">
        <v>190</v>
      </c>
      <c r="C84" s="12" t="s">
        <v>200</v>
      </c>
      <c r="D84" s="25">
        <v>44676</v>
      </c>
      <c r="E84" s="12" t="s">
        <v>202</v>
      </c>
      <c r="F84" s="18">
        <v>8750</v>
      </c>
    </row>
    <row r="85" spans="1:6" s="24" customFormat="1" ht="30">
      <c r="A85" s="10">
        <v>82</v>
      </c>
      <c r="B85" s="11" t="s">
        <v>156</v>
      </c>
      <c r="C85" s="12" t="s">
        <v>172</v>
      </c>
      <c r="D85" s="25">
        <v>44676</v>
      </c>
      <c r="E85" s="12" t="s">
        <v>168</v>
      </c>
      <c r="F85" s="18">
        <f>2391</f>
        <v>2391</v>
      </c>
    </row>
    <row r="86" spans="1:6" s="24" customFormat="1">
      <c r="A86" s="10">
        <v>83</v>
      </c>
      <c r="B86" s="11" t="s">
        <v>423</v>
      </c>
      <c r="C86" s="12" t="s">
        <v>450</v>
      </c>
      <c r="D86" s="25">
        <v>44685</v>
      </c>
      <c r="E86" s="12" t="s">
        <v>397</v>
      </c>
      <c r="F86" s="18">
        <f>579.71+105.29+660.11+119.89+1299.08+235.92</f>
        <v>3000</v>
      </c>
    </row>
    <row r="87" spans="1:6" s="24" customFormat="1">
      <c r="A87" s="10">
        <v>84</v>
      </c>
      <c r="B87" s="11" t="s">
        <v>151</v>
      </c>
      <c r="C87" s="12" t="s">
        <v>173</v>
      </c>
      <c r="D87" s="25">
        <v>44685</v>
      </c>
      <c r="E87" s="12" t="s">
        <v>397</v>
      </c>
      <c r="F87" s="18">
        <f>3000+1692.6+307.4</f>
        <v>5000</v>
      </c>
    </row>
    <row r="88" spans="1:6" s="24" customFormat="1">
      <c r="A88" s="10">
        <v>85</v>
      </c>
      <c r="B88" s="11" t="s">
        <v>388</v>
      </c>
      <c r="C88" s="12" t="s">
        <v>414</v>
      </c>
      <c r="D88" s="25">
        <v>44697</v>
      </c>
      <c r="E88" s="12" t="s">
        <v>397</v>
      </c>
      <c r="F88" s="18">
        <f>330.05+59.95</f>
        <v>390</v>
      </c>
    </row>
    <row r="89" spans="1:6" s="24" customFormat="1">
      <c r="A89" s="10">
        <v>86</v>
      </c>
      <c r="B89" s="11" t="s">
        <v>232</v>
      </c>
      <c r="C89" s="12" t="s">
        <v>130</v>
      </c>
      <c r="D89" s="25">
        <v>44691</v>
      </c>
      <c r="E89" s="12" t="s">
        <v>243</v>
      </c>
      <c r="F89" s="18">
        <v>2890</v>
      </c>
    </row>
    <row r="90" spans="1:6" s="24" customFormat="1" ht="30">
      <c r="A90" s="10">
        <v>87</v>
      </c>
      <c r="B90" s="11" t="s">
        <v>186</v>
      </c>
      <c r="C90" s="12" t="s">
        <v>197</v>
      </c>
      <c r="D90" s="25">
        <v>44692</v>
      </c>
      <c r="E90" s="12" t="s">
        <v>203</v>
      </c>
      <c r="F90" s="18">
        <v>718</v>
      </c>
    </row>
    <row r="91" spans="1:6" s="24" customFormat="1" ht="45">
      <c r="A91" s="10">
        <v>88</v>
      </c>
      <c r="B91" s="11" t="s">
        <v>191</v>
      </c>
      <c r="C91" s="12" t="s">
        <v>204</v>
      </c>
      <c r="D91" s="25">
        <v>44697</v>
      </c>
      <c r="E91" s="12" t="s">
        <v>205</v>
      </c>
      <c r="F91" s="18">
        <v>790</v>
      </c>
    </row>
    <row r="92" spans="1:6" s="24" customFormat="1" ht="30">
      <c r="A92" s="10">
        <v>89</v>
      </c>
      <c r="B92" s="11" t="s">
        <v>192</v>
      </c>
      <c r="C92" s="12" t="s">
        <v>121</v>
      </c>
      <c r="D92" s="25">
        <v>44697</v>
      </c>
      <c r="E92" s="12" t="s">
        <v>206</v>
      </c>
      <c r="F92" s="18">
        <v>1290</v>
      </c>
    </row>
    <row r="93" spans="1:6" s="24" customFormat="1" ht="30">
      <c r="A93" s="10">
        <v>90</v>
      </c>
      <c r="B93" s="11" t="s">
        <v>188</v>
      </c>
      <c r="C93" s="12" t="s">
        <v>114</v>
      </c>
      <c r="D93" s="25">
        <v>44699</v>
      </c>
      <c r="E93" s="12" t="s">
        <v>207</v>
      </c>
      <c r="F93" s="18">
        <v>4200</v>
      </c>
    </row>
    <row r="94" spans="1:6" s="24" customFormat="1" ht="30">
      <c r="A94" s="10">
        <v>91</v>
      </c>
      <c r="B94" s="11" t="s">
        <v>230</v>
      </c>
      <c r="C94" s="12" t="s">
        <v>245</v>
      </c>
      <c r="D94" s="25">
        <v>44699</v>
      </c>
      <c r="E94" s="12" t="s">
        <v>244</v>
      </c>
      <c r="F94" s="18">
        <v>18000</v>
      </c>
    </row>
    <row r="95" spans="1:6" s="24" customFormat="1" ht="30">
      <c r="A95" s="10">
        <v>92</v>
      </c>
      <c r="B95" s="11" t="s">
        <v>183</v>
      </c>
      <c r="C95" s="12" t="s">
        <v>208</v>
      </c>
      <c r="D95" s="25">
        <v>44700</v>
      </c>
      <c r="E95" s="12" t="s">
        <v>209</v>
      </c>
      <c r="F95" s="18">
        <v>19200</v>
      </c>
    </row>
    <row r="96" spans="1:6" s="24" customFormat="1" ht="30">
      <c r="A96" s="10">
        <v>93</v>
      </c>
      <c r="B96" s="11" t="s">
        <v>184</v>
      </c>
      <c r="C96" s="12" t="s">
        <v>134</v>
      </c>
      <c r="D96" s="25">
        <v>44701</v>
      </c>
      <c r="E96" s="12" t="s">
        <v>210</v>
      </c>
      <c r="F96" s="18">
        <v>8092</v>
      </c>
    </row>
    <row r="97" spans="1:6" s="24" customFormat="1" ht="45">
      <c r="A97" s="10">
        <v>94</v>
      </c>
      <c r="B97" s="11" t="s">
        <v>185</v>
      </c>
      <c r="C97" s="12" t="s">
        <v>197</v>
      </c>
      <c r="D97" s="25">
        <v>44704</v>
      </c>
      <c r="E97" s="12" t="s">
        <v>211</v>
      </c>
      <c r="F97" s="18">
        <v>1480</v>
      </c>
    </row>
    <row r="98" spans="1:6" s="24" customFormat="1" ht="30">
      <c r="A98" s="10">
        <v>95</v>
      </c>
      <c r="B98" s="11" t="s">
        <v>326</v>
      </c>
      <c r="C98" s="12" t="s">
        <v>114</v>
      </c>
      <c r="D98" s="25">
        <v>44704</v>
      </c>
      <c r="E98" s="12" t="s">
        <v>352</v>
      </c>
      <c r="F98" s="18">
        <f>930.93+169.07</f>
        <v>1100</v>
      </c>
    </row>
    <row r="99" spans="1:6" s="24" customFormat="1" ht="30">
      <c r="A99" s="10">
        <v>96</v>
      </c>
      <c r="B99" s="11" t="s">
        <v>193</v>
      </c>
      <c r="C99" s="12" t="s">
        <v>212</v>
      </c>
      <c r="D99" s="25">
        <v>44705</v>
      </c>
      <c r="E99" s="12" t="s">
        <v>213</v>
      </c>
      <c r="F99" s="18">
        <v>610</v>
      </c>
    </row>
    <row r="100" spans="1:6" s="24" customFormat="1" ht="30">
      <c r="A100" s="10">
        <v>97</v>
      </c>
      <c r="B100" s="11" t="s">
        <v>178</v>
      </c>
      <c r="C100" s="12" t="s">
        <v>214</v>
      </c>
      <c r="D100" s="25">
        <v>44713</v>
      </c>
      <c r="E100" s="12" t="s">
        <v>215</v>
      </c>
      <c r="F100" s="18">
        <v>7669.87</v>
      </c>
    </row>
    <row r="101" spans="1:6" s="24" customFormat="1" ht="30">
      <c r="A101" s="10">
        <v>98</v>
      </c>
      <c r="B101" s="11" t="s">
        <v>181</v>
      </c>
      <c r="C101" s="12" t="s">
        <v>216</v>
      </c>
      <c r="D101" s="25">
        <v>44708</v>
      </c>
      <c r="E101" s="12" t="s">
        <v>217</v>
      </c>
      <c r="F101" s="18">
        <v>1347</v>
      </c>
    </row>
    <row r="102" spans="1:6" s="24" customFormat="1" ht="45">
      <c r="A102" s="10">
        <v>99</v>
      </c>
      <c r="B102" s="11" t="s">
        <v>220</v>
      </c>
      <c r="C102" s="12" t="s">
        <v>134</v>
      </c>
      <c r="D102" s="25">
        <v>44713</v>
      </c>
      <c r="E102" s="12" t="s">
        <v>246</v>
      </c>
      <c r="F102" s="18">
        <v>1090</v>
      </c>
    </row>
    <row r="103" spans="1:6" s="24" customFormat="1" ht="30">
      <c r="A103" s="10">
        <v>100</v>
      </c>
      <c r="B103" s="11" t="s">
        <v>231</v>
      </c>
      <c r="C103" s="12" t="s">
        <v>247</v>
      </c>
      <c r="D103" s="25">
        <v>44714</v>
      </c>
      <c r="E103" s="12" t="s">
        <v>248</v>
      </c>
      <c r="F103" s="18">
        <v>2500</v>
      </c>
    </row>
    <row r="104" spans="1:6" s="24" customFormat="1" ht="45">
      <c r="A104" s="10">
        <v>101</v>
      </c>
      <c r="B104" s="11" t="s">
        <v>226</v>
      </c>
      <c r="C104" s="12" t="s">
        <v>249</v>
      </c>
      <c r="D104" s="25">
        <v>44715</v>
      </c>
      <c r="E104" s="12" t="s">
        <v>250</v>
      </c>
      <c r="F104" s="18">
        <v>6540</v>
      </c>
    </row>
    <row r="105" spans="1:6" s="24" customFormat="1" ht="30">
      <c r="A105" s="10">
        <v>102</v>
      </c>
      <c r="B105" s="11" t="s">
        <v>228</v>
      </c>
      <c r="C105" s="12" t="s">
        <v>252</v>
      </c>
      <c r="D105" s="25">
        <v>44715</v>
      </c>
      <c r="E105" s="12" t="s">
        <v>251</v>
      </c>
      <c r="F105" s="18">
        <v>9440</v>
      </c>
    </row>
    <row r="106" spans="1:6" s="24" customFormat="1" ht="45">
      <c r="A106" s="10">
        <v>103</v>
      </c>
      <c r="B106" s="11" t="s">
        <v>280</v>
      </c>
      <c r="C106" s="12" t="s">
        <v>134</v>
      </c>
      <c r="D106" s="25">
        <v>44720</v>
      </c>
      <c r="E106" s="12" t="s">
        <v>301</v>
      </c>
      <c r="F106" s="18">
        <f>3570</f>
        <v>3570</v>
      </c>
    </row>
    <row r="107" spans="1:6" s="24" customFormat="1" ht="30">
      <c r="A107" s="10">
        <v>104</v>
      </c>
      <c r="B107" s="11" t="s">
        <v>289</v>
      </c>
      <c r="C107" s="12" t="s">
        <v>114</v>
      </c>
      <c r="D107" s="25">
        <v>44719</v>
      </c>
      <c r="E107" s="12" t="s">
        <v>302</v>
      </c>
      <c r="F107" s="18">
        <v>2450</v>
      </c>
    </row>
    <row r="108" spans="1:6" s="24" customFormat="1">
      <c r="A108" s="10">
        <v>105</v>
      </c>
      <c r="B108" s="11" t="s">
        <v>221</v>
      </c>
      <c r="C108" s="12" t="s">
        <v>253</v>
      </c>
      <c r="D108" s="25">
        <v>44721</v>
      </c>
      <c r="E108" s="12" t="s">
        <v>254</v>
      </c>
      <c r="F108" s="18">
        <v>4409.8500000000004</v>
      </c>
    </row>
    <row r="109" spans="1:6" s="24" customFormat="1" ht="30">
      <c r="A109" s="10">
        <v>106</v>
      </c>
      <c r="B109" s="11" t="s">
        <v>189</v>
      </c>
      <c r="C109" s="12" t="s">
        <v>135</v>
      </c>
      <c r="D109" s="25">
        <v>44719</v>
      </c>
      <c r="E109" s="12" t="s">
        <v>218</v>
      </c>
      <c r="F109" s="18">
        <v>999</v>
      </c>
    </row>
    <row r="110" spans="1:6" s="24" customFormat="1">
      <c r="A110" s="10">
        <v>107</v>
      </c>
      <c r="B110" s="11" t="s">
        <v>285</v>
      </c>
      <c r="C110" s="12" t="s">
        <v>303</v>
      </c>
      <c r="D110" s="25">
        <v>44720</v>
      </c>
      <c r="E110" s="12" t="s">
        <v>398</v>
      </c>
      <c r="F110" s="18">
        <f>1600+1184.82+215.18</f>
        <v>2999.9999999999995</v>
      </c>
    </row>
    <row r="111" spans="1:6" s="24" customFormat="1" ht="45">
      <c r="A111" s="10">
        <v>108</v>
      </c>
      <c r="B111" s="11" t="s">
        <v>332</v>
      </c>
      <c r="C111" s="12" t="s">
        <v>354</v>
      </c>
      <c r="D111" s="25">
        <v>44725</v>
      </c>
      <c r="E111" s="12" t="s">
        <v>353</v>
      </c>
      <c r="F111" s="18">
        <f>611.02+110.98</f>
        <v>722</v>
      </c>
    </row>
    <row r="112" spans="1:6" s="24" customFormat="1" ht="30">
      <c r="A112" s="10">
        <v>109</v>
      </c>
      <c r="B112" s="11" t="s">
        <v>234</v>
      </c>
      <c r="C112" s="12" t="s">
        <v>197</v>
      </c>
      <c r="D112" s="25">
        <v>44726</v>
      </c>
      <c r="E112" s="12" t="s">
        <v>255</v>
      </c>
      <c r="F112" s="18">
        <v>359</v>
      </c>
    </row>
    <row r="113" spans="1:6" s="24" customFormat="1">
      <c r="A113" s="10">
        <v>110</v>
      </c>
      <c r="B113" s="11" t="s">
        <v>223</v>
      </c>
      <c r="C113" s="12" t="s">
        <v>256</v>
      </c>
      <c r="D113" s="25">
        <v>44726</v>
      </c>
      <c r="E113" s="12" t="s">
        <v>257</v>
      </c>
      <c r="F113" s="18">
        <v>2125</v>
      </c>
    </row>
    <row r="114" spans="1:6" s="24" customFormat="1" ht="45">
      <c r="A114" s="10">
        <v>111</v>
      </c>
      <c r="B114" s="11" t="s">
        <v>227</v>
      </c>
      <c r="C114" s="12" t="s">
        <v>258</v>
      </c>
      <c r="D114" s="25">
        <v>44727</v>
      </c>
      <c r="E114" s="12" t="s">
        <v>259</v>
      </c>
      <c r="F114" s="18">
        <v>3000</v>
      </c>
    </row>
    <row r="115" spans="1:6" s="24" customFormat="1" ht="30">
      <c r="A115" s="10">
        <v>112</v>
      </c>
      <c r="B115" s="11" t="s">
        <v>264</v>
      </c>
      <c r="C115" s="12" t="s">
        <v>197</v>
      </c>
      <c r="D115" s="25">
        <v>44734</v>
      </c>
      <c r="E115" s="12" t="s">
        <v>271</v>
      </c>
      <c r="F115" s="18">
        <f>303.82+55.18</f>
        <v>359</v>
      </c>
    </row>
    <row r="116" spans="1:6" s="24" customFormat="1" ht="30">
      <c r="A116" s="10">
        <v>113</v>
      </c>
      <c r="B116" s="11" t="s">
        <v>229</v>
      </c>
      <c r="C116" s="12" t="s">
        <v>260</v>
      </c>
      <c r="D116" s="25">
        <v>44733</v>
      </c>
      <c r="E116" s="12" t="s">
        <v>261</v>
      </c>
      <c r="F116" s="18">
        <v>7992</v>
      </c>
    </row>
    <row r="117" spans="1:6" s="24" customFormat="1">
      <c r="A117" s="10">
        <v>114</v>
      </c>
      <c r="B117" s="11" t="s">
        <v>265</v>
      </c>
      <c r="C117" s="12" t="s">
        <v>272</v>
      </c>
      <c r="D117" s="25">
        <v>44783</v>
      </c>
      <c r="E117" s="12" t="s">
        <v>237</v>
      </c>
      <c r="F117" s="18">
        <f>2962.05+537.95</f>
        <v>3500</v>
      </c>
    </row>
    <row r="118" spans="1:6" s="24" customFormat="1" ht="30">
      <c r="A118" s="10">
        <v>115</v>
      </c>
      <c r="B118" s="11" t="s">
        <v>278</v>
      </c>
      <c r="C118" s="12" t="s">
        <v>304</v>
      </c>
      <c r="D118" s="25">
        <v>44741</v>
      </c>
      <c r="E118" s="12" t="s">
        <v>305</v>
      </c>
      <c r="F118" s="18">
        <v>1990</v>
      </c>
    </row>
    <row r="119" spans="1:6" s="24" customFormat="1">
      <c r="A119" s="10">
        <v>116</v>
      </c>
      <c r="B119" s="11" t="s">
        <v>443</v>
      </c>
      <c r="C119" s="12" t="s">
        <v>451</v>
      </c>
      <c r="D119" s="25">
        <v>44742</v>
      </c>
      <c r="E119" s="12" t="s">
        <v>452</v>
      </c>
      <c r="F119" s="18">
        <f>1692.6+307.4</f>
        <v>2000</v>
      </c>
    </row>
    <row r="120" spans="1:6" s="24" customFormat="1" ht="30">
      <c r="A120" s="10">
        <v>117</v>
      </c>
      <c r="B120" s="11" t="s">
        <v>266</v>
      </c>
      <c r="C120" s="12" t="s">
        <v>195</v>
      </c>
      <c r="D120" s="25">
        <v>44749</v>
      </c>
      <c r="E120" s="12" t="s">
        <v>273</v>
      </c>
      <c r="F120" s="18">
        <f>7785.96+1414.04</f>
        <v>9200</v>
      </c>
    </row>
    <row r="121" spans="1:6" s="24" customFormat="1" ht="45">
      <c r="A121" s="10">
        <v>118</v>
      </c>
      <c r="B121" s="11" t="s">
        <v>287</v>
      </c>
      <c r="C121" s="12" t="s">
        <v>306</v>
      </c>
      <c r="D121" s="25">
        <v>44761</v>
      </c>
      <c r="E121" s="12" t="s">
        <v>307</v>
      </c>
      <c r="F121" s="18">
        <v>1890</v>
      </c>
    </row>
    <row r="122" spans="1:6" s="24" customFormat="1">
      <c r="A122" s="10">
        <v>119</v>
      </c>
      <c r="B122" s="11" t="s">
        <v>292</v>
      </c>
      <c r="C122" s="12" t="s">
        <v>309</v>
      </c>
      <c r="D122" s="25">
        <v>44754</v>
      </c>
      <c r="E122" s="12" t="s">
        <v>308</v>
      </c>
      <c r="F122" s="18">
        <f>737.08+2211.24+2211.24</f>
        <v>5159.5599999999995</v>
      </c>
    </row>
    <row r="123" spans="1:6" s="24" customFormat="1" ht="30">
      <c r="A123" s="10">
        <v>120</v>
      </c>
      <c r="B123" s="11" t="s">
        <v>288</v>
      </c>
      <c r="C123" s="12" t="s">
        <v>310</v>
      </c>
      <c r="D123" s="25">
        <v>44754</v>
      </c>
      <c r="E123" s="12" t="s">
        <v>311</v>
      </c>
      <c r="F123" s="18">
        <v>6825</v>
      </c>
    </row>
    <row r="124" spans="1:6" s="24" customFormat="1" ht="45">
      <c r="A124" s="10">
        <v>121</v>
      </c>
      <c r="B124" s="11" t="s">
        <v>290</v>
      </c>
      <c r="C124" s="12" t="s">
        <v>453</v>
      </c>
      <c r="D124" s="25">
        <v>44750</v>
      </c>
      <c r="E124" s="12" t="s">
        <v>312</v>
      </c>
      <c r="F124" s="18">
        <f>5200+9476.47</f>
        <v>14676.47</v>
      </c>
    </row>
    <row r="125" spans="1:6" s="24" customFormat="1" ht="30">
      <c r="A125" s="10">
        <v>122</v>
      </c>
      <c r="B125" s="11" t="s">
        <v>268</v>
      </c>
      <c r="C125" s="12" t="s">
        <v>39</v>
      </c>
      <c r="D125" s="25">
        <v>44760</v>
      </c>
      <c r="E125" s="12" t="s">
        <v>274</v>
      </c>
      <c r="F125" s="18">
        <f>660.11+119.89</f>
        <v>780</v>
      </c>
    </row>
    <row r="126" spans="1:6" s="24" customFormat="1" ht="30">
      <c r="A126" s="10">
        <v>123</v>
      </c>
      <c r="B126" s="11" t="s">
        <v>327</v>
      </c>
      <c r="C126" s="12" t="s">
        <v>133</v>
      </c>
      <c r="D126" s="25">
        <v>44760</v>
      </c>
      <c r="E126" s="12" t="s">
        <v>355</v>
      </c>
      <c r="F126" s="18">
        <f>2860.49+519.51</f>
        <v>3380</v>
      </c>
    </row>
    <row r="127" spans="1:6" s="24" customFormat="1">
      <c r="A127" s="10">
        <v>124</v>
      </c>
      <c r="B127" s="11" t="s">
        <v>267</v>
      </c>
      <c r="C127" s="12" t="s">
        <v>275</v>
      </c>
      <c r="D127" s="25">
        <v>44775</v>
      </c>
      <c r="E127" s="12" t="s">
        <v>277</v>
      </c>
      <c r="F127" s="18">
        <f>498.26+71.18</f>
        <v>569.44000000000005</v>
      </c>
    </row>
    <row r="128" spans="1:6" s="24" customFormat="1" ht="30">
      <c r="A128" s="10">
        <v>125</v>
      </c>
      <c r="B128" s="11" t="s">
        <v>286</v>
      </c>
      <c r="C128" s="12" t="s">
        <v>325</v>
      </c>
      <c r="D128" s="25">
        <v>44763</v>
      </c>
      <c r="E128" s="12" t="s">
        <v>324</v>
      </c>
      <c r="F128" s="18">
        <v>3270</v>
      </c>
    </row>
    <row r="129" spans="1:6" s="24" customFormat="1">
      <c r="A129" s="10">
        <v>126</v>
      </c>
      <c r="B129" s="11" t="s">
        <v>384</v>
      </c>
      <c r="C129" s="12" t="s">
        <v>415</v>
      </c>
      <c r="D129" s="25">
        <v>44769</v>
      </c>
      <c r="E129" s="12" t="s">
        <v>398</v>
      </c>
      <c r="F129" s="18">
        <f>2538.9+461.1</f>
        <v>3000</v>
      </c>
    </row>
    <row r="130" spans="1:6" s="24" customFormat="1" ht="45">
      <c r="A130" s="10">
        <v>127</v>
      </c>
      <c r="B130" s="11" t="s">
        <v>269</v>
      </c>
      <c r="C130" s="12" t="s">
        <v>39</v>
      </c>
      <c r="D130" s="25">
        <v>44782</v>
      </c>
      <c r="E130" s="12" t="s">
        <v>276</v>
      </c>
      <c r="F130" s="18">
        <f>330.05+59.95</f>
        <v>390</v>
      </c>
    </row>
    <row r="131" spans="1:6" s="24" customFormat="1">
      <c r="A131" s="10">
        <v>128</v>
      </c>
      <c r="B131" s="11" t="s">
        <v>281</v>
      </c>
      <c r="C131" s="12" t="s">
        <v>114</v>
      </c>
      <c r="D131" s="25">
        <v>44781</v>
      </c>
      <c r="E131" s="12" t="s">
        <v>313</v>
      </c>
      <c r="F131" s="18">
        <f>2100</f>
        <v>2100</v>
      </c>
    </row>
    <row r="132" spans="1:6" s="24" customFormat="1" ht="30">
      <c r="A132" s="10">
        <v>129</v>
      </c>
      <c r="B132" s="11" t="s">
        <v>430</v>
      </c>
      <c r="C132" s="12" t="s">
        <v>169</v>
      </c>
      <c r="D132" s="25">
        <v>44783</v>
      </c>
      <c r="E132" s="12" t="s">
        <v>486</v>
      </c>
      <c r="F132" s="18">
        <v>2200</v>
      </c>
    </row>
    <row r="133" spans="1:6" s="24" customFormat="1" ht="30">
      <c r="A133" s="10">
        <v>130</v>
      </c>
      <c r="B133" s="11" t="s">
        <v>295</v>
      </c>
      <c r="C133" s="12" t="s">
        <v>37</v>
      </c>
      <c r="D133" s="25">
        <v>44785</v>
      </c>
      <c r="E133" s="12" t="s">
        <v>314</v>
      </c>
      <c r="F133" s="18">
        <v>290</v>
      </c>
    </row>
    <row r="134" spans="1:6" s="24" customFormat="1">
      <c r="A134" s="10">
        <v>131</v>
      </c>
      <c r="B134" s="11" t="s">
        <v>337</v>
      </c>
      <c r="C134" s="12" t="s">
        <v>37</v>
      </c>
      <c r="D134" s="25">
        <v>44785</v>
      </c>
      <c r="E134" s="12" t="s">
        <v>356</v>
      </c>
      <c r="F134" s="18">
        <f>637.5</f>
        <v>637.5</v>
      </c>
    </row>
    <row r="135" spans="1:6" s="24" customFormat="1" ht="45">
      <c r="A135" s="10">
        <v>132</v>
      </c>
      <c r="B135" s="11" t="s">
        <v>339</v>
      </c>
      <c r="C135" s="12" t="s">
        <v>357</v>
      </c>
      <c r="D135" s="25">
        <v>44802</v>
      </c>
      <c r="E135" s="12" t="s">
        <v>358</v>
      </c>
      <c r="F135" s="18">
        <f>16248.96+2951.04</f>
        <v>19200</v>
      </c>
    </row>
    <row r="136" spans="1:6" s="24" customFormat="1" ht="30">
      <c r="A136" s="10">
        <v>133</v>
      </c>
      <c r="B136" s="11" t="s">
        <v>381</v>
      </c>
      <c r="C136" s="12" t="s">
        <v>114</v>
      </c>
      <c r="D136" s="25">
        <v>44796</v>
      </c>
      <c r="E136" s="12" t="s">
        <v>399</v>
      </c>
      <c r="F136" s="18">
        <v>1950</v>
      </c>
    </row>
    <row r="137" spans="1:6" s="24" customFormat="1" ht="30">
      <c r="A137" s="10">
        <v>134</v>
      </c>
      <c r="B137" s="11" t="s">
        <v>419</v>
      </c>
      <c r="C137" s="12" t="s">
        <v>169</v>
      </c>
      <c r="D137" s="25">
        <v>44796</v>
      </c>
      <c r="E137" s="12" t="s">
        <v>455</v>
      </c>
      <c r="F137" s="18">
        <f>1184.82+215.18</f>
        <v>1400</v>
      </c>
    </row>
    <row r="138" spans="1:6" s="24" customFormat="1">
      <c r="A138" s="10">
        <v>135</v>
      </c>
      <c r="B138" s="11" t="s">
        <v>420</v>
      </c>
      <c r="C138" s="12" t="s">
        <v>454</v>
      </c>
      <c r="D138" s="25">
        <v>44797</v>
      </c>
      <c r="E138" s="12" t="s">
        <v>397</v>
      </c>
      <c r="F138" s="18">
        <f>461.1+2538.9</f>
        <v>3000</v>
      </c>
    </row>
    <row r="139" spans="1:6" s="24" customFormat="1" ht="30">
      <c r="A139" s="10">
        <v>136</v>
      </c>
      <c r="B139" s="11" t="s">
        <v>296</v>
      </c>
      <c r="C139" s="12" t="s">
        <v>315</v>
      </c>
      <c r="D139" s="25">
        <v>44799</v>
      </c>
      <c r="E139" s="12" t="s">
        <v>316</v>
      </c>
      <c r="F139" s="18">
        <v>1455.09</v>
      </c>
    </row>
    <row r="140" spans="1:6" s="24" customFormat="1" ht="45">
      <c r="A140" s="10">
        <v>137</v>
      </c>
      <c r="B140" s="11" t="s">
        <v>284</v>
      </c>
      <c r="C140" s="12" t="s">
        <v>39</v>
      </c>
      <c r="D140" s="25">
        <v>44799</v>
      </c>
      <c r="E140" s="12" t="s">
        <v>317</v>
      </c>
      <c r="F140" s="18">
        <f>1560</f>
        <v>1560</v>
      </c>
    </row>
    <row r="141" spans="1:6" s="24" customFormat="1" ht="45">
      <c r="A141" s="10">
        <v>138</v>
      </c>
      <c r="B141" s="11" t="s">
        <v>442</v>
      </c>
      <c r="C141" s="12" t="s">
        <v>487</v>
      </c>
      <c r="D141" s="25">
        <v>44804</v>
      </c>
      <c r="E141" s="12" t="s">
        <v>456</v>
      </c>
      <c r="F141" s="18">
        <f>23370</f>
        <v>23370</v>
      </c>
    </row>
    <row r="142" spans="1:6" s="24" customFormat="1" ht="30">
      <c r="A142" s="10">
        <v>139</v>
      </c>
      <c r="B142" s="11" t="s">
        <v>282</v>
      </c>
      <c r="C142" s="12" t="s">
        <v>318</v>
      </c>
      <c r="D142" s="25">
        <v>44803</v>
      </c>
      <c r="E142" s="12" t="s">
        <v>379</v>
      </c>
      <c r="F142" s="18">
        <f>4050-1050</f>
        <v>3000</v>
      </c>
    </row>
    <row r="143" spans="1:6" s="24" customFormat="1" ht="30">
      <c r="A143" s="10">
        <v>140</v>
      </c>
      <c r="B143" s="11" t="s">
        <v>291</v>
      </c>
      <c r="C143" s="12" t="s">
        <v>40</v>
      </c>
      <c r="D143" s="25">
        <v>44805</v>
      </c>
      <c r="E143" s="12" t="s">
        <v>319</v>
      </c>
      <c r="F143" s="18">
        <v>1780</v>
      </c>
    </row>
    <row r="144" spans="1:6" s="24" customFormat="1" ht="30">
      <c r="A144" s="10">
        <v>141</v>
      </c>
      <c r="B144" s="11" t="s">
        <v>293</v>
      </c>
      <c r="C144" s="12" t="s">
        <v>320</v>
      </c>
      <c r="D144" s="25">
        <v>44806</v>
      </c>
      <c r="E144" s="12" t="s">
        <v>321</v>
      </c>
      <c r="F144" s="18">
        <f>2318.13+421.01+106.46+19.34</f>
        <v>2864.9400000000005</v>
      </c>
    </row>
    <row r="145" spans="1:6" s="24" customFormat="1">
      <c r="A145" s="10">
        <v>142</v>
      </c>
      <c r="B145" s="11" t="s">
        <v>437</v>
      </c>
      <c r="C145" s="12" t="s">
        <v>457</v>
      </c>
      <c r="D145" s="25">
        <v>44806</v>
      </c>
      <c r="E145" s="12" t="s">
        <v>397</v>
      </c>
      <c r="F145" s="18">
        <v>2730</v>
      </c>
    </row>
    <row r="146" spans="1:6" s="24" customFormat="1" ht="75">
      <c r="A146" s="10">
        <v>143</v>
      </c>
      <c r="B146" s="11" t="s">
        <v>334</v>
      </c>
      <c r="C146" s="12" t="s">
        <v>10</v>
      </c>
      <c r="D146" s="25">
        <v>44806</v>
      </c>
      <c r="E146" s="12" t="s">
        <v>359</v>
      </c>
      <c r="F146" s="18">
        <f>5067.6+43.66+240.43+869.63+4788.37</f>
        <v>11009.69</v>
      </c>
    </row>
    <row r="147" spans="1:6" s="24" customFormat="1">
      <c r="A147" s="10">
        <v>144</v>
      </c>
      <c r="B147" s="11" t="s">
        <v>387</v>
      </c>
      <c r="C147" s="12" t="s">
        <v>406</v>
      </c>
      <c r="D147" s="25">
        <v>44824</v>
      </c>
      <c r="E147" s="12" t="s">
        <v>400</v>
      </c>
      <c r="F147" s="18">
        <v>8000</v>
      </c>
    </row>
    <row r="148" spans="1:6" s="24" customFormat="1">
      <c r="A148" s="10">
        <v>145</v>
      </c>
      <c r="B148" s="11" t="s">
        <v>294</v>
      </c>
      <c r="C148" s="12" t="s">
        <v>322</v>
      </c>
      <c r="D148" s="25">
        <v>44812</v>
      </c>
      <c r="E148" s="12" t="s">
        <v>323</v>
      </c>
      <c r="F148" s="18">
        <v>246</v>
      </c>
    </row>
    <row r="149" spans="1:6" s="24" customFormat="1">
      <c r="A149" s="10">
        <v>146</v>
      </c>
      <c r="B149" s="11" t="s">
        <v>394</v>
      </c>
      <c r="C149" s="12" t="s">
        <v>407</v>
      </c>
      <c r="D149" s="25">
        <v>44810</v>
      </c>
      <c r="E149" s="12" t="s">
        <v>401</v>
      </c>
      <c r="F149" s="18">
        <f>1320</f>
        <v>1320</v>
      </c>
    </row>
    <row r="150" spans="1:6" s="24" customFormat="1" ht="45">
      <c r="A150" s="10">
        <v>147</v>
      </c>
      <c r="B150" s="11" t="s">
        <v>329</v>
      </c>
      <c r="C150" s="12" t="s">
        <v>40</v>
      </c>
      <c r="D150" s="25">
        <v>44817</v>
      </c>
      <c r="E150" s="12" t="s">
        <v>360</v>
      </c>
      <c r="F150" s="18">
        <f>8080.47+1467.53</f>
        <v>9548</v>
      </c>
    </row>
    <row r="151" spans="1:6" s="24" customFormat="1" ht="45">
      <c r="A151" s="10">
        <v>148</v>
      </c>
      <c r="B151" s="11" t="s">
        <v>330</v>
      </c>
      <c r="C151" s="12" t="s">
        <v>40</v>
      </c>
      <c r="D151" s="25">
        <v>44820</v>
      </c>
      <c r="E151" s="12" t="s">
        <v>361</v>
      </c>
      <c r="F151" s="18">
        <f>5839.47+1060.53</f>
        <v>6900</v>
      </c>
    </row>
    <row r="152" spans="1:6" s="24" customFormat="1">
      <c r="A152" s="10">
        <v>149</v>
      </c>
      <c r="B152" s="11" t="s">
        <v>382</v>
      </c>
      <c r="C152" s="12" t="s">
        <v>406</v>
      </c>
      <c r="D152" s="25">
        <v>44824</v>
      </c>
      <c r="E152" s="12" t="s">
        <v>402</v>
      </c>
      <c r="F152" s="18">
        <f>5500.95+999.05</f>
        <v>6500</v>
      </c>
    </row>
    <row r="153" spans="1:6" s="24" customFormat="1">
      <c r="A153" s="10">
        <v>150</v>
      </c>
      <c r="B153" s="11" t="s">
        <v>346</v>
      </c>
      <c r="C153" s="12" t="s">
        <v>362</v>
      </c>
      <c r="D153" s="25">
        <v>44824</v>
      </c>
      <c r="E153" s="12" t="s">
        <v>364</v>
      </c>
      <c r="F153" s="18">
        <f>2538.9+461.1</f>
        <v>3000</v>
      </c>
    </row>
    <row r="154" spans="1:6" s="24" customFormat="1" ht="45">
      <c r="A154" s="10">
        <v>151</v>
      </c>
      <c r="B154" s="11" t="s">
        <v>338</v>
      </c>
      <c r="C154" s="12" t="s">
        <v>114</v>
      </c>
      <c r="D154" s="25">
        <v>44824</v>
      </c>
      <c r="E154" s="12" t="s">
        <v>365</v>
      </c>
      <c r="F154" s="18">
        <f>2877.42+522.58+3486.75+633.25</f>
        <v>7520</v>
      </c>
    </row>
    <row r="155" spans="1:6" s="24" customFormat="1" ht="45">
      <c r="A155" s="10">
        <v>152</v>
      </c>
      <c r="B155" s="11" t="s">
        <v>331</v>
      </c>
      <c r="C155" s="12" t="s">
        <v>40</v>
      </c>
      <c r="D155" s="25">
        <v>44824</v>
      </c>
      <c r="E155" s="12" t="s">
        <v>366</v>
      </c>
      <c r="F155" s="18">
        <f>1497.95+272.05</f>
        <v>1770</v>
      </c>
    </row>
    <row r="156" spans="1:6" s="24" customFormat="1" ht="30">
      <c r="A156" s="10">
        <v>153</v>
      </c>
      <c r="B156" s="11" t="s">
        <v>446</v>
      </c>
      <c r="C156" s="12" t="s">
        <v>489</v>
      </c>
      <c r="D156" s="25">
        <v>44826</v>
      </c>
      <c r="E156" s="12" t="s">
        <v>488</v>
      </c>
      <c r="F156" s="18">
        <v>1530</v>
      </c>
    </row>
    <row r="157" spans="1:6" s="24" customFormat="1" ht="45">
      <c r="A157" s="10">
        <v>154</v>
      </c>
      <c r="B157" s="11" t="s">
        <v>333</v>
      </c>
      <c r="C157" s="12" t="s">
        <v>363</v>
      </c>
      <c r="D157" s="25">
        <v>44826</v>
      </c>
      <c r="E157" s="12" t="s">
        <v>367</v>
      </c>
      <c r="F157" s="18">
        <f>846.3+153.7</f>
        <v>1000</v>
      </c>
    </row>
    <row r="158" spans="1:6" s="24" customFormat="1">
      <c r="A158" s="10">
        <v>155</v>
      </c>
      <c r="B158" s="11" t="s">
        <v>328</v>
      </c>
      <c r="C158" s="12" t="s">
        <v>368</v>
      </c>
      <c r="D158" s="25">
        <v>44830</v>
      </c>
      <c r="E158" s="12" t="s">
        <v>371</v>
      </c>
      <c r="F158" s="18">
        <f>28.54+1629.91+296.02</f>
        <v>1954.47</v>
      </c>
    </row>
    <row r="159" spans="1:6" s="24" customFormat="1" ht="45">
      <c r="A159" s="10">
        <v>156</v>
      </c>
      <c r="B159" s="11" t="s">
        <v>340</v>
      </c>
      <c r="C159" s="12" t="s">
        <v>363</v>
      </c>
      <c r="D159" s="25">
        <v>44826</v>
      </c>
      <c r="E159" s="12" t="s">
        <v>372</v>
      </c>
      <c r="F159" s="18">
        <f>846.3+153.7</f>
        <v>1000</v>
      </c>
    </row>
    <row r="160" spans="1:6" s="24" customFormat="1" ht="30">
      <c r="A160" s="10">
        <v>157</v>
      </c>
      <c r="B160" s="11" t="s">
        <v>336</v>
      </c>
      <c r="C160" s="12" t="s">
        <v>170</v>
      </c>
      <c r="D160" s="25">
        <v>44811</v>
      </c>
      <c r="E160" s="12" t="s">
        <v>373</v>
      </c>
      <c r="F160" s="18">
        <f>6897.34+1252.66</f>
        <v>8150</v>
      </c>
    </row>
    <row r="161" spans="1:6" s="24" customFormat="1" ht="30">
      <c r="A161" s="10">
        <v>158</v>
      </c>
      <c r="B161" s="11" t="s">
        <v>343</v>
      </c>
      <c r="C161" s="12" t="s">
        <v>121</v>
      </c>
      <c r="D161" s="25">
        <v>44830</v>
      </c>
      <c r="E161" s="12" t="s">
        <v>374</v>
      </c>
      <c r="F161" s="18">
        <f>583.94+106.06</f>
        <v>690</v>
      </c>
    </row>
    <row r="162" spans="1:6" s="24" customFormat="1" ht="30">
      <c r="A162" s="10">
        <v>159</v>
      </c>
      <c r="B162" s="11" t="s">
        <v>344</v>
      </c>
      <c r="C162" s="12" t="s">
        <v>135</v>
      </c>
      <c r="D162" s="25">
        <v>44830</v>
      </c>
      <c r="E162" s="12" t="s">
        <v>375</v>
      </c>
      <c r="F162" s="18">
        <f>845.45+153.55</f>
        <v>999</v>
      </c>
    </row>
    <row r="163" spans="1:6" s="24" customFormat="1">
      <c r="A163" s="10">
        <v>160</v>
      </c>
      <c r="B163" s="11" t="s">
        <v>341</v>
      </c>
      <c r="C163" s="12" t="s">
        <v>369</v>
      </c>
      <c r="D163" s="25">
        <v>44832</v>
      </c>
      <c r="E163" s="12" t="s">
        <v>376</v>
      </c>
      <c r="F163" s="18">
        <f>17.51+999.89+181.6+298.53+17052.09+3096.9</f>
        <v>21646.52</v>
      </c>
    </row>
    <row r="164" spans="1:6" s="24" customFormat="1" ht="30">
      <c r="A164" s="10">
        <v>161</v>
      </c>
      <c r="B164" s="11" t="s">
        <v>342</v>
      </c>
      <c r="C164" s="12" t="s">
        <v>370</v>
      </c>
      <c r="D164" s="25">
        <v>44838</v>
      </c>
      <c r="E164" s="12" t="s">
        <v>377</v>
      </c>
      <c r="F164" s="18">
        <f>2538.9+461.1</f>
        <v>3000</v>
      </c>
    </row>
    <row r="165" spans="1:6" s="24" customFormat="1" ht="30">
      <c r="A165" s="10">
        <v>162</v>
      </c>
      <c r="B165" s="11" t="s">
        <v>345</v>
      </c>
      <c r="C165" s="12" t="s">
        <v>197</v>
      </c>
      <c r="D165" s="25">
        <v>44840</v>
      </c>
      <c r="E165" s="12" t="s">
        <v>378</v>
      </c>
      <c r="F165" s="18">
        <f>295.35+53.65</f>
        <v>349</v>
      </c>
    </row>
    <row r="166" spans="1:6" s="24" customFormat="1" ht="30">
      <c r="A166" s="10">
        <v>163</v>
      </c>
      <c r="B166" s="11" t="s">
        <v>431</v>
      </c>
      <c r="C166" s="12" t="s">
        <v>357</v>
      </c>
      <c r="D166" s="25">
        <v>44845</v>
      </c>
      <c r="E166" s="12" t="s">
        <v>458</v>
      </c>
      <c r="F166" s="18">
        <f>3200</f>
        <v>3200</v>
      </c>
    </row>
    <row r="167" spans="1:6" s="24" customFormat="1" ht="30">
      <c r="A167" s="10">
        <v>164</v>
      </c>
      <c r="B167" s="11" t="s">
        <v>383</v>
      </c>
      <c r="C167" s="12" t="s">
        <v>408</v>
      </c>
      <c r="D167" s="25">
        <v>44859</v>
      </c>
      <c r="E167" s="12" t="s">
        <v>403</v>
      </c>
      <c r="F167" s="18">
        <f>1599.5+290.5</f>
        <v>1890</v>
      </c>
    </row>
    <row r="168" spans="1:6" s="24" customFormat="1" ht="60">
      <c r="A168" s="10">
        <v>165</v>
      </c>
      <c r="B168" s="11" t="s">
        <v>389</v>
      </c>
      <c r="C168" s="12" t="s">
        <v>409</v>
      </c>
      <c r="D168" s="25">
        <v>44855</v>
      </c>
      <c r="E168" s="12" t="s">
        <v>404</v>
      </c>
      <c r="F168" s="18">
        <f>14889.09+2704.08+3316.83</f>
        <v>20910</v>
      </c>
    </row>
    <row r="169" spans="1:6" s="24" customFormat="1" ht="45">
      <c r="A169" s="10">
        <v>166</v>
      </c>
      <c r="B169" s="11" t="s">
        <v>421</v>
      </c>
      <c r="C169" s="12" t="s">
        <v>39</v>
      </c>
      <c r="D169" s="25">
        <v>44858</v>
      </c>
      <c r="E169" s="12" t="s">
        <v>459</v>
      </c>
      <c r="F169" s="18">
        <v>13040</v>
      </c>
    </row>
    <row r="170" spans="1:6" s="24" customFormat="1" ht="30">
      <c r="A170" s="10">
        <v>167</v>
      </c>
      <c r="B170" s="11" t="s">
        <v>428</v>
      </c>
      <c r="C170" s="12" t="s">
        <v>461</v>
      </c>
      <c r="D170" s="25">
        <v>44859</v>
      </c>
      <c r="E170" s="12" t="s">
        <v>460</v>
      </c>
      <c r="F170" s="18">
        <v>570</v>
      </c>
    </row>
    <row r="171" spans="1:6" s="24" customFormat="1">
      <c r="A171" s="10">
        <v>168</v>
      </c>
      <c r="B171" s="11" t="s">
        <v>429</v>
      </c>
      <c r="C171" s="12" t="s">
        <v>462</v>
      </c>
      <c r="D171" s="25">
        <v>44861</v>
      </c>
      <c r="E171" s="12" t="s">
        <v>393</v>
      </c>
      <c r="F171" s="18">
        <f>3000</f>
        <v>3000</v>
      </c>
    </row>
    <row r="172" spans="1:6" s="24" customFormat="1">
      <c r="A172" s="10">
        <v>169</v>
      </c>
      <c r="B172" s="11" t="s">
        <v>434</v>
      </c>
      <c r="C172" s="12" t="s">
        <v>463</v>
      </c>
      <c r="D172" s="25">
        <v>44858</v>
      </c>
      <c r="E172" s="12" t="s">
        <v>393</v>
      </c>
      <c r="F172" s="18">
        <f>5000</f>
        <v>5000</v>
      </c>
    </row>
    <row r="173" spans="1:6" s="24" customFormat="1">
      <c r="A173" s="10">
        <v>170</v>
      </c>
      <c r="B173" s="11" t="s">
        <v>422</v>
      </c>
      <c r="C173" s="12" t="s">
        <v>464</v>
      </c>
      <c r="D173" s="25">
        <v>44859</v>
      </c>
      <c r="E173" s="12" t="s">
        <v>393</v>
      </c>
      <c r="F173" s="18">
        <f>465.46+84.54+256+46.5+279.27+50.73+558.55+101.45</f>
        <v>1842.5</v>
      </c>
    </row>
    <row r="174" spans="1:6" s="24" customFormat="1">
      <c r="A174" s="10">
        <v>171</v>
      </c>
      <c r="B174" s="11" t="s">
        <v>391</v>
      </c>
      <c r="C174" s="12" t="s">
        <v>410</v>
      </c>
      <c r="D174" s="25">
        <v>44858</v>
      </c>
      <c r="E174" s="12" t="s">
        <v>405</v>
      </c>
      <c r="F174" s="18">
        <f>12779.13+2320.87</f>
        <v>15100</v>
      </c>
    </row>
    <row r="175" spans="1:6" s="24" customFormat="1">
      <c r="A175" s="10">
        <v>172</v>
      </c>
      <c r="B175" s="11" t="s">
        <v>392</v>
      </c>
      <c r="C175" s="12" t="s">
        <v>411</v>
      </c>
      <c r="D175" s="25">
        <v>44858</v>
      </c>
      <c r="E175" s="12" t="s">
        <v>393</v>
      </c>
      <c r="F175" s="18">
        <f>2538.9+461.1</f>
        <v>3000</v>
      </c>
    </row>
    <row r="176" spans="1:6" s="24" customFormat="1" ht="30">
      <c r="A176" s="10">
        <v>173</v>
      </c>
      <c r="B176" s="11" t="s">
        <v>438</v>
      </c>
      <c r="C176" s="12" t="s">
        <v>126</v>
      </c>
      <c r="D176" s="25">
        <v>44859</v>
      </c>
      <c r="E176" s="12" t="s">
        <v>465</v>
      </c>
      <c r="F176" s="18">
        <v>9160</v>
      </c>
    </row>
    <row r="177" spans="1:6" s="24" customFormat="1">
      <c r="A177" s="10">
        <v>174</v>
      </c>
      <c r="B177" s="11" t="s">
        <v>390</v>
      </c>
      <c r="C177" s="12" t="s">
        <v>412</v>
      </c>
      <c r="D177" s="25">
        <v>44859</v>
      </c>
      <c r="E177" s="12" t="s">
        <v>393</v>
      </c>
      <c r="F177" s="18">
        <f>2538.9+461.1</f>
        <v>3000</v>
      </c>
    </row>
    <row r="178" spans="1:6" s="24" customFormat="1" ht="30">
      <c r="A178" s="10">
        <v>175</v>
      </c>
      <c r="B178" s="11" t="s">
        <v>424</v>
      </c>
      <c r="C178" s="12" t="s">
        <v>425</v>
      </c>
      <c r="D178" s="25">
        <v>44859</v>
      </c>
      <c r="E178" s="12" t="s">
        <v>493</v>
      </c>
      <c r="F178" s="18">
        <f>3412</f>
        <v>3412</v>
      </c>
    </row>
    <row r="179" spans="1:6" s="24" customFormat="1" ht="30">
      <c r="A179" s="10">
        <v>176</v>
      </c>
      <c r="B179" s="11" t="s">
        <v>418</v>
      </c>
      <c r="C179" s="12" t="s">
        <v>466</v>
      </c>
      <c r="D179" s="25">
        <v>44867</v>
      </c>
      <c r="E179" s="12" t="s">
        <v>470</v>
      </c>
      <c r="F179" s="18">
        <f>380.83+69.17</f>
        <v>450</v>
      </c>
    </row>
    <row r="180" spans="1:6" s="24" customFormat="1" ht="45">
      <c r="A180" s="10">
        <v>177</v>
      </c>
      <c r="B180" s="11" t="s">
        <v>426</v>
      </c>
      <c r="C180" s="12" t="s">
        <v>467</v>
      </c>
      <c r="D180" s="25">
        <v>44875</v>
      </c>
      <c r="E180" s="12" t="s">
        <v>471</v>
      </c>
      <c r="F180" s="18">
        <f>1489.48+270.52</f>
        <v>1760</v>
      </c>
    </row>
    <row r="181" spans="1:6" s="24" customFormat="1">
      <c r="A181" s="10">
        <v>178</v>
      </c>
      <c r="B181" s="11" t="s">
        <v>427</v>
      </c>
      <c r="C181" s="12" t="s">
        <v>468</v>
      </c>
      <c r="D181" s="25">
        <v>44880</v>
      </c>
      <c r="E181" s="12" t="s">
        <v>472</v>
      </c>
      <c r="F181" s="18">
        <v>168.34</v>
      </c>
    </row>
    <row r="182" spans="1:6" s="24" customFormat="1">
      <c r="A182" s="10">
        <v>179</v>
      </c>
      <c r="B182" s="11" t="s">
        <v>417</v>
      </c>
      <c r="C182" s="12" t="s">
        <v>469</v>
      </c>
      <c r="D182" s="25">
        <v>44881</v>
      </c>
      <c r="E182" s="12" t="s">
        <v>473</v>
      </c>
      <c r="F182" s="18">
        <v>2118.06</v>
      </c>
    </row>
    <row r="183" spans="1:6" s="24" customFormat="1">
      <c r="A183" s="10">
        <v>180</v>
      </c>
      <c r="B183" s="11" t="s">
        <v>432</v>
      </c>
      <c r="C183" s="12" t="s">
        <v>475</v>
      </c>
      <c r="D183" s="25">
        <v>44883</v>
      </c>
      <c r="E183" s="12" t="s">
        <v>474</v>
      </c>
      <c r="F183" s="18">
        <v>1720.72</v>
      </c>
    </row>
    <row r="184" spans="1:6" s="24" customFormat="1" ht="30">
      <c r="A184" s="10">
        <v>181</v>
      </c>
      <c r="B184" s="11" t="s">
        <v>433</v>
      </c>
      <c r="C184" s="12" t="s">
        <v>476</v>
      </c>
      <c r="D184" s="25">
        <v>44893</v>
      </c>
      <c r="E184" s="12" t="s">
        <v>477</v>
      </c>
      <c r="F184" s="18">
        <f>307.5</f>
        <v>307.5</v>
      </c>
    </row>
    <row r="185" spans="1:6" s="24" customFormat="1">
      <c r="A185" s="10">
        <v>182</v>
      </c>
      <c r="B185" s="11" t="s">
        <v>435</v>
      </c>
      <c r="C185" s="12" t="s">
        <v>490</v>
      </c>
      <c r="D185" s="25">
        <v>44893</v>
      </c>
      <c r="E185" s="12" t="s">
        <v>491</v>
      </c>
      <c r="F185" s="18">
        <f>27011.13-7303.34</f>
        <v>19707.79</v>
      </c>
    </row>
    <row r="186" spans="1:6" s="24" customFormat="1">
      <c r="A186" s="10">
        <v>183</v>
      </c>
      <c r="B186" s="11" t="s">
        <v>440</v>
      </c>
      <c r="C186" s="12" t="s">
        <v>475</v>
      </c>
      <c r="D186" s="25">
        <v>44896</v>
      </c>
      <c r="E186" s="12" t="s">
        <v>474</v>
      </c>
      <c r="F186" s="18">
        <f>1720.72</f>
        <v>1720.72</v>
      </c>
    </row>
    <row r="187" spans="1:6" s="24" customFormat="1" ht="45">
      <c r="A187" s="10">
        <v>184</v>
      </c>
      <c r="B187" s="11" t="s">
        <v>439</v>
      </c>
      <c r="C187" s="12" t="s">
        <v>481</v>
      </c>
      <c r="D187" s="25">
        <v>44895</v>
      </c>
      <c r="E187" s="12" t="s">
        <v>478</v>
      </c>
      <c r="F187" s="18">
        <f>3046.68+553.32</f>
        <v>3600</v>
      </c>
    </row>
    <row r="188" spans="1:6" s="24" customFormat="1">
      <c r="A188" s="10">
        <v>185</v>
      </c>
      <c r="B188" s="11" t="s">
        <v>436</v>
      </c>
      <c r="C188" s="12" t="s">
        <v>482</v>
      </c>
      <c r="D188" s="25">
        <v>44896</v>
      </c>
      <c r="E188" s="12" t="s">
        <v>479</v>
      </c>
      <c r="F188" s="18">
        <f>2160</f>
        <v>2160</v>
      </c>
    </row>
    <row r="189" spans="1:6" s="24" customFormat="1">
      <c r="A189" s="10">
        <v>186</v>
      </c>
      <c r="B189" s="11" t="s">
        <v>441</v>
      </c>
      <c r="C189" s="12" t="s">
        <v>483</v>
      </c>
      <c r="D189" s="25">
        <v>44900</v>
      </c>
      <c r="E189" s="12" t="s">
        <v>480</v>
      </c>
      <c r="F189" s="18">
        <f>1145.04+207.96</f>
        <v>1353</v>
      </c>
    </row>
    <row r="190" spans="1:6" s="24" customFormat="1" ht="30">
      <c r="A190" s="10">
        <v>187</v>
      </c>
      <c r="B190" s="11" t="s">
        <v>444</v>
      </c>
      <c r="C190" s="12" t="s">
        <v>114</v>
      </c>
      <c r="D190" s="25">
        <v>44904</v>
      </c>
      <c r="E190" s="12" t="s">
        <v>492</v>
      </c>
      <c r="F190" s="18">
        <f>1506.41+273.59</f>
        <v>1780</v>
      </c>
    </row>
    <row r="191" spans="1:6" s="24" customFormat="1" ht="30">
      <c r="A191" s="10">
        <v>188</v>
      </c>
      <c r="B191" s="11" t="s">
        <v>445</v>
      </c>
      <c r="C191" s="12" t="s">
        <v>485</v>
      </c>
      <c r="D191" s="25">
        <v>44914</v>
      </c>
      <c r="E191" s="12" t="s">
        <v>484</v>
      </c>
      <c r="F191" s="18">
        <f>782.68+4309.52</f>
        <v>5092.2000000000007</v>
      </c>
    </row>
    <row r="192" spans="1:6" s="24" customFormat="1">
      <c r="A192" s="10"/>
      <c r="B192" s="11"/>
      <c r="C192" s="12"/>
      <c r="D192" s="25"/>
      <c r="E192" s="12"/>
      <c r="F192" s="18"/>
    </row>
    <row r="193" spans="1:50" s="2" customFormat="1" ht="17.25" thickBot="1">
      <c r="A193" s="13"/>
      <c r="B193" s="15" t="s">
        <v>6</v>
      </c>
      <c r="C193" s="14"/>
      <c r="D193" s="14"/>
      <c r="E193" s="14"/>
      <c r="F193" s="19">
        <f>SUM(F4:F192)</f>
        <v>889702.97999999986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</row>
    <row r="194" spans="1:50" s="2" customFormat="1">
      <c r="A194" s="21"/>
      <c r="B194" s="22"/>
      <c r="C194" s="22"/>
      <c r="D194" s="22"/>
      <c r="E194" s="20"/>
      <c r="F194" s="30"/>
      <c r="G194" s="20"/>
      <c r="H194" s="20"/>
      <c r="I194" s="20"/>
      <c r="J194" s="20"/>
      <c r="K194" s="21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</row>
    <row r="195" spans="1:50" s="2" customFormat="1" ht="17.25">
      <c r="A195" s="9" t="s">
        <v>496</v>
      </c>
      <c r="B195" s="23"/>
      <c r="C195" s="26"/>
      <c r="D195" s="27"/>
      <c r="E195" s="8"/>
      <c r="F195" s="1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</row>
  </sheetData>
  <autoFilter ref="B3:F195"/>
  <mergeCells count="2">
    <mergeCell ref="A1:F1"/>
    <mergeCell ref="A2:E2"/>
  </mergeCells>
  <pageMargins left="0.15748031496062992" right="0.15748031496062992" top="0.27559055118110237" bottom="0.3149606299212598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2021-12-13T08:08:42Z</cp:lastPrinted>
  <dcterms:created xsi:type="dcterms:W3CDTF">2015-06-22T15:06:47Z</dcterms:created>
  <dcterms:modified xsi:type="dcterms:W3CDTF">2023-01-17T10:39:33Z</dcterms:modified>
</cp:coreProperties>
</file>