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'doch_wyd'!$B$1:$L$88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<sst xmlns="http://schemas.openxmlformats.org/spreadsheetml/2006/main" count="105" uniqueCount="87">
  <si>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</si>
  <si>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</si>
  <si>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</si>
  <si>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</si>
  <si>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</si>
  <si>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</si>
  <si>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</si>
  <si>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</si>
  <si>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</si>
  <si>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</si>
  <si>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</si>
  <si>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</si>
  <si>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</si>
  <si>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</si>
  <si>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</si>
  <si>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</si>
  <si>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</si>
  <si>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</si>
  <si>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</si>
  <si>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</si>
  <si>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</si>
  <si>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</si>
  <si>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</si>
  <si>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</si>
  <si>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</si>
  <si>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</si>
  <si>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</si>
  <si>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</si>
  <si>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</si>
  <si>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</si>
  <si>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</si>
  <si>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</si>
  <si>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równoważąca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</si>
  <si>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</si>
  <si>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</si>
  <si>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</si>
  <si>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</si>
  <si>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</si>
  <si>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</si>
  <si>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</si>
  <si>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</si>
  <si>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</si>
  <si>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</si>
  <si>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</si>
  <si>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</si>
  <si>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</si>
  <si>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</si>
  <si>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</si>
  <si>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</si>
  <si>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</si>
  <si>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</si>
  <si>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</si>
  <si>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</si>
  <si>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w tym: inwestycyjne § 620</t>
  </si>
  <si>
    <t>majątkowe</t>
  </si>
  <si>
    <t>bieżące</t>
  </si>
  <si>
    <t>UE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</si>
  <si>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</si>
  <si>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</si>
  <si>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</si>
  <si>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</si>
  <si>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</si>
  <si>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</si>
  <si>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</si>
  <si>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</si>
  <si>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</si>
  <si>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</si>
  <si>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</si>
  <si>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</si>
  <si>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</si>
  <si>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</si>
  <si>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</si>
  <si>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Dotacje §§ 205 i 625</t>
  </si>
  <si>
    <t>Dochody bieżące                minus                                       wydatki bieżące</t>
  </si>
  <si>
    <t>Wydatki ogółem UE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</si>
  <si>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</si>
  <si>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</si>
  <si>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</si>
  <si>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</si>
  <si>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</si>
  <si>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wykup papierów wartościowych</t>
  </si>
  <si>
    <t xml:space="preserve"> udzielone pożyczki</t>
  </si>
  <si>
    <t>spłaty kredytów i  pożyczek, wykup papierów wartościowych w tym:</t>
  </si>
  <si>
    <t>wydatki na wynagrodzenia i pochodne od wynagrodzeń</t>
  </si>
  <si>
    <t xml:space="preserve">Informacja z wykonania budżetów powiatów za IV Kwartały 2020 rok     </t>
  </si>
  <si>
    <t>niewykorzystane środki pieniężne o których mowa w art.217 ust.2 pkt.8 ustawy o finansach publicznych</t>
  </si>
  <si>
    <t>Dotacje ogółem                           z tego: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</si>
</sst>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4" fillId="42" borderId="3" applyNumberFormat="0" applyAlignment="0" applyProtection="0"/>
    <xf numFmtId="0" fontId="45" fillId="43" borderId="4" applyNumberFormat="0" applyAlignment="0" applyProtection="0"/>
    <xf numFmtId="0" fontId="46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7" fillId="0" borderId="8" applyNumberFormat="0" applyFill="0" applyAlignment="0" applyProtection="0"/>
    <xf numFmtId="0" fontId="48" fillId="46" borderId="9" applyNumberFormat="0" applyAlignment="0" applyProtection="0"/>
    <xf numFmtId="0" fontId="26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52" fillId="47" borderId="0" applyNumberFormat="0" applyBorder="0" applyAlignment="0" applyProtection="0"/>
    <xf numFmtId="0" fontId="42" fillId="0" borderId="0">
      <alignment/>
      <protection/>
    </xf>
    <xf numFmtId="0" fontId="0" fillId="4" borderId="14" applyNumberFormat="0" applyFont="0" applyAlignment="0" applyProtection="0"/>
    <xf numFmtId="0" fontId="53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8" fillId="49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left" vertical="center" wrapText="1"/>
    </xf>
    <xf numFmtId="4" fontId="33" fillId="40" borderId="19" xfId="0" applyNumberFormat="1" applyFont="1" applyFill="1" applyBorder="1" applyAlignment="1">
      <alignment horizontal="right" vertical="center"/>
    </xf>
    <xf numFmtId="164" fontId="33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164" fontId="34" fillId="0" borderId="19" xfId="0" applyNumberFormat="1" applyFont="1" applyFill="1" applyBorder="1" applyAlignment="1">
      <alignment horizontal="right" vertical="center"/>
    </xf>
    <xf numFmtId="164" fontId="34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4" fontId="33" fillId="40" borderId="19" xfId="0" applyNumberFormat="1" applyFont="1" applyFill="1" applyBorder="1" applyAlignment="1">
      <alignment horizontal="right" vertical="center" wrapText="1"/>
    </xf>
    <xf numFmtId="164" fontId="36" fillId="40" borderId="19" xfId="0" applyNumberFormat="1" applyFont="1" applyFill="1" applyBorder="1" applyAlignment="1">
      <alignment horizontal="right" vertical="center"/>
    </xf>
    <xf numFmtId="164" fontId="35" fillId="0" borderId="19" xfId="0" applyNumberFormat="1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3" fontId="33" fillId="0" borderId="0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/>
    </xf>
    <xf numFmtId="4" fontId="36" fillId="40" borderId="20" xfId="0" applyNumberFormat="1" applyFont="1" applyFill="1" applyBorder="1" applyAlignment="1">
      <alignment horizontal="right" vertical="center"/>
    </xf>
    <xf numFmtId="4" fontId="36" fillId="40" borderId="21" xfId="0" applyNumberFormat="1" applyFont="1" applyFill="1" applyBorder="1" applyAlignment="1">
      <alignment horizontal="right" vertical="center"/>
    </xf>
    <xf numFmtId="164" fontId="36" fillId="40" borderId="19" xfId="71" applyNumberFormat="1" applyFont="1" applyFill="1" applyBorder="1" applyAlignment="1">
      <alignment horizontal="right" vertical="center"/>
    </xf>
    <xf numFmtId="4" fontId="35" fillId="0" borderId="20" xfId="0" applyNumberFormat="1" applyFont="1" applyBorder="1" applyAlignment="1">
      <alignment horizontal="right" vertical="center"/>
    </xf>
    <xf numFmtId="4" fontId="35" fillId="0" borderId="21" xfId="0" applyNumberFormat="1" applyFont="1" applyBorder="1" applyAlignment="1">
      <alignment horizontal="right" vertical="center"/>
    </xf>
    <xf numFmtId="164" fontId="36" fillId="50" borderId="19" xfId="71" applyNumberFormat="1" applyFont="1" applyFill="1" applyBorder="1" applyAlignment="1">
      <alignment horizontal="right" vertical="center"/>
    </xf>
    <xf numFmtId="164" fontId="36" fillId="50" borderId="19" xfId="0" applyNumberFormat="1" applyFont="1" applyFill="1" applyBorder="1" applyAlignment="1">
      <alignment horizontal="right" vertical="center"/>
    </xf>
    <xf numFmtId="4" fontId="35" fillId="51" borderId="20" xfId="0" applyNumberFormat="1" applyFont="1" applyFill="1" applyBorder="1" applyAlignment="1">
      <alignment horizontal="right" vertical="center"/>
    </xf>
    <xf numFmtId="4" fontId="35" fillId="51" borderId="21" xfId="0" applyNumberFormat="1" applyFont="1" applyFill="1" applyBorder="1" applyAlignment="1">
      <alignment horizontal="right" vertical="center"/>
    </xf>
    <xf numFmtId="164" fontId="36" fillId="51" borderId="19" xfId="0" applyNumberFormat="1" applyFont="1" applyFill="1" applyBorder="1" applyAlignment="1">
      <alignment horizontal="right" vertical="center"/>
    </xf>
    <xf numFmtId="4" fontId="35" fillId="50" borderId="20" xfId="0" applyNumberFormat="1" applyFont="1" applyFill="1" applyBorder="1" applyAlignment="1">
      <alignment horizontal="right" vertical="center"/>
    </xf>
    <xf numFmtId="4" fontId="35" fillId="50" borderId="21" xfId="0" applyNumberFormat="1" applyFont="1" applyFill="1" applyBorder="1" applyAlignment="1">
      <alignment horizontal="right" vertical="center"/>
    </xf>
    <xf numFmtId="4" fontId="36" fillId="51" borderId="20" xfId="0" applyNumberFormat="1" applyFont="1" applyFill="1" applyBorder="1" applyAlignment="1">
      <alignment horizontal="right" vertical="center"/>
    </xf>
    <xf numFmtId="4" fontId="36" fillId="51" borderId="21" xfId="0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 indent="1"/>
    </xf>
    <xf numFmtId="0" fontId="5" fillId="0" borderId="19" xfId="0" applyFont="1" applyBorder="1" applyAlignment="1">
      <alignment horizontal="left" vertical="top" wrapText="1" indent="2"/>
    </xf>
    <xf numFmtId="0" fontId="59" fillId="51" borderId="19" xfId="89" applyFont="1" applyFill="1" applyBorder="1" applyAlignment="1">
      <alignment horizontal="left" vertical="top" wrapText="1"/>
      <protection/>
    </xf>
    <xf numFmtId="0" fontId="12" fillId="4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52" borderId="19" xfId="0" applyFont="1" applyFill="1" applyBorder="1" applyAlignment="1">
      <alignment horizontal="left" vertical="top" wrapText="1"/>
    </xf>
    <xf numFmtId="0" fontId="13" fillId="51" borderId="19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/>
    </xf>
    <xf numFmtId="164" fontId="33" fillId="51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top" wrapText="1" indent="2"/>
    </xf>
    <xf numFmtId="4" fontId="34" fillId="51" borderId="19" xfId="0" applyNumberFormat="1" applyFont="1" applyFill="1" applyBorder="1" applyAlignment="1">
      <alignment horizontal="right" vertical="center"/>
    </xf>
    <xf numFmtId="164" fontId="34" fillId="51" borderId="19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>
      <alignment horizontal="left" vertical="top" wrapText="1" indent="1"/>
    </xf>
    <xf numFmtId="0" fontId="13" fillId="51" borderId="19" xfId="0" applyFont="1" applyFill="1" applyBorder="1" applyAlignment="1">
      <alignment horizontal="left" vertical="center" wrapText="1"/>
    </xf>
    <xf numFmtId="4" fontId="36" fillId="51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164" fontId="35" fillId="0" borderId="19" xfId="0" applyNumberFormat="1" applyFont="1" applyFill="1" applyBorder="1" applyAlignment="1">
      <alignment horizontal="right" vertical="center"/>
    </xf>
    <xf numFmtId="4" fontId="34" fillId="51" borderId="19" xfId="0" applyNumberFormat="1" applyFont="1" applyFill="1" applyBorder="1" applyAlignment="1">
      <alignment horizontal="right" vertical="center" wrapText="1"/>
    </xf>
    <xf numFmtId="164" fontId="35" fillId="51" borderId="19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/>
    </xf>
    <xf numFmtId="0" fontId="13" fillId="51" borderId="23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 wrapText="1"/>
    </xf>
    <xf numFmtId="0" fontId="12" fillId="51" borderId="24" xfId="0" applyFont="1" applyFill="1" applyBorder="1" applyAlignment="1">
      <alignment horizontal="center" vertical="top" wrapText="1"/>
    </xf>
    <xf numFmtId="4" fontId="33" fillId="40" borderId="24" xfId="0" applyNumberFormat="1" applyFont="1" applyFill="1" applyBorder="1" applyAlignment="1">
      <alignment horizontal="right" vertical="center" wrapText="1"/>
    </xf>
    <xf numFmtId="0" fontId="33" fillId="0" borderId="24" xfId="0" applyFont="1" applyBorder="1" applyAlignment="1">
      <alignment horizontal="left" vertical="center"/>
    </xf>
    <xf numFmtId="4" fontId="35" fillId="51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 indent="1"/>
    </xf>
    <xf numFmtId="4" fontId="35" fillId="0" borderId="20" xfId="0" applyNumberFormat="1" applyFont="1" applyFill="1" applyBorder="1" applyAlignment="1">
      <alignment horizontal="right" vertical="center"/>
    </xf>
    <xf numFmtId="4" fontId="35" fillId="0" borderId="21" xfId="0" applyNumberFormat="1" applyFont="1" applyFill="1" applyBorder="1" applyAlignment="1">
      <alignment horizontal="right" vertical="center"/>
    </xf>
    <xf numFmtId="164" fontId="36" fillId="0" borderId="19" xfId="71" applyNumberFormat="1" applyFont="1" applyFill="1" applyBorder="1" applyAlignment="1">
      <alignment horizontal="right" vertical="center"/>
    </xf>
    <xf numFmtId="164" fontId="36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89" applyFont="1" applyFill="1" applyBorder="1" applyAlignment="1">
      <alignment horizontal="left" vertical="top" wrapText="1"/>
      <protection/>
    </xf>
    <xf numFmtId="4" fontId="34" fillId="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Border="1" applyAlignment="1">
      <alignment horizontal="right" vertical="center" wrapText="1"/>
    </xf>
    <xf numFmtId="0" fontId="37" fillId="0" borderId="21" xfId="0" applyFont="1" applyBorder="1" applyAlignment="1">
      <alignment horizontal="right" vertical="center" wrapText="1"/>
    </xf>
    <xf numFmtId="4" fontId="33" fillId="51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Fill="1" applyBorder="1" applyAlignment="1">
      <alignment horizontal="right" vertical="center" wrapText="1"/>
    </xf>
    <xf numFmtId="0" fontId="37" fillId="0" borderId="21" xfId="0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4" fontId="34" fillId="0" borderId="19" xfId="0" applyNumberFormat="1" applyFont="1" applyBorder="1" applyAlignment="1">
      <alignment horizontal="right" vertical="center"/>
    </xf>
    <xf numFmtId="4" fontId="34" fillId="29" borderId="19" xfId="0" applyNumberFormat="1" applyFont="1" applyFill="1" applyBorder="1" applyAlignment="1">
      <alignment horizontal="right" vertical="center"/>
    </xf>
    <xf numFmtId="4" fontId="36" fillId="51" borderId="19" xfId="0" applyNumberFormat="1" applyFont="1" applyFill="1" applyBorder="1" applyAlignment="1">
      <alignment horizontal="right" vertical="center"/>
    </xf>
    <xf numFmtId="4" fontId="33" fillId="29" borderId="19" xfId="0" applyNumberFormat="1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2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88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4.25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6.625" style="1" customWidth="1"/>
    <col min="13" max="13" width="8.125" style="1" hidden="1" customWidth="1"/>
    <col min="14" max="16384" width="9.125" style="1" customWidth="1"/>
  </cols>
  <sheetData>
    <row r="1" spans="2:13" ht="21" customHeight="1">
      <c r="B1" s="118" t="s">
        <v>84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2:8" ht="57.75" customHeight="1">
      <c r="B2" s="120" t="s">
        <v>0</v>
      </c>
      <c r="C2" s="14" t="s">
        <v>28</v>
      </c>
      <c r="D2" s="14" t="s">
        <v>29</v>
      </c>
      <c r="E2" s="14" t="s">
        <v>30</v>
      </c>
      <c r="F2" s="16" t="s">
        <v>2</v>
      </c>
      <c r="G2" s="14" t="s">
        <v>18</v>
      </c>
      <c r="H2" s="14" t="s">
        <v>3</v>
      </c>
    </row>
    <row r="3" spans="2:8" ht="12.75">
      <c r="B3" s="120"/>
      <c r="C3" s="121" t="s">
        <v>59</v>
      </c>
      <c r="D3" s="121"/>
      <c r="E3" s="121"/>
      <c r="F3" s="121" t="s">
        <v>4</v>
      </c>
      <c r="G3" s="121"/>
      <c r="H3" s="121"/>
    </row>
    <row r="4" spans="2:8" ht="9" customHeight="1">
      <c r="B4" s="16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</row>
    <row r="5" spans="2:8" ht="12.75">
      <c r="B5" s="68" t="s">
        <v>5</v>
      </c>
      <c r="C5" s="69">
        <f>33681523053.67</f>
        <v>33681523053.67</v>
      </c>
      <c r="D5" s="69">
        <f>34568621829.83</f>
        <v>34568621829.83</v>
      </c>
      <c r="E5" s="69">
        <f>34515282965.35</f>
        <v>34515282965.35</v>
      </c>
      <c r="F5" s="70">
        <f aca="true" t="shared" si="0" ref="F5:F33">IF($D$5=0,"",100*$D5/$D$5)</f>
        <v>100</v>
      </c>
      <c r="G5" s="70">
        <f aca="true" t="shared" si="1" ref="G5:G36">IF(C5=0,"",100*D5/C5)</f>
        <v>102.63378462650412</v>
      </c>
      <c r="H5" s="70"/>
    </row>
    <row r="6" spans="2:8" ht="25.5" customHeight="1">
      <c r="B6" s="61" t="s">
        <v>44</v>
      </c>
      <c r="C6" s="30">
        <f>C5-C11-C29</f>
        <v>12596995775.989998</v>
      </c>
      <c r="D6" s="30">
        <f>D5-D11-D29</f>
        <v>13994492210.990002</v>
      </c>
      <c r="E6" s="30">
        <f>E5-E11-E29</f>
        <v>13953314815.449997</v>
      </c>
      <c r="F6" s="31">
        <f t="shared" si="0"/>
        <v>40.483222848397894</v>
      </c>
      <c r="G6" s="31">
        <f t="shared" si="1"/>
        <v>111.09388666830903</v>
      </c>
      <c r="H6" s="31">
        <f>IF($D$6=0,"",100*$D6/$D$6)</f>
        <v>100</v>
      </c>
    </row>
    <row r="7" spans="2:8" ht="22.5" customHeight="1">
      <c r="B7" s="62" t="s">
        <v>19</v>
      </c>
      <c r="C7" s="32">
        <f>6145795911.1</f>
        <v>6145795911.1</v>
      </c>
      <c r="D7" s="32">
        <f>6172761296</f>
        <v>6172761296</v>
      </c>
      <c r="E7" s="32">
        <f>6098007148.63</f>
        <v>6098007148.63</v>
      </c>
      <c r="F7" s="33">
        <f t="shared" si="0"/>
        <v>17.856544372484624</v>
      </c>
      <c r="G7" s="33">
        <f t="shared" si="1"/>
        <v>100.43876147678931</v>
      </c>
      <c r="H7" s="33">
        <f>IF($D$6=0,"",100*$D7/$D$6)</f>
        <v>44.10850499564732</v>
      </c>
    </row>
    <row r="8" spans="2:8" ht="22.5" customHeight="1">
      <c r="B8" s="62" t="s">
        <v>26</v>
      </c>
      <c r="C8" s="32">
        <f>195440024.63</f>
        <v>195440024.63</v>
      </c>
      <c r="D8" s="32">
        <f>241495197.81</f>
        <v>241495197.81</v>
      </c>
      <c r="E8" s="32">
        <f>241896718.73</f>
        <v>241896718.73</v>
      </c>
      <c r="F8" s="33">
        <f t="shared" si="0"/>
        <v>0.6985965451524268</v>
      </c>
      <c r="G8" s="33">
        <f t="shared" si="1"/>
        <v>123.56486255422348</v>
      </c>
      <c r="H8" s="33">
        <f>IF($D$6=0,"",100*$D8/$D$6)</f>
        <v>1.7256445905222029</v>
      </c>
    </row>
    <row r="9" spans="2:8" ht="13.5" customHeight="1">
      <c r="B9" s="62" t="s">
        <v>20</v>
      </c>
      <c r="C9" s="32">
        <f>350862866.38</f>
        <v>350862866.38</v>
      </c>
      <c r="D9" s="71">
        <f>364205860.11</f>
        <v>364205860.11</v>
      </c>
      <c r="E9" s="32">
        <f>364126198.34</f>
        <v>364126198.34</v>
      </c>
      <c r="F9" s="33">
        <f t="shared" si="0"/>
        <v>1.0535735613148425</v>
      </c>
      <c r="G9" s="33">
        <f t="shared" si="1"/>
        <v>103.80290848891057</v>
      </c>
      <c r="H9" s="33">
        <f>IF($D$6=0,"",100*$D9/$D$6)</f>
        <v>2.602494285744686</v>
      </c>
    </row>
    <row r="10" spans="2:8" ht="13.5" customHeight="1">
      <c r="B10" s="62" t="s">
        <v>21</v>
      </c>
      <c r="C10" s="32">
        <f>C6-C8-C7-C9</f>
        <v>5904896973.879998</v>
      </c>
      <c r="D10" s="32">
        <f>D6-D8-D7-D9</f>
        <v>7216029857.070003</v>
      </c>
      <c r="E10" s="32">
        <f>E6-E8-E7-E9</f>
        <v>7249284749.749997</v>
      </c>
      <c r="F10" s="33">
        <f t="shared" si="0"/>
        <v>20.874508369446005</v>
      </c>
      <c r="G10" s="33">
        <f t="shared" si="1"/>
        <v>122.20416188444493</v>
      </c>
      <c r="H10" s="33">
        <f>IF($D$6=0,"",100*$D10/$D$6)</f>
        <v>51.56335612808579</v>
      </c>
    </row>
    <row r="11" spans="2:8" ht="26.25" customHeight="1">
      <c r="B11" s="68" t="s">
        <v>86</v>
      </c>
      <c r="C11" s="69">
        <f>C12+C25+C27</f>
        <v>7677137091.68</v>
      </c>
      <c r="D11" s="69">
        <f>D12+D25+D27</f>
        <v>7157009644.84</v>
      </c>
      <c r="E11" s="69">
        <f>E12+E25+E27</f>
        <v>7184796662.900001</v>
      </c>
      <c r="F11" s="70">
        <f t="shared" si="0"/>
        <v>20.703774885998097</v>
      </c>
      <c r="G11" s="70">
        <f t="shared" si="1"/>
        <v>93.2249816483845</v>
      </c>
      <c r="H11" s="72"/>
    </row>
    <row r="12" spans="2:8" ht="25.5" customHeight="1">
      <c r="B12" s="68" t="s">
        <v>45</v>
      </c>
      <c r="C12" s="69">
        <f>C13+C15+C17+C19+C21+C23</f>
        <v>5705335984.51</v>
      </c>
      <c r="D12" s="69">
        <f>D13+D15+D17+D19+D21+D23</f>
        <v>5489097468.14</v>
      </c>
      <c r="E12" s="69">
        <f>E13+E15+E17+E19+E21+E23</f>
        <v>5501839211.950001</v>
      </c>
      <c r="F12" s="70">
        <f t="shared" si="0"/>
        <v>15.878843811480333</v>
      </c>
      <c r="G12" s="70">
        <f t="shared" si="1"/>
        <v>96.20988988278539</v>
      </c>
      <c r="H12" s="36"/>
    </row>
    <row r="13" spans="2:8" ht="22.5" customHeight="1">
      <c r="B13" s="62" t="s">
        <v>9</v>
      </c>
      <c r="C13" s="32">
        <f>3480844314.02</f>
        <v>3480844314.02</v>
      </c>
      <c r="D13" s="32">
        <f>3377803885.62</f>
        <v>3377803885.62</v>
      </c>
      <c r="E13" s="32">
        <f>3381601091.79</f>
        <v>3381601091.79</v>
      </c>
      <c r="F13" s="33">
        <f t="shared" si="0"/>
        <v>9.771300407195351</v>
      </c>
      <c r="G13" s="33">
        <f t="shared" si="1"/>
        <v>97.03978635341494</v>
      </c>
      <c r="H13" s="36"/>
    </row>
    <row r="14" spans="2:8" ht="12.75">
      <c r="B14" s="73" t="s">
        <v>6</v>
      </c>
      <c r="C14" s="32">
        <f>201942684.15</f>
        <v>201942684.15</v>
      </c>
      <c r="D14" s="32">
        <f>134584287.97</f>
        <v>134584287.97</v>
      </c>
      <c r="E14" s="32">
        <f>135345696.98</f>
        <v>135345696.98</v>
      </c>
      <c r="F14" s="33">
        <f t="shared" si="0"/>
        <v>0.38932500298251504</v>
      </c>
      <c r="G14" s="33">
        <f t="shared" si="1"/>
        <v>66.64479504988297</v>
      </c>
      <c r="H14" s="36"/>
    </row>
    <row r="15" spans="2:8" ht="13.5" customHeight="1">
      <c r="B15" s="62" t="s">
        <v>7</v>
      </c>
      <c r="C15" s="32">
        <f>952016308.07</f>
        <v>952016308.07</v>
      </c>
      <c r="D15" s="32">
        <f>924773205.71</f>
        <v>924773205.71</v>
      </c>
      <c r="E15" s="32">
        <f>925069668.14</f>
        <v>925069668.14</v>
      </c>
      <c r="F15" s="33">
        <f t="shared" si="0"/>
        <v>2.6751810073955378</v>
      </c>
      <c r="G15" s="33">
        <f t="shared" si="1"/>
        <v>97.13837860453994</v>
      </c>
      <c r="H15" s="36"/>
    </row>
    <row r="16" spans="2:8" ht="12.75">
      <c r="B16" s="73" t="s">
        <v>6</v>
      </c>
      <c r="C16" s="32">
        <f>117053078.35</f>
        <v>117053078.35</v>
      </c>
      <c r="D16" s="32">
        <f>97971968.69</f>
        <v>97971968.69</v>
      </c>
      <c r="E16" s="32">
        <f>97978032.4</f>
        <v>97978032.4</v>
      </c>
      <c r="F16" s="33">
        <f t="shared" si="0"/>
        <v>0.28341300145630305</v>
      </c>
      <c r="G16" s="33">
        <f t="shared" si="1"/>
        <v>83.69875450610053</v>
      </c>
      <c r="H16" s="36"/>
    </row>
    <row r="17" spans="2:8" ht="33" customHeight="1">
      <c r="B17" s="62" t="s">
        <v>10</v>
      </c>
      <c r="C17" s="32">
        <f>58979116.21</f>
        <v>58979116.21</v>
      </c>
      <c r="D17" s="32">
        <f>43332749.76</f>
        <v>43332749.76</v>
      </c>
      <c r="E17" s="32">
        <f>46075118.56</f>
        <v>46075118.56</v>
      </c>
      <c r="F17" s="33">
        <f t="shared" si="0"/>
        <v>0.1253528415836562</v>
      </c>
      <c r="G17" s="33">
        <f t="shared" si="1"/>
        <v>73.47134468022576</v>
      </c>
      <c r="H17" s="36"/>
    </row>
    <row r="18" spans="2:8" ht="12.75">
      <c r="B18" s="73" t="s">
        <v>6</v>
      </c>
      <c r="C18" s="32">
        <f>3705978.27</f>
        <v>3705978.27</v>
      </c>
      <c r="D18" s="32">
        <f>1841115.89</f>
        <v>1841115.89</v>
      </c>
      <c r="E18" s="32">
        <f>1868056.78</f>
        <v>1868056.78</v>
      </c>
      <c r="F18" s="33">
        <f t="shared" si="0"/>
        <v>0.0053259742290659145</v>
      </c>
      <c r="G18" s="33">
        <f t="shared" si="1"/>
        <v>49.67961914142578</v>
      </c>
      <c r="H18" s="36"/>
    </row>
    <row r="19" spans="2:8" ht="25.5" customHeight="1">
      <c r="B19" s="62" t="s">
        <v>11</v>
      </c>
      <c r="C19" s="32">
        <f>420841018.75</f>
        <v>420841018.75</v>
      </c>
      <c r="D19" s="32">
        <f>390169156.95</f>
        <v>390169156.95</v>
      </c>
      <c r="E19" s="32">
        <f>391024209.96</f>
        <v>391024209.96</v>
      </c>
      <c r="F19" s="33">
        <f t="shared" si="0"/>
        <v>1.128680104375219</v>
      </c>
      <c r="G19" s="33">
        <f t="shared" si="1"/>
        <v>92.71176990040018</v>
      </c>
      <c r="H19" s="36"/>
    </row>
    <row r="20" spans="2:8" ht="12.75">
      <c r="B20" s="73" t="s">
        <v>6</v>
      </c>
      <c r="C20" s="32">
        <f>71032572.67</f>
        <v>71032572.67</v>
      </c>
      <c r="D20" s="32">
        <f>58025350.52</f>
        <v>58025350.52</v>
      </c>
      <c r="E20" s="32">
        <f>58057180.49</f>
        <v>58057180.49</v>
      </c>
      <c r="F20" s="33">
        <f t="shared" si="0"/>
        <v>0.16785555063675894</v>
      </c>
      <c r="G20" s="33">
        <f t="shared" si="1"/>
        <v>81.68836962948198</v>
      </c>
      <c r="H20" s="36"/>
    </row>
    <row r="21" spans="2:8" ht="33.75">
      <c r="B21" s="62" t="s">
        <v>60</v>
      </c>
      <c r="C21" s="32">
        <f>701743776.19</f>
        <v>701743776.19</v>
      </c>
      <c r="D21" s="32">
        <f>655732998.26</f>
        <v>655732998.26</v>
      </c>
      <c r="E21" s="32">
        <f>660265005.7</f>
        <v>660265005.7</v>
      </c>
      <c r="F21" s="33">
        <f t="shared" si="0"/>
        <v>1.8969023453927631</v>
      </c>
      <c r="G21" s="33">
        <f t="shared" si="1"/>
        <v>93.44336501567454</v>
      </c>
      <c r="H21" s="36"/>
    </row>
    <row r="22" spans="2:8" ht="12.75">
      <c r="B22" s="73" t="s">
        <v>6</v>
      </c>
      <c r="C22" s="32">
        <f>568064115.78</f>
        <v>568064115.78</v>
      </c>
      <c r="D22" s="32">
        <f>531038131.37</f>
        <v>531038131.37</v>
      </c>
      <c r="E22" s="32">
        <f>533978591.63</f>
        <v>533978591.63</v>
      </c>
      <c r="F22" s="33">
        <f t="shared" si="0"/>
        <v>1.5361854284620506</v>
      </c>
      <c r="G22" s="33">
        <f t="shared" si="1"/>
        <v>93.48207651540176</v>
      </c>
      <c r="H22" s="36"/>
    </row>
    <row r="23" spans="2:8" ht="15" customHeight="1">
      <c r="B23" s="62" t="s">
        <v>8</v>
      </c>
      <c r="C23" s="32">
        <f>90911451.27</f>
        <v>90911451.27</v>
      </c>
      <c r="D23" s="32">
        <f>97285471.84</f>
        <v>97285471.84</v>
      </c>
      <c r="E23" s="32">
        <f>97804117.8</f>
        <v>97804117.8</v>
      </c>
      <c r="F23" s="33">
        <f t="shared" si="0"/>
        <v>0.2814271055378039</v>
      </c>
      <c r="G23" s="33">
        <f t="shared" si="1"/>
        <v>107.01124058735974</v>
      </c>
      <c r="H23" s="36"/>
    </row>
    <row r="24" spans="2:8" ht="12.75">
      <c r="B24" s="73" t="s">
        <v>6</v>
      </c>
      <c r="C24" s="32">
        <f>73257252.68</f>
        <v>73257252.68</v>
      </c>
      <c r="D24" s="32">
        <f>80377633.22</f>
        <v>80377633.22</v>
      </c>
      <c r="E24" s="32">
        <f>81082271.69</f>
        <v>81082271.69</v>
      </c>
      <c r="F24" s="33">
        <f t="shared" si="0"/>
        <v>0.23251616340296338</v>
      </c>
      <c r="G24" s="33">
        <f t="shared" si="1"/>
        <v>109.71969365422835</v>
      </c>
      <c r="H24" s="36"/>
    </row>
    <row r="25" spans="2:8" ht="13.5" customHeight="1">
      <c r="B25" s="68" t="s">
        <v>71</v>
      </c>
      <c r="C25" s="30">
        <f>149721016.74</f>
        <v>149721016.74</v>
      </c>
      <c r="D25" s="30">
        <f>122959542.68</f>
        <v>122959542.68</v>
      </c>
      <c r="E25" s="30">
        <f>126583471.2</f>
        <v>126583471.2</v>
      </c>
      <c r="F25" s="34">
        <f t="shared" si="0"/>
        <v>0.3556969765392718</v>
      </c>
      <c r="G25" s="34">
        <f t="shared" si="1"/>
        <v>82.12577322629795</v>
      </c>
      <c r="H25" s="20"/>
    </row>
    <row r="26" spans="2:8" ht="13.5" customHeight="1">
      <c r="B26" s="63" t="s">
        <v>53</v>
      </c>
      <c r="C26" s="35">
        <f>68990255.91</f>
        <v>68990255.91</v>
      </c>
      <c r="D26" s="35">
        <f>51621432.38</f>
        <v>51621432.38</v>
      </c>
      <c r="E26" s="35">
        <f>53109958.01</f>
        <v>53109958.01</v>
      </c>
      <c r="F26" s="33">
        <f t="shared" si="0"/>
        <v>0.1493303164763565</v>
      </c>
      <c r="G26" s="33">
        <f t="shared" si="1"/>
        <v>74.82423669705156</v>
      </c>
      <c r="H26" s="20"/>
    </row>
    <row r="27" spans="2:8" ht="13.5" customHeight="1">
      <c r="B27" s="68" t="s">
        <v>72</v>
      </c>
      <c r="C27" s="74">
        <f>1822080090.43</f>
        <v>1822080090.43</v>
      </c>
      <c r="D27" s="74">
        <f>1544952634.02</f>
        <v>1544952634.02</v>
      </c>
      <c r="E27" s="74">
        <f>1556373979.75</f>
        <v>1556373979.75</v>
      </c>
      <c r="F27" s="75">
        <f t="shared" si="0"/>
        <v>4.469234097978495</v>
      </c>
      <c r="G27" s="75">
        <f t="shared" si="1"/>
        <v>84.79059960835204</v>
      </c>
      <c r="H27" s="20"/>
    </row>
    <row r="28" spans="2:8" ht="10.5" customHeight="1">
      <c r="B28" s="63" t="s">
        <v>69</v>
      </c>
      <c r="C28" s="35">
        <f>911947486.53</f>
        <v>911947486.53</v>
      </c>
      <c r="D28" s="35">
        <f>726675225</f>
        <v>726675225</v>
      </c>
      <c r="E28" s="35">
        <f>728302641.72</f>
        <v>728302641.72</v>
      </c>
      <c r="F28" s="33">
        <f t="shared" si="0"/>
        <v>2.1021237947442164</v>
      </c>
      <c r="G28" s="33">
        <f t="shared" si="1"/>
        <v>79.68388922974403</v>
      </c>
      <c r="H28" s="20"/>
    </row>
    <row r="29" spans="2:8" s="5" customFormat="1" ht="23.25" customHeight="1">
      <c r="B29" s="61" t="s">
        <v>46</v>
      </c>
      <c r="C29" s="30">
        <f>C30+C31+C32+C33</f>
        <v>13407390186</v>
      </c>
      <c r="D29" s="30">
        <f>D30+D31+D32+D33</f>
        <v>13417119974</v>
      </c>
      <c r="E29" s="30">
        <f>E30+E31+E32+E33</f>
        <v>13377171487</v>
      </c>
      <c r="F29" s="31">
        <f t="shared" si="0"/>
        <v>38.813002265604005</v>
      </c>
      <c r="G29" s="31">
        <f t="shared" si="1"/>
        <v>100.07257033520334</v>
      </c>
      <c r="H29" s="21"/>
    </row>
    <row r="30" spans="2:8" ht="11.25" customHeight="1">
      <c r="B30" s="62" t="s">
        <v>33</v>
      </c>
      <c r="C30" s="32">
        <f>9917701771</f>
        <v>9917701771</v>
      </c>
      <c r="D30" s="32">
        <f>9918594676</f>
        <v>9918594676</v>
      </c>
      <c r="E30" s="32">
        <f>9878646189</f>
        <v>9878646189</v>
      </c>
      <c r="F30" s="33">
        <f t="shared" si="0"/>
        <v>28.692479338129218</v>
      </c>
      <c r="G30" s="33">
        <f t="shared" si="1"/>
        <v>100.00900314428299</v>
      </c>
      <c r="H30" s="20"/>
    </row>
    <row r="31" spans="2:8" ht="10.5" customHeight="1">
      <c r="B31" s="62" t="s">
        <v>32</v>
      </c>
      <c r="C31" s="32">
        <f>719074246</f>
        <v>719074246</v>
      </c>
      <c r="D31" s="32">
        <f>719074246</f>
        <v>719074246</v>
      </c>
      <c r="E31" s="32">
        <f>719074246</f>
        <v>719074246</v>
      </c>
      <c r="F31" s="33">
        <f t="shared" si="0"/>
        <v>2.080135706710458</v>
      </c>
      <c r="G31" s="33">
        <f t="shared" si="1"/>
        <v>100</v>
      </c>
      <c r="H31" s="20"/>
    </row>
    <row r="32" spans="2:8" ht="11.25" customHeight="1">
      <c r="B32" s="62" t="s">
        <v>34</v>
      </c>
      <c r="C32" s="32">
        <f>2606799161</f>
        <v>2606799161</v>
      </c>
      <c r="D32" s="32">
        <f>2606799161</f>
        <v>2606799161</v>
      </c>
      <c r="E32" s="32">
        <f>2606799161</f>
        <v>2606799161</v>
      </c>
      <c r="F32" s="33">
        <f t="shared" si="0"/>
        <v>7.540940376021983</v>
      </c>
      <c r="G32" s="33">
        <f t="shared" si="1"/>
        <v>100</v>
      </c>
      <c r="H32" s="20"/>
    </row>
    <row r="33" spans="2:8" s="5" customFormat="1" ht="12" customHeight="1">
      <c r="B33" s="62" t="s">
        <v>31</v>
      </c>
      <c r="C33" s="32">
        <f>163815008</f>
        <v>163815008</v>
      </c>
      <c r="D33" s="32">
        <f>172651891</f>
        <v>172651891</v>
      </c>
      <c r="E33" s="32">
        <f>172651891</f>
        <v>172651891</v>
      </c>
      <c r="F33" s="33">
        <f t="shared" si="0"/>
        <v>0.49944684474234663</v>
      </c>
      <c r="G33" s="33">
        <f t="shared" si="1"/>
        <v>105.39442820770121</v>
      </c>
      <c r="H33" s="21"/>
    </row>
    <row r="34" spans="2:7" s="5" customFormat="1" ht="12.75">
      <c r="B34" s="76" t="s">
        <v>5</v>
      </c>
      <c r="C34" s="74">
        <f>+C5</f>
        <v>33681523053.67</v>
      </c>
      <c r="D34" s="74">
        <f>+D5</f>
        <v>34568621829.83</v>
      </c>
      <c r="E34" s="74">
        <f>+E5</f>
        <v>34515282965.35</v>
      </c>
      <c r="F34" s="75">
        <f>IF($D$5=0,"",100*$D34/$D$34)</f>
        <v>100</v>
      </c>
      <c r="G34" s="75">
        <f t="shared" si="1"/>
        <v>102.63378462650412</v>
      </c>
    </row>
    <row r="35" spans="2:7" s="5" customFormat="1" ht="13.5" customHeight="1">
      <c r="B35" s="62" t="s">
        <v>54</v>
      </c>
      <c r="C35" s="32">
        <f>3937482855.86</f>
        <v>3937482855.86</v>
      </c>
      <c r="D35" s="32">
        <f>4830196989.32</f>
        <v>4830196989.32</v>
      </c>
      <c r="E35" s="32">
        <f>4884305948.47</f>
        <v>4884305948.47</v>
      </c>
      <c r="F35" s="33">
        <f>IF($D$5=0,"",100*$D35/$D$34)</f>
        <v>13.972778588332151</v>
      </c>
      <c r="G35" s="33">
        <f t="shared" si="1"/>
        <v>122.67220369306266</v>
      </c>
    </row>
    <row r="36" spans="1:13" s="5" customFormat="1" ht="14.25" customHeight="1">
      <c r="A36" s="2"/>
      <c r="B36" s="62" t="s">
        <v>55</v>
      </c>
      <c r="C36" s="32">
        <f>C34-C35</f>
        <v>29744040197.809998</v>
      </c>
      <c r="D36" s="32">
        <f>D34-D35</f>
        <v>29738424840.510002</v>
      </c>
      <c r="E36" s="32">
        <f>E34-E35</f>
        <v>29630977016.879997</v>
      </c>
      <c r="F36" s="33">
        <f>IF($D$5=0,"",100*$D36/$D$34)</f>
        <v>86.02722141166784</v>
      </c>
      <c r="G36" s="33">
        <f t="shared" si="1"/>
        <v>99.98112106740493</v>
      </c>
      <c r="I36" s="15"/>
      <c r="J36" s="15"/>
      <c r="K36" s="9"/>
      <c r="L36" s="9"/>
      <c r="M36" s="3"/>
    </row>
    <row r="37" spans="2:13" ht="32.25" customHeight="1">
      <c r="B37" s="118" t="s">
        <v>84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2:13" s="5" customFormat="1" ht="9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120" t="s">
        <v>0</v>
      </c>
      <c r="C39" s="106" t="s">
        <v>40</v>
      </c>
      <c r="D39" s="106" t="s">
        <v>41</v>
      </c>
      <c r="E39" s="106" t="s">
        <v>42</v>
      </c>
      <c r="F39" s="106" t="s">
        <v>12</v>
      </c>
      <c r="G39" s="106"/>
      <c r="H39" s="106"/>
      <c r="I39" s="106" t="s">
        <v>70</v>
      </c>
      <c r="J39" s="106"/>
      <c r="K39" s="106" t="s">
        <v>2</v>
      </c>
      <c r="L39" s="119" t="s">
        <v>27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120"/>
      <c r="C40" s="106"/>
      <c r="D40" s="105"/>
      <c r="E40" s="106"/>
      <c r="F40" s="104" t="s">
        <v>43</v>
      </c>
      <c r="G40" s="107" t="s">
        <v>25</v>
      </c>
      <c r="H40" s="105"/>
      <c r="I40" s="106"/>
      <c r="J40" s="106"/>
      <c r="K40" s="106"/>
      <c r="L40" s="119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120"/>
      <c r="C41" s="106"/>
      <c r="D41" s="105"/>
      <c r="E41" s="106"/>
      <c r="F41" s="105"/>
      <c r="G41" s="17" t="s">
        <v>38</v>
      </c>
      <c r="H41" s="17" t="s">
        <v>39</v>
      </c>
      <c r="I41" s="106"/>
      <c r="J41" s="106"/>
      <c r="K41" s="106"/>
      <c r="L41" s="119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120"/>
      <c r="C42" s="121" t="s">
        <v>59</v>
      </c>
      <c r="D42" s="121"/>
      <c r="E42" s="121"/>
      <c r="F42" s="121"/>
      <c r="G42" s="121"/>
      <c r="H42" s="121"/>
      <c r="I42" s="121"/>
      <c r="J42" s="121"/>
      <c r="K42" s="121" t="s">
        <v>4</v>
      </c>
      <c r="L42" s="121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6">
        <v>1</v>
      </c>
      <c r="C43" s="18">
        <v>2</v>
      </c>
      <c r="D43" s="18">
        <v>3</v>
      </c>
      <c r="E43" s="18">
        <v>4</v>
      </c>
      <c r="F43" s="16">
        <v>5</v>
      </c>
      <c r="G43" s="16">
        <v>6</v>
      </c>
      <c r="H43" s="18">
        <v>7</v>
      </c>
      <c r="I43" s="105">
        <v>8</v>
      </c>
      <c r="J43" s="105"/>
      <c r="K43" s="16">
        <v>9</v>
      </c>
      <c r="L43" s="18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2" ht="25.5" customHeight="1">
      <c r="B44" s="77" t="s">
        <v>47</v>
      </c>
      <c r="C44" s="78">
        <f>35257925771.48</f>
        <v>35257925771.48</v>
      </c>
      <c r="D44" s="78">
        <f>32323227759.08</f>
        <v>32323227759.08</v>
      </c>
      <c r="E44" s="78">
        <f>32313926351.19</f>
        <v>32313926351.19</v>
      </c>
      <c r="F44" s="78">
        <f>1602575287.84</f>
        <v>1602575287.84</v>
      </c>
      <c r="G44" s="78">
        <f>911766.16</f>
        <v>911766.16</v>
      </c>
      <c r="H44" s="78">
        <f>2856576.92</f>
        <v>2856576.92</v>
      </c>
      <c r="I44" s="110">
        <f>225478726.74</f>
        <v>225478726.74</v>
      </c>
      <c r="J44" s="110"/>
      <c r="K44" s="55">
        <f aca="true" t="shared" si="2" ref="K44:K53">IF($E$44=0,"",100*$E44/$E$44)</f>
        <v>100</v>
      </c>
      <c r="L44" s="55">
        <f aca="true" t="shared" si="3" ref="L44:L53">IF(C44=0,"",100*E44/C44)</f>
        <v>91.6501060233345</v>
      </c>
    </row>
    <row r="45" spans="2:12" ht="12.75">
      <c r="B45" s="29" t="s">
        <v>14</v>
      </c>
      <c r="C45" s="39">
        <f>6411956061</f>
        <v>6411956061</v>
      </c>
      <c r="D45" s="39">
        <f>5284324396.59</f>
        <v>5284324396.59</v>
      </c>
      <c r="E45" s="39">
        <f>5286027170.31</f>
        <v>5286027170.31</v>
      </c>
      <c r="F45" s="39">
        <f>68579306.09</f>
        <v>68579306.09</v>
      </c>
      <c r="G45" s="39">
        <f>55385</f>
        <v>55385</v>
      </c>
      <c r="H45" s="39">
        <f>0</f>
        <v>0</v>
      </c>
      <c r="I45" s="101">
        <f>186946628.35</f>
        <v>186946628.35</v>
      </c>
      <c r="J45" s="111"/>
      <c r="K45" s="40">
        <f t="shared" si="2"/>
        <v>16.358356186311404</v>
      </c>
      <c r="L45" s="40">
        <f t="shared" si="3"/>
        <v>82.4401652166905</v>
      </c>
    </row>
    <row r="46" spans="2:12" ht="22.5" customHeight="1">
      <c r="B46" s="19" t="s">
        <v>13</v>
      </c>
      <c r="C46" s="35">
        <f>6313633897.95</f>
        <v>6313633897.95</v>
      </c>
      <c r="D46" s="35">
        <f>5194680840.25</f>
        <v>5194680840.25</v>
      </c>
      <c r="E46" s="35">
        <f>5196383613.97</f>
        <v>5196383613.97</v>
      </c>
      <c r="F46" s="35">
        <f>68579306.09</f>
        <v>68579306.09</v>
      </c>
      <c r="G46" s="35">
        <f>55385</f>
        <v>55385</v>
      </c>
      <c r="H46" s="35">
        <f>0</f>
        <v>0</v>
      </c>
      <c r="I46" s="108">
        <f>186946628.35</f>
        <v>186946628.35</v>
      </c>
      <c r="J46" s="109"/>
      <c r="K46" s="41">
        <f t="shared" si="2"/>
        <v>16.080941565241382</v>
      </c>
      <c r="L46" s="41">
        <f t="shared" si="3"/>
        <v>82.3041642572471</v>
      </c>
    </row>
    <row r="47" spans="2:12" ht="25.5" customHeight="1">
      <c r="B47" s="29" t="s">
        <v>48</v>
      </c>
      <c r="C47" s="39">
        <f aca="true" t="shared" si="4" ref="C47:I47">C44-C45</f>
        <v>28845969710.480003</v>
      </c>
      <c r="D47" s="39">
        <f t="shared" si="4"/>
        <v>27038903362.49</v>
      </c>
      <c r="E47" s="39">
        <f t="shared" si="4"/>
        <v>27027899180.879997</v>
      </c>
      <c r="F47" s="39">
        <f t="shared" si="4"/>
        <v>1533995981.75</v>
      </c>
      <c r="G47" s="39">
        <f t="shared" si="4"/>
        <v>856381.16</v>
      </c>
      <c r="H47" s="39">
        <f t="shared" si="4"/>
        <v>2856576.92</v>
      </c>
      <c r="I47" s="101">
        <f t="shared" si="4"/>
        <v>38532098.390000015</v>
      </c>
      <c r="J47" s="101"/>
      <c r="K47" s="40">
        <f t="shared" si="2"/>
        <v>83.64164381368859</v>
      </c>
      <c r="L47" s="40">
        <f t="shared" si="3"/>
        <v>93.69731526501782</v>
      </c>
    </row>
    <row r="48" spans="2:12" ht="22.5">
      <c r="B48" s="19" t="s">
        <v>83</v>
      </c>
      <c r="C48" s="35">
        <f>17424330400.94</f>
        <v>17424330400.94</v>
      </c>
      <c r="D48" s="35">
        <f>16973515028.47</f>
        <v>16973515028.47</v>
      </c>
      <c r="E48" s="35">
        <f>16967722489.19</f>
        <v>16967722489.19</v>
      </c>
      <c r="F48" s="35">
        <f>1338255806.3</f>
        <v>1338255806.3</v>
      </c>
      <c r="G48" s="35">
        <f>0</f>
        <v>0</v>
      </c>
      <c r="H48" s="35">
        <f>0</f>
        <v>0</v>
      </c>
      <c r="I48" s="108">
        <f>10302.89</f>
        <v>10302.89</v>
      </c>
      <c r="J48" s="109"/>
      <c r="K48" s="41">
        <f t="shared" si="2"/>
        <v>52.50900897892634</v>
      </c>
      <c r="L48" s="41">
        <f t="shared" si="3"/>
        <v>97.37948086816945</v>
      </c>
    </row>
    <row r="49" spans="2:12" ht="13.5" customHeight="1">
      <c r="B49" s="22" t="s">
        <v>37</v>
      </c>
      <c r="C49" s="79">
        <f>2184339018.46</f>
        <v>2184339018.46</v>
      </c>
      <c r="D49" s="79">
        <f>2065570178.95</f>
        <v>2065570178.95</v>
      </c>
      <c r="E49" s="79">
        <f>2064119747.6</f>
        <v>2064119747.6</v>
      </c>
      <c r="F49" s="79">
        <f>1839769.7</f>
        <v>1839769.7</v>
      </c>
      <c r="G49" s="79">
        <f>0</f>
        <v>0</v>
      </c>
      <c r="H49" s="79">
        <f>1428251</f>
        <v>1428251</v>
      </c>
      <c r="I49" s="98">
        <f>0</f>
        <v>0</v>
      </c>
      <c r="J49" s="98"/>
      <c r="K49" s="80">
        <f t="shared" si="2"/>
        <v>6.387709513127569</v>
      </c>
      <c r="L49" s="80">
        <f t="shared" si="3"/>
        <v>94.49630895918543</v>
      </c>
    </row>
    <row r="50" spans="2:12" ht="13.5" customHeight="1">
      <c r="B50" s="22" t="s">
        <v>36</v>
      </c>
      <c r="C50" s="32">
        <f>175824650.43</f>
        <v>175824650.43</v>
      </c>
      <c r="D50" s="32">
        <f>131470779.11</f>
        <v>131470779.11</v>
      </c>
      <c r="E50" s="32">
        <f>131469838.17</f>
        <v>131469838.17</v>
      </c>
      <c r="F50" s="32">
        <f>1711293.93</f>
        <v>1711293.93</v>
      </c>
      <c r="G50" s="32">
        <f>0</f>
        <v>0</v>
      </c>
      <c r="H50" s="32">
        <f>106.19</f>
        <v>106.19</v>
      </c>
      <c r="I50" s="97">
        <f>0</f>
        <v>0</v>
      </c>
      <c r="J50" s="97"/>
      <c r="K50" s="80">
        <f t="shared" si="2"/>
        <v>0.4068519459417486</v>
      </c>
      <c r="L50" s="80">
        <f t="shared" si="3"/>
        <v>74.77326862216131</v>
      </c>
    </row>
    <row r="51" spans="2:12" ht="22.5" customHeight="1">
      <c r="B51" s="22" t="s">
        <v>51</v>
      </c>
      <c r="C51" s="79">
        <f>31119250.5</f>
        <v>31119250.5</v>
      </c>
      <c r="D51" s="79">
        <f>3906257.22</f>
        <v>3906257.22</v>
      </c>
      <c r="E51" s="79">
        <f>3906257.22</f>
        <v>3906257.22</v>
      </c>
      <c r="F51" s="79">
        <f>81600</f>
        <v>81600</v>
      </c>
      <c r="G51" s="79">
        <f>0</f>
        <v>0</v>
      </c>
      <c r="H51" s="79">
        <f>0</f>
        <v>0</v>
      </c>
      <c r="I51" s="98">
        <f>0</f>
        <v>0</v>
      </c>
      <c r="J51" s="98"/>
      <c r="K51" s="80">
        <f t="shared" si="2"/>
        <v>0.012088463585472484</v>
      </c>
      <c r="L51" s="80">
        <f t="shared" si="3"/>
        <v>12.55254274199181</v>
      </c>
    </row>
    <row r="52" spans="2:12" ht="22.5" customHeight="1">
      <c r="B52" s="22" t="s">
        <v>52</v>
      </c>
      <c r="C52" s="79">
        <f>1261559321.5</f>
        <v>1261559321.5</v>
      </c>
      <c r="D52" s="79">
        <f>1176523272.01</f>
        <v>1176523272.01</v>
      </c>
      <c r="E52" s="79">
        <f>1176143501.24</f>
        <v>1176143501.24</v>
      </c>
      <c r="F52" s="79">
        <f>10375342.27</f>
        <v>10375342.27</v>
      </c>
      <c r="G52" s="79">
        <f>0</f>
        <v>0</v>
      </c>
      <c r="H52" s="79">
        <f>9302</f>
        <v>9302</v>
      </c>
      <c r="I52" s="102">
        <f>7200</f>
        <v>7200</v>
      </c>
      <c r="J52" s="103"/>
      <c r="K52" s="80">
        <f t="shared" si="2"/>
        <v>3.639741851415983</v>
      </c>
      <c r="L52" s="80">
        <f t="shared" si="3"/>
        <v>93.2293457149173</v>
      </c>
    </row>
    <row r="53" spans="2:12" ht="13.5" customHeight="1">
      <c r="B53" s="19" t="s">
        <v>35</v>
      </c>
      <c r="C53" s="35">
        <f aca="true" t="shared" si="5" ref="C53:I53">C47-C48-C49-C50-C51-C52</f>
        <v>7768797068.650005</v>
      </c>
      <c r="D53" s="35">
        <f t="shared" si="5"/>
        <v>6687917846.730002</v>
      </c>
      <c r="E53" s="35">
        <f t="shared" si="5"/>
        <v>6684537347.459996</v>
      </c>
      <c r="F53" s="35">
        <f t="shared" si="5"/>
        <v>181732169.55000004</v>
      </c>
      <c r="G53" s="35">
        <f t="shared" si="5"/>
        <v>856381.16</v>
      </c>
      <c r="H53" s="35">
        <f t="shared" si="5"/>
        <v>1418917.73</v>
      </c>
      <c r="I53" s="99">
        <f t="shared" si="5"/>
        <v>38514595.500000015</v>
      </c>
      <c r="J53" s="100"/>
      <c r="K53" s="41">
        <f t="shared" si="2"/>
        <v>20.686243060691478</v>
      </c>
      <c r="L53" s="41">
        <f t="shared" si="3"/>
        <v>86.04340270946963</v>
      </c>
    </row>
    <row r="54" spans="2:13" ht="12.75">
      <c r="B54" s="77" t="s">
        <v>15</v>
      </c>
      <c r="C54" s="85">
        <f>C5-C44</f>
        <v>-1576402717.8100052</v>
      </c>
      <c r="D54" s="85"/>
      <c r="E54" s="85">
        <f>D5-E44</f>
        <v>2254695478.640003</v>
      </c>
      <c r="F54" s="85"/>
      <c r="G54" s="85"/>
      <c r="H54" s="85"/>
      <c r="I54" s="101"/>
      <c r="J54" s="101"/>
      <c r="K54" s="89"/>
      <c r="L54" s="89"/>
      <c r="M54" s="13"/>
    </row>
    <row r="55" spans="2:13" ht="39" customHeight="1">
      <c r="B55" s="86" t="s">
        <v>73</v>
      </c>
      <c r="C55" s="87">
        <f>C36-C47</f>
        <v>898070487.3299942</v>
      </c>
      <c r="D55" s="88"/>
      <c r="E55" s="87">
        <f>D36-E47</f>
        <v>2710525659.630005</v>
      </c>
      <c r="F55" s="88"/>
      <c r="G55" s="88"/>
      <c r="H55" s="88"/>
      <c r="I55" s="88"/>
      <c r="J55" s="88"/>
      <c r="K55" s="42"/>
      <c r="L55" s="43"/>
      <c r="M55" s="10"/>
    </row>
    <row r="56" spans="2:13" ht="12" customHeight="1" thickBot="1">
      <c r="B56" s="37"/>
      <c r="C56" s="44"/>
      <c r="D56" s="44"/>
      <c r="E56" s="44"/>
      <c r="F56" s="45"/>
      <c r="G56" s="45"/>
      <c r="H56" s="45"/>
      <c r="I56" s="45"/>
      <c r="J56" s="42"/>
      <c r="K56" s="42"/>
      <c r="L56" s="43"/>
      <c r="M56" s="10"/>
    </row>
    <row r="57" spans="2:13" ht="12" customHeight="1" thickBot="1">
      <c r="B57" s="38" t="s">
        <v>56</v>
      </c>
      <c r="C57" s="44"/>
      <c r="D57" s="44"/>
      <c r="E57" s="44"/>
      <c r="F57" s="45"/>
      <c r="G57" s="45"/>
      <c r="H57" s="45"/>
      <c r="I57" s="45"/>
      <c r="J57" s="42"/>
      <c r="K57" s="42"/>
      <c r="L57" s="43"/>
      <c r="M57" s="10"/>
    </row>
    <row r="58" spans="2:13" ht="30" customHeight="1" thickBot="1">
      <c r="B58" s="84" t="s">
        <v>74</v>
      </c>
      <c r="C58" s="81">
        <f>2523232024.56</f>
        <v>2523232024.56</v>
      </c>
      <c r="D58" s="81">
        <f>1874087122.42</f>
        <v>1874087122.42</v>
      </c>
      <c r="E58" s="81">
        <f>1874632405.84</f>
        <v>1874632405.84</v>
      </c>
      <c r="F58" s="81">
        <f>29392442.02</f>
        <v>29392442.02</v>
      </c>
      <c r="G58" s="81">
        <f>0</f>
        <v>0</v>
      </c>
      <c r="H58" s="81">
        <f>0</f>
        <v>0</v>
      </c>
      <c r="I58" s="81">
        <f>27789800.77</f>
        <v>27789800.77</v>
      </c>
      <c r="J58" s="81">
        <f>0</f>
        <v>0</v>
      </c>
      <c r="K58" s="55">
        <f>IF($E$44=0,"",100*$E58/$E$58)</f>
        <v>100</v>
      </c>
      <c r="L58" s="82">
        <f>IF(C58=0,"",100*E58/C58)</f>
        <v>74.29488796881046</v>
      </c>
      <c r="M58" s="10"/>
    </row>
    <row r="59" spans="2:12" ht="13.5" thickBot="1">
      <c r="B59" s="83" t="s">
        <v>57</v>
      </c>
      <c r="C59" s="79">
        <f>1280764687.5</f>
        <v>1280764687.5</v>
      </c>
      <c r="D59" s="79">
        <f>992003386.41</f>
        <v>992003386.41</v>
      </c>
      <c r="E59" s="79">
        <f>993114401.01</f>
        <v>993114401.01</v>
      </c>
      <c r="F59" s="79">
        <f>25524711.24</f>
        <v>25524711.24</v>
      </c>
      <c r="G59" s="79">
        <f>0</f>
        <v>0</v>
      </c>
      <c r="H59" s="79">
        <f>0</f>
        <v>0</v>
      </c>
      <c r="I59" s="79">
        <f>25430103.6</f>
        <v>25430103.6</v>
      </c>
      <c r="J59" s="79">
        <f>0</f>
        <v>0</v>
      </c>
      <c r="K59" s="80">
        <f>IF($E$44=0,"",100*$E59/$E$58)</f>
        <v>52.97648743914664</v>
      </c>
      <c r="L59" s="80">
        <f>IF(C59=0,"",100*E59/C59)</f>
        <v>77.5407388025757</v>
      </c>
    </row>
    <row r="60" spans="2:12" ht="13.5" thickBot="1">
      <c r="B60" s="83" t="s">
        <v>58</v>
      </c>
      <c r="C60" s="79">
        <f>C58-C59</f>
        <v>1242467337.06</v>
      </c>
      <c r="D60" s="79">
        <f aca="true" t="shared" si="6" ref="D60:J60">D58-D59</f>
        <v>882083736.0100001</v>
      </c>
      <c r="E60" s="79">
        <f t="shared" si="6"/>
        <v>881518004.8299999</v>
      </c>
      <c r="F60" s="79">
        <f t="shared" si="6"/>
        <v>3867730.780000001</v>
      </c>
      <c r="G60" s="79">
        <f t="shared" si="6"/>
        <v>0</v>
      </c>
      <c r="H60" s="79">
        <f t="shared" si="6"/>
        <v>0</v>
      </c>
      <c r="I60" s="79">
        <f t="shared" si="6"/>
        <v>2359697.169999998</v>
      </c>
      <c r="J60" s="79">
        <f t="shared" si="6"/>
        <v>0</v>
      </c>
      <c r="K60" s="80">
        <f>IF($E$44=0,"",100*$E60/$E$58)</f>
        <v>47.02351256085336</v>
      </c>
      <c r="L60" s="80">
        <f>IF(C60=0,"",100*E60/C60)</f>
        <v>70.94898823786389</v>
      </c>
    </row>
    <row r="61" spans="2:13" ht="25.5" customHeight="1">
      <c r="B61" s="118" t="s">
        <v>84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</row>
    <row r="62" spans="2:8" ht="12.75">
      <c r="B62" s="26" t="s">
        <v>16</v>
      </c>
      <c r="C62" s="112" t="s">
        <v>17</v>
      </c>
      <c r="D62" s="113"/>
      <c r="E62" s="112" t="s">
        <v>1</v>
      </c>
      <c r="F62" s="113"/>
      <c r="G62" s="18" t="s">
        <v>22</v>
      </c>
      <c r="H62" s="18" t="s">
        <v>23</v>
      </c>
    </row>
    <row r="63" spans="2:8" ht="12.75">
      <c r="B63" s="26"/>
      <c r="C63" s="104" t="s">
        <v>59</v>
      </c>
      <c r="D63" s="114"/>
      <c r="E63" s="114"/>
      <c r="F63" s="115"/>
      <c r="G63" s="116" t="s">
        <v>4</v>
      </c>
      <c r="H63" s="117"/>
    </row>
    <row r="64" spans="2:8" ht="12.75">
      <c r="B64" s="24">
        <v>1</v>
      </c>
      <c r="C64" s="27">
        <v>2</v>
      </c>
      <c r="D64" s="28"/>
      <c r="E64" s="27">
        <v>3</v>
      </c>
      <c r="F64" s="28"/>
      <c r="G64" s="25">
        <v>4</v>
      </c>
      <c r="H64" s="25">
        <v>5</v>
      </c>
    </row>
    <row r="65" spans="2:8" ht="22.5">
      <c r="B65" s="65" t="s">
        <v>49</v>
      </c>
      <c r="C65" s="46">
        <f>2807036707.48</f>
        <v>2807036707.48</v>
      </c>
      <c r="D65" s="47"/>
      <c r="E65" s="46">
        <f>3887551058.93</f>
        <v>3887551058.93</v>
      </c>
      <c r="F65" s="47"/>
      <c r="G65" s="48">
        <f>IF($E$65=0,"",100*$E65/$E$65)</f>
        <v>100</v>
      </c>
      <c r="H65" s="40">
        <f>IF(C65=0,"",100*E65/C65)</f>
        <v>138.49306097674886</v>
      </c>
    </row>
    <row r="66" spans="2:8" ht="25.5" customHeight="1">
      <c r="B66" s="66" t="s">
        <v>75</v>
      </c>
      <c r="C66" s="49">
        <f>921934032.32</f>
        <v>921934032.32</v>
      </c>
      <c r="D66" s="50"/>
      <c r="E66" s="49">
        <f>783267620.23</f>
        <v>783267620.23</v>
      </c>
      <c r="F66" s="50"/>
      <c r="G66" s="51">
        <f aca="true" t="shared" si="7" ref="G66:G73">IF($E$65=0,"",100*$E66/$E$65)</f>
        <v>20.148098593606246</v>
      </c>
      <c r="H66" s="52">
        <f aca="true" t="shared" si="8" ref="H66:H78">IF(C66=0,"",100*E66/C66)</f>
        <v>84.95918284510519</v>
      </c>
    </row>
    <row r="67" spans="2:8" ht="24" customHeight="1">
      <c r="B67" s="90" t="s">
        <v>76</v>
      </c>
      <c r="C67" s="91">
        <f>16600000</f>
        <v>16600000</v>
      </c>
      <c r="D67" s="92"/>
      <c r="E67" s="91">
        <f>16600000</f>
        <v>16600000</v>
      </c>
      <c r="F67" s="92"/>
      <c r="G67" s="93">
        <f t="shared" si="7"/>
        <v>0.4270040379757467</v>
      </c>
      <c r="H67" s="94">
        <f t="shared" si="8"/>
        <v>100</v>
      </c>
    </row>
    <row r="68" spans="2:8" ht="12.75">
      <c r="B68" s="95" t="s">
        <v>77</v>
      </c>
      <c r="C68" s="91">
        <f>41657566.72</f>
        <v>41657566.72</v>
      </c>
      <c r="D68" s="92"/>
      <c r="E68" s="91">
        <f>37757693.48</f>
        <v>37757693.48</v>
      </c>
      <c r="F68" s="92"/>
      <c r="G68" s="93">
        <f t="shared" si="7"/>
        <v>0.9712462397958146</v>
      </c>
      <c r="H68" s="94">
        <f t="shared" si="8"/>
        <v>90.63825963188663</v>
      </c>
    </row>
    <row r="69" spans="2:8" ht="16.5" customHeight="1">
      <c r="B69" s="95" t="s">
        <v>78</v>
      </c>
      <c r="C69" s="91">
        <f>222865337.57</f>
        <v>222865337.57</v>
      </c>
      <c r="D69" s="92"/>
      <c r="E69" s="91">
        <f>488994265.54</f>
        <v>488994265.54</v>
      </c>
      <c r="F69" s="92"/>
      <c r="G69" s="93">
        <f t="shared" si="7"/>
        <v>12.57846541762437</v>
      </c>
      <c r="H69" s="94">
        <f t="shared" si="8"/>
        <v>219.41243572092557</v>
      </c>
    </row>
    <row r="70" spans="2:8" ht="54" customHeight="1">
      <c r="B70" s="95" t="s">
        <v>85</v>
      </c>
      <c r="C70" s="91">
        <f>572827964</f>
        <v>572827964</v>
      </c>
      <c r="D70" s="92"/>
      <c r="E70" s="91">
        <f>675413796.02</f>
        <v>675413796.02</v>
      </c>
      <c r="F70" s="92"/>
      <c r="G70" s="93">
        <f t="shared" si="7"/>
        <v>17.373760132835383</v>
      </c>
      <c r="H70" s="94">
        <f t="shared" si="8"/>
        <v>117.90866341504235</v>
      </c>
    </row>
    <row r="71" spans="2:8" ht="12.75">
      <c r="B71" s="95" t="s">
        <v>79</v>
      </c>
      <c r="C71" s="91">
        <f>0</f>
        <v>0</v>
      </c>
      <c r="D71" s="92"/>
      <c r="E71" s="91">
        <f>0</f>
        <v>0</v>
      </c>
      <c r="F71" s="92"/>
      <c r="G71" s="93">
        <f t="shared" si="7"/>
        <v>0</v>
      </c>
      <c r="H71" s="94">
        <f t="shared" si="8"/>
      </c>
    </row>
    <row r="72" spans="2:8" ht="33.75">
      <c r="B72" s="95" t="s">
        <v>61</v>
      </c>
      <c r="C72" s="91">
        <f>1047575517.77</f>
        <v>1047575517.77</v>
      </c>
      <c r="D72" s="92"/>
      <c r="E72" s="91">
        <f>1901941394.56</f>
        <v>1901941394.56</v>
      </c>
      <c r="F72" s="92"/>
      <c r="G72" s="93">
        <f t="shared" si="7"/>
        <v>48.92389490785198</v>
      </c>
      <c r="H72" s="94">
        <f t="shared" si="8"/>
        <v>181.55649519270074</v>
      </c>
    </row>
    <row r="73" spans="2:8" ht="12.75">
      <c r="B73" s="90" t="s">
        <v>62</v>
      </c>
      <c r="C73" s="91">
        <f>176289.1</f>
        <v>176289.1</v>
      </c>
      <c r="D73" s="92"/>
      <c r="E73" s="91">
        <f>176289.1</f>
        <v>176289.1</v>
      </c>
      <c r="F73" s="92"/>
      <c r="G73" s="93">
        <f t="shared" si="7"/>
        <v>0.004534708286211458</v>
      </c>
      <c r="H73" s="94">
        <f t="shared" si="8"/>
        <v>100</v>
      </c>
    </row>
    <row r="74" spans="2:8" ht="22.5">
      <c r="B74" s="65" t="s">
        <v>50</v>
      </c>
      <c r="C74" s="58">
        <f>1203509114.3</f>
        <v>1203509114.3</v>
      </c>
      <c r="D74" s="59"/>
      <c r="E74" s="58">
        <f>1099606771.43</f>
        <v>1099606771.43</v>
      </c>
      <c r="F74" s="59"/>
      <c r="G74" s="48">
        <f>IF($E$74=0,"",100*$E74/$E$74)</f>
        <v>100</v>
      </c>
      <c r="H74" s="40">
        <f t="shared" si="8"/>
        <v>91.36671740700253</v>
      </c>
    </row>
    <row r="75" spans="2:8" ht="33.75" customHeight="1">
      <c r="B75" s="66" t="s">
        <v>82</v>
      </c>
      <c r="C75" s="49">
        <f>867536484.52</f>
        <v>867536484.52</v>
      </c>
      <c r="D75" s="57"/>
      <c r="E75" s="56">
        <f>842967990.69</f>
        <v>842967990.69</v>
      </c>
      <c r="F75" s="57"/>
      <c r="G75" s="51">
        <f>IF($E$74=0,"",100*$E75/$E$74)</f>
        <v>76.66085846249834</v>
      </c>
      <c r="H75" s="52">
        <f t="shared" si="8"/>
        <v>97.16801606982634</v>
      </c>
    </row>
    <row r="76" spans="2:8" ht="12" customHeight="1">
      <c r="B76" s="95" t="s">
        <v>80</v>
      </c>
      <c r="C76" s="91">
        <f>38323000</f>
        <v>38323000</v>
      </c>
      <c r="D76" s="92"/>
      <c r="E76" s="91">
        <f>27708000</f>
        <v>27708000</v>
      </c>
      <c r="F76" s="92"/>
      <c r="G76" s="93">
        <f>IF($E$74=0,"",100*$E76/$E$74)</f>
        <v>2.519809873848514</v>
      </c>
      <c r="H76" s="94">
        <f t="shared" si="8"/>
        <v>72.3012290269551</v>
      </c>
    </row>
    <row r="77" spans="2:8" ht="12.75">
      <c r="B77" s="95" t="s">
        <v>81</v>
      </c>
      <c r="C77" s="91">
        <f>73531973.25</f>
        <v>73531973.25</v>
      </c>
      <c r="D77" s="92"/>
      <c r="E77" s="91">
        <f>70516885.14</f>
        <v>70516885.14</v>
      </c>
      <c r="F77" s="92"/>
      <c r="G77" s="93">
        <f>IF($E$74=0,"",100*$E77/$E$74)</f>
        <v>6.412918415216311</v>
      </c>
      <c r="H77" s="94">
        <f t="shared" si="8"/>
        <v>95.89962301195283</v>
      </c>
    </row>
    <row r="78" spans="2:8" ht="12.75">
      <c r="B78" s="67" t="s">
        <v>24</v>
      </c>
      <c r="C78" s="91">
        <f>262440656.53</f>
        <v>262440656.53</v>
      </c>
      <c r="D78" s="92"/>
      <c r="E78" s="91">
        <f>186121895.6</f>
        <v>186121895.6</v>
      </c>
      <c r="F78" s="92"/>
      <c r="G78" s="93">
        <f>IF($E$74=0,"",100*$E78/$E$74)</f>
        <v>16.926223122285343</v>
      </c>
      <c r="H78" s="94">
        <f t="shared" si="8"/>
        <v>70.91961209856375</v>
      </c>
    </row>
    <row r="79" ht="12.75">
      <c r="B79" s="23"/>
    </row>
    <row r="80" spans="2:6" ht="12.75">
      <c r="B80" s="60" t="s">
        <v>16</v>
      </c>
      <c r="C80" s="112" t="s">
        <v>17</v>
      </c>
      <c r="D80" s="113"/>
      <c r="E80" s="112" t="s">
        <v>1</v>
      </c>
      <c r="F80" s="113"/>
    </row>
    <row r="81" spans="2:6" ht="12.75">
      <c r="B81" s="60"/>
      <c r="C81" s="104" t="s">
        <v>59</v>
      </c>
      <c r="D81" s="114"/>
      <c r="E81" s="114"/>
      <c r="F81" s="115"/>
    </row>
    <row r="82" spans="2:6" ht="12.75">
      <c r="B82" s="24">
        <v>1</v>
      </c>
      <c r="C82" s="27">
        <v>2</v>
      </c>
      <c r="D82" s="28"/>
      <c r="E82" s="27">
        <v>3</v>
      </c>
      <c r="F82" s="28"/>
    </row>
    <row r="83" spans="2:6" ht="22.5">
      <c r="B83" s="64" t="s">
        <v>63</v>
      </c>
      <c r="C83" s="53">
        <f>1754530968.46</f>
        <v>1754530968.46</v>
      </c>
      <c r="D83" s="54"/>
      <c r="E83" s="53">
        <f>179527264.13</f>
        <v>179527264.13</v>
      </c>
      <c r="F83" s="47"/>
    </row>
    <row r="84" spans="2:6" ht="48.75" customHeight="1">
      <c r="B84" s="96" t="s">
        <v>64</v>
      </c>
      <c r="C84" s="91">
        <f>14600000</f>
        <v>14600000</v>
      </c>
      <c r="D84" s="92"/>
      <c r="E84" s="91">
        <f>486363.58</f>
        <v>486363.58</v>
      </c>
      <c r="F84" s="92"/>
    </row>
    <row r="85" spans="2:6" ht="12.75">
      <c r="B85" s="96" t="s">
        <v>65</v>
      </c>
      <c r="C85" s="91">
        <f>557653701.11</f>
        <v>557653701.11</v>
      </c>
      <c r="D85" s="92"/>
      <c r="E85" s="91">
        <f>88036503.32</f>
        <v>88036503.32</v>
      </c>
      <c r="F85" s="92"/>
    </row>
    <row r="86" spans="2:6" ht="22.5">
      <c r="B86" s="96" t="s">
        <v>66</v>
      </c>
      <c r="C86" s="91">
        <f>0</f>
        <v>0</v>
      </c>
      <c r="D86" s="92"/>
      <c r="E86" s="91">
        <f>0</f>
        <v>0</v>
      </c>
      <c r="F86" s="92"/>
    </row>
    <row r="87" spans="2:6" ht="33.75">
      <c r="B87" s="96" t="s">
        <v>67</v>
      </c>
      <c r="C87" s="91">
        <f>137072497.94</f>
        <v>137072497.94</v>
      </c>
      <c r="D87" s="92"/>
      <c r="E87" s="91">
        <f>5759810.6</f>
        <v>5759810.6</v>
      </c>
      <c r="F87" s="92"/>
    </row>
    <row r="88" spans="2:6" ht="101.25">
      <c r="B88" s="96" t="s">
        <v>68</v>
      </c>
      <c r="C88" s="91">
        <f>572264478.3</f>
        <v>572264478.3</v>
      </c>
      <c r="D88" s="92"/>
      <c r="E88" s="91">
        <f>33049598.99</f>
        <v>33049598.99</v>
      </c>
      <c r="F88" s="92"/>
    </row>
  </sheetData>
  <sheetProtection/>
  <mergeCells count="37">
    <mergeCell ref="C80:D80"/>
    <mergeCell ref="E80:F80"/>
    <mergeCell ref="C81:F81"/>
    <mergeCell ref="L39:L41"/>
    <mergeCell ref="B2:B3"/>
    <mergeCell ref="C39:C41"/>
    <mergeCell ref="B39:B42"/>
    <mergeCell ref="K39:K41"/>
    <mergeCell ref="K42:L42"/>
    <mergeCell ref="F3:H3"/>
    <mergeCell ref="B37:M37"/>
    <mergeCell ref="C42:J42"/>
    <mergeCell ref="C3:E3"/>
    <mergeCell ref="C62:D62"/>
    <mergeCell ref="E62:F62"/>
    <mergeCell ref="C63:F63"/>
    <mergeCell ref="G63:H63"/>
    <mergeCell ref="I43:J43"/>
    <mergeCell ref="B1:M1"/>
    <mergeCell ref="B61:M61"/>
    <mergeCell ref="I39:J41"/>
    <mergeCell ref="D39:D41"/>
    <mergeCell ref="E39:E41"/>
    <mergeCell ref="F39:H39"/>
    <mergeCell ref="G40:H40"/>
    <mergeCell ref="I48:J48"/>
    <mergeCell ref="I49:J49"/>
    <mergeCell ref="I44:J44"/>
    <mergeCell ref="I45:J45"/>
    <mergeCell ref="I46:J46"/>
    <mergeCell ref="I47:J47"/>
    <mergeCell ref="I50:J50"/>
    <mergeCell ref="I51:J51"/>
    <mergeCell ref="I53:J53"/>
    <mergeCell ref="I54:J54"/>
    <mergeCell ref="I52:J52"/>
    <mergeCell ref="F40:F41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85" r:id="rId3"/>
  <headerFooter alignWithMargins="0">
    <oddFooter>&amp;RStrona &amp;P z &amp;N</oddFooter>
  </headerFooter>
  <rowBreaks count="3" manualBreakCount="3">
    <brk id="36" max="255" man="1"/>
    <brk id="60" max="255" man="1"/>
    <brk id="79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2017-03-30T11:49:59Z</cp:lastPrinted>
  <dcterms:created xsi:type="dcterms:W3CDTF">2001-05-17T08:58:03Z</dcterms:created>
  <dcterms:modified xsi:type="dcterms:W3CDTF">2021-04-20T08:57:10Z</dcterms:modified>
  <cp:category/>
  <cp:version/>
  <cp:contentType/>
  <cp:contentStatus/>
</cp:coreProperties>
</file>