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'doch_wyd'!$A$1:$M$114</definedName>
  </definedNames>
  <calcPr fullCalcOnLoad="1"/>
</workbook>
</file>

<file path=xl/sharedStrings.xml><?xml version="1.0" encoding="utf-8"?>
<sst xmlns="http://schemas.openxmlformats.org/spreadsheetml/2006/main" count="479" uniqueCount="113">
  <si>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</si>
  <si>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</si>
  <si>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</si>
  <si>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</si>
  <si>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</si>
  <si>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</si>
  <si>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</si>
  <si>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</si>
  <si>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</si>
  <si>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</si>
  <si>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</si>
  <si>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</si>
  <si>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</si>
  <si>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</si>
  <si>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</si>
  <si>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</si>
  <si>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</si>
  <si>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</si>
  <si>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</si>
  <si>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</si>
  <si>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</si>
  <si>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</si>
  <si>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</si>
  <si>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</si>
  <si>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</si>
  <si>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</si>
  <si>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</si>
  <si>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</si>
  <si>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</si>
  <si>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</si>
  <si>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</si>
  <si>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</si>
  <si>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</si>
  <si>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</si>
  <si>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</si>
  <si>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</si>
  <si>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</si>
  <si>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</si>
  <si>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</si>
  <si>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</si>
  <si>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</si>
  <si>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</si>
  <si>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</si>
  <si>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</si>
  <si>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</si>
  <si>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</si>
  <si>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</si>
  <si>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</si>
  <si>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</si>
  <si>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</si>
  <si>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</si>
  <si>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</si>
  <si>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</si>
  <si>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</si>
  <si>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</si>
  <si>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</si>
  <si>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</si>
  <si>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</si>
  <si>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</si>
  <si>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</si>
  <si>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</si>
  <si>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</si>
  <si>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</si>
  <si>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</si>
  <si>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</si>
  <si>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</si>
  <si>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</si>
  <si>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</si>
  <si>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</si>
  <si>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</si>
  <si>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</si>
  <si>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</si>
  <si>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</si>
  <si>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</si>
  <si>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</si>
  <si>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</si>
  <si>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</si>
  <si>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</si>
  <si>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</si>
  <si>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</si>
  <si>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</si>
  <si>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</si>
  <si>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</si>
  <si>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</si>
  <si>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</si>
  <si>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</si>
  <si>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</si>
  <si>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</si>
  <si>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</si>
  <si>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</si>
  <si>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</si>
  <si>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</si>
  <si>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</si>
  <si>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</si>
  <si>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</si>
  <si>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</si>
  <si>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</si>
  <si>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</si>
  <si>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</si>
  <si>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</si>
  <si>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</si>
  <si>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</si>
  <si>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</si>
  <si>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</si>
  <si>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</si>
  <si>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</si>
  <si>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</si>
  <si>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</si>
  <si>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</si>
  <si>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</si>
  <si>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</si>
  <si>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</si>
  <si>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 xml:space="preserve">Informacja z wykonania budżetów gmin za GRUDZIEŃ  2020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</si>
</sst>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49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49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49" fillId="0" borderId="10" xfId="52" applyFont="1" applyFill="1" applyBorder="1" applyAlignment="1">
      <alignment horizontal="left" vertical="top" wrapText="1"/>
      <protection/>
    </xf>
    <xf numFmtId="0" fontId="49" fillId="35" borderId="11" xfId="52" applyFont="1" applyFill="1" applyBorder="1" applyAlignment="1">
      <alignment horizontal="left" vertical="top" wrapText="1"/>
      <protection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4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97" t="s">
        <v>112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0.75" customHeight="1"/>
    <row r="3" spans="2:13" ht="63.75" customHeight="1">
      <c r="B3" s="100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0"/>
      <c r="C4" s="101" t="s">
        <v>78</v>
      </c>
      <c r="D4" s="101"/>
      <c r="E4" s="101"/>
      <c r="F4" s="101"/>
      <c r="G4" s="101"/>
      <c r="H4" s="101"/>
      <c r="I4" s="101"/>
      <c r="J4" s="101"/>
      <c r="K4" s="101" t="s">
        <v>4</v>
      </c>
      <c r="L4" s="101"/>
      <c r="M4" s="101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2" t="s">
        <v>5</v>
      </c>
      <c r="C6" s="49">
        <f>148825761543.82</f>
        <v>148825761543.82</v>
      </c>
      <c r="D6" s="49">
        <f>148602091325.39</f>
        <v>148602091325.39</v>
      </c>
      <c r="E6" s="24" t="s">
        <v>60</v>
      </c>
      <c r="F6" s="24" t="s">
        <v>60</v>
      </c>
      <c r="G6" s="24" t="s">
        <v>60</v>
      </c>
      <c r="H6" s="24" t="s">
        <v>60</v>
      </c>
      <c r="I6" s="24" t="s">
        <v>60</v>
      </c>
      <c r="J6" s="24" t="s">
        <v>60</v>
      </c>
      <c r="K6" s="50">
        <f aca="true" t="shared" si="0" ref="K6:K49">IF($D$6=0,"",100*$D6/$D$6)</f>
        <v>100</v>
      </c>
      <c r="L6" s="50">
        <f aca="true" t="shared" si="1" ref="L6:L45">IF(C6=0,"",100*D6/C6)</f>
        <v>99.84971001249396</v>
      </c>
      <c r="M6" s="50"/>
    </row>
    <row r="7" spans="2:13" ht="25.5" customHeight="1">
      <c r="B7" s="82" t="s">
        <v>61</v>
      </c>
      <c r="C7" s="25">
        <f>C6-C22-C40</f>
        <v>63144179635.09001</v>
      </c>
      <c r="D7" s="25">
        <f>D6-D22-D40</f>
        <v>65028475374.810005</v>
      </c>
      <c r="E7" s="24" t="s">
        <v>60</v>
      </c>
      <c r="F7" s="24" t="s">
        <v>60</v>
      </c>
      <c r="G7" s="24" t="s">
        <v>60</v>
      </c>
      <c r="H7" s="24" t="s">
        <v>60</v>
      </c>
      <c r="I7" s="24" t="s">
        <v>60</v>
      </c>
      <c r="J7" s="24" t="s">
        <v>60</v>
      </c>
      <c r="K7" s="33">
        <f t="shared" si="0"/>
        <v>43.76013472947625</v>
      </c>
      <c r="L7" s="33">
        <f t="shared" si="1"/>
        <v>102.98411627264672</v>
      </c>
      <c r="M7" s="33">
        <f aca="true" t="shared" si="2" ref="M7:M21">IF($D$7=0,"",100*$D7/$D$7)</f>
        <v>100</v>
      </c>
    </row>
    <row r="8" spans="2:13" ht="22.5" customHeight="1">
      <c r="B8" s="32" t="s">
        <v>35</v>
      </c>
      <c r="C8" s="24">
        <f>1051759768.51</f>
        <v>1051759768.51</v>
      </c>
      <c r="D8" s="24">
        <f>1073708876.64</f>
        <v>1073708876.64</v>
      </c>
      <c r="E8" s="24" t="s">
        <v>60</v>
      </c>
      <c r="F8" s="24" t="s">
        <v>60</v>
      </c>
      <c r="G8" s="24" t="s">
        <v>60</v>
      </c>
      <c r="H8" s="24" t="s">
        <v>60</v>
      </c>
      <c r="I8" s="24" t="s">
        <v>60</v>
      </c>
      <c r="J8" s="24" t="s">
        <v>60</v>
      </c>
      <c r="K8" s="34">
        <f t="shared" si="0"/>
        <v>0.7225395464246385</v>
      </c>
      <c r="L8" s="34">
        <f t="shared" si="1"/>
        <v>102.08689367925669</v>
      </c>
      <c r="M8" s="34">
        <f t="shared" si="2"/>
        <v>1.6511364759074778</v>
      </c>
    </row>
    <row r="9" spans="2:13" ht="22.5" customHeight="1">
      <c r="B9" s="32" t="s">
        <v>19</v>
      </c>
      <c r="C9" s="24">
        <f>23164378686.95</f>
        <v>23164378686.95</v>
      </c>
      <c r="D9" s="24">
        <f>22765167578.82</f>
        <v>22765167578.82</v>
      </c>
      <c r="E9" s="24" t="s">
        <v>60</v>
      </c>
      <c r="F9" s="24" t="s">
        <v>60</v>
      </c>
      <c r="G9" s="24" t="s">
        <v>60</v>
      </c>
      <c r="H9" s="24" t="s">
        <v>60</v>
      </c>
      <c r="I9" s="24" t="s">
        <v>60</v>
      </c>
      <c r="J9" s="24" t="s">
        <v>60</v>
      </c>
      <c r="K9" s="34">
        <f t="shared" si="0"/>
        <v>15.31954723905717</v>
      </c>
      <c r="L9" s="34">
        <f t="shared" si="1"/>
        <v>98.27661637929057</v>
      </c>
      <c r="M9" s="34">
        <f t="shared" si="2"/>
        <v>35.00799833858401</v>
      </c>
    </row>
    <row r="10" spans="2:13" ht="13.5" customHeight="1">
      <c r="B10" s="32" t="s">
        <v>20</v>
      </c>
      <c r="C10" s="24">
        <f>1619330939.74</f>
        <v>1619330939.74</v>
      </c>
      <c r="D10" s="24">
        <f>1607046574.64</f>
        <v>1607046574.64</v>
      </c>
      <c r="E10" s="24" t="s">
        <v>60</v>
      </c>
      <c r="F10" s="24" t="s">
        <v>60</v>
      </c>
      <c r="G10" s="24" t="s">
        <v>60</v>
      </c>
      <c r="H10" s="24" t="s">
        <v>60</v>
      </c>
      <c r="I10" s="24" t="s">
        <v>60</v>
      </c>
      <c r="J10" s="24" t="s">
        <v>60</v>
      </c>
      <c r="K10" s="34">
        <f t="shared" si="0"/>
        <v>1.081442771300636</v>
      </c>
      <c r="L10" s="34">
        <f t="shared" si="1"/>
        <v>99.24139255302734</v>
      </c>
      <c r="M10" s="34">
        <f t="shared" si="2"/>
        <v>2.4712967132895747</v>
      </c>
    </row>
    <row r="11" spans="2:13" ht="13.5" customHeight="1">
      <c r="B11" s="32" t="s">
        <v>21</v>
      </c>
      <c r="C11" s="24">
        <f>14874705095.52</f>
        <v>14874705095.52</v>
      </c>
      <c r="D11" s="62">
        <f>14973347149.71</f>
        <v>14973347149.71</v>
      </c>
      <c r="E11" s="24" t="s">
        <v>60</v>
      </c>
      <c r="F11" s="24" t="s">
        <v>60</v>
      </c>
      <c r="G11" s="24" t="s">
        <v>60</v>
      </c>
      <c r="H11" s="24" t="s">
        <v>60</v>
      </c>
      <c r="I11" s="24" t="s">
        <v>60</v>
      </c>
      <c r="J11" s="24" t="s">
        <v>60</v>
      </c>
      <c r="K11" s="34">
        <f t="shared" si="0"/>
        <v>10.076134875466364</v>
      </c>
      <c r="L11" s="34">
        <f t="shared" si="1"/>
        <v>100.66315300744826</v>
      </c>
      <c r="M11" s="34">
        <f t="shared" si="2"/>
        <v>23.025831473684228</v>
      </c>
    </row>
    <row r="12" spans="2:13" ht="13.5" customHeight="1">
      <c r="B12" s="32" t="s">
        <v>22</v>
      </c>
      <c r="C12" s="24">
        <f>298375309.11</f>
        <v>298375309.11</v>
      </c>
      <c r="D12" s="62">
        <f>296378127.19</f>
        <v>296378127.19</v>
      </c>
      <c r="E12" s="24" t="s">
        <v>60</v>
      </c>
      <c r="F12" s="24" t="s">
        <v>60</v>
      </c>
      <c r="G12" s="24" t="s">
        <v>60</v>
      </c>
      <c r="H12" s="24" t="s">
        <v>60</v>
      </c>
      <c r="I12" s="24" t="s">
        <v>60</v>
      </c>
      <c r="J12" s="24" t="s">
        <v>60</v>
      </c>
      <c r="K12" s="34">
        <f t="shared" si="0"/>
        <v>0.19944411585771613</v>
      </c>
      <c r="L12" s="34">
        <f t="shared" si="1"/>
        <v>99.33064772485456</v>
      </c>
      <c r="M12" s="34">
        <f t="shared" si="2"/>
        <v>0.45576668602753</v>
      </c>
    </row>
    <row r="13" spans="2:13" ht="22.5" customHeight="1">
      <c r="B13" s="32" t="s">
        <v>23</v>
      </c>
      <c r="C13" s="24">
        <f>832893681.69</f>
        <v>832893681.69</v>
      </c>
      <c r="D13" s="62">
        <f>821460740.86</f>
        <v>821460740.86</v>
      </c>
      <c r="E13" s="24" t="s">
        <v>60</v>
      </c>
      <c r="F13" s="24" t="s">
        <v>60</v>
      </c>
      <c r="G13" s="24" t="s">
        <v>60</v>
      </c>
      <c r="H13" s="24" t="s">
        <v>60</v>
      </c>
      <c r="I13" s="24" t="s">
        <v>60</v>
      </c>
      <c r="J13" s="24" t="s">
        <v>60</v>
      </c>
      <c r="K13" s="34">
        <f t="shared" si="0"/>
        <v>0.5527921804688936</v>
      </c>
      <c r="L13" s="34">
        <f t="shared" si="1"/>
        <v>98.62732290070903</v>
      </c>
      <c r="M13" s="34">
        <f t="shared" si="2"/>
        <v>1.26323235494186</v>
      </c>
    </row>
    <row r="14" spans="2:13" ht="33" customHeight="1">
      <c r="B14" s="32" t="s">
        <v>46</v>
      </c>
      <c r="C14" s="24">
        <f>37545778.94</f>
        <v>37545778.94</v>
      </c>
      <c r="D14" s="62">
        <f>33451027.7</f>
        <v>33451027.7</v>
      </c>
      <c r="E14" s="24" t="s">
        <v>60</v>
      </c>
      <c r="F14" s="24" t="s">
        <v>60</v>
      </c>
      <c r="G14" s="24" t="s">
        <v>60</v>
      </c>
      <c r="H14" s="24" t="s">
        <v>60</v>
      </c>
      <c r="I14" s="24" t="s">
        <v>60</v>
      </c>
      <c r="J14" s="24" t="s">
        <v>60</v>
      </c>
      <c r="K14" s="34">
        <f t="shared" si="0"/>
        <v>0.022510468999223692</v>
      </c>
      <c r="L14" s="34">
        <f t="shared" si="1"/>
        <v>89.09397712444957</v>
      </c>
      <c r="M14" s="34">
        <f t="shared" si="2"/>
        <v>0.05144058430894396</v>
      </c>
    </row>
    <row r="15" spans="2:13" ht="22.5" customHeight="1">
      <c r="B15" s="32" t="s">
        <v>28</v>
      </c>
      <c r="C15" s="24">
        <f>118081401</f>
        <v>118081401</v>
      </c>
      <c r="D15" s="62">
        <f>123502918.85</f>
        <v>123502918.85</v>
      </c>
      <c r="E15" s="24" t="s">
        <v>60</v>
      </c>
      <c r="F15" s="24" t="s">
        <v>60</v>
      </c>
      <c r="G15" s="24" t="s">
        <v>60</v>
      </c>
      <c r="H15" s="24" t="s">
        <v>60</v>
      </c>
      <c r="I15" s="24" t="s">
        <v>60</v>
      </c>
      <c r="J15" s="24" t="s">
        <v>60</v>
      </c>
      <c r="K15" s="34">
        <f t="shared" si="0"/>
        <v>0.08310981208169471</v>
      </c>
      <c r="L15" s="34">
        <f t="shared" si="1"/>
        <v>104.59133936766214</v>
      </c>
      <c r="M15" s="34">
        <f t="shared" si="2"/>
        <v>0.18992128930926952</v>
      </c>
    </row>
    <row r="16" spans="2:13" ht="22.5" customHeight="1">
      <c r="B16" s="32" t="s">
        <v>29</v>
      </c>
      <c r="C16" s="24">
        <f>1188352305.43</f>
        <v>1188352305.43</v>
      </c>
      <c r="D16" s="62">
        <f>1302924880.11</f>
        <v>1302924880.11</v>
      </c>
      <c r="E16" s="24" t="s">
        <v>60</v>
      </c>
      <c r="F16" s="24" t="s">
        <v>60</v>
      </c>
      <c r="G16" s="24" t="s">
        <v>60</v>
      </c>
      <c r="H16" s="24" t="s">
        <v>60</v>
      </c>
      <c r="I16" s="24" t="s">
        <v>60</v>
      </c>
      <c r="J16" s="24" t="s">
        <v>60</v>
      </c>
      <c r="K16" s="34">
        <f t="shared" si="0"/>
        <v>0.8767877144185139</v>
      </c>
      <c r="L16" s="34">
        <f t="shared" si="1"/>
        <v>109.6412969585263</v>
      </c>
      <c r="M16" s="34">
        <f t="shared" si="2"/>
        <v>2.003622063411796</v>
      </c>
    </row>
    <row r="17" spans="2:13" ht="13.5" customHeight="1">
      <c r="B17" s="32" t="s">
        <v>30</v>
      </c>
      <c r="C17" s="24">
        <f>176186525.04</f>
        <v>176186525.04</v>
      </c>
      <c r="D17" s="62">
        <f>174073980.15</f>
        <v>174073980.15</v>
      </c>
      <c r="E17" s="24" t="s">
        <v>60</v>
      </c>
      <c r="F17" s="24" t="s">
        <v>60</v>
      </c>
      <c r="G17" s="24" t="s">
        <v>60</v>
      </c>
      <c r="H17" s="24" t="s">
        <v>60</v>
      </c>
      <c r="I17" s="24" t="s">
        <v>60</v>
      </c>
      <c r="J17" s="24" t="s">
        <v>60</v>
      </c>
      <c r="K17" s="34">
        <f t="shared" si="0"/>
        <v>0.11714100292763369</v>
      </c>
      <c r="L17" s="34">
        <f t="shared" si="1"/>
        <v>98.80096114642117</v>
      </c>
      <c r="M17" s="34">
        <f t="shared" si="2"/>
        <v>0.2676888534548525</v>
      </c>
    </row>
    <row r="18" spans="2:13" ht="22.5" customHeight="1">
      <c r="B18" s="32" t="s">
        <v>31</v>
      </c>
      <c r="C18" s="24">
        <f>383091093.11</f>
        <v>383091093.11</v>
      </c>
      <c r="D18" s="62">
        <f>370104643.08</f>
        <v>370104643.08</v>
      </c>
      <c r="E18" s="24" t="s">
        <v>60</v>
      </c>
      <c r="F18" s="24" t="s">
        <v>60</v>
      </c>
      <c r="G18" s="24" t="s">
        <v>60</v>
      </c>
      <c r="H18" s="24" t="s">
        <v>60</v>
      </c>
      <c r="I18" s="24" t="s">
        <v>60</v>
      </c>
      <c r="J18" s="24" t="s">
        <v>60</v>
      </c>
      <c r="K18" s="34">
        <f t="shared" si="0"/>
        <v>0.2490574929188525</v>
      </c>
      <c r="L18" s="34">
        <f t="shared" si="1"/>
        <v>96.61008823656698</v>
      </c>
      <c r="M18" s="34">
        <f t="shared" si="2"/>
        <v>0.5691424271394911</v>
      </c>
    </row>
    <row r="19" spans="2:13" ht="13.5" customHeight="1">
      <c r="B19" s="32" t="s">
        <v>32</v>
      </c>
      <c r="C19" s="24">
        <f>110468383.92</f>
        <v>110468383.92</v>
      </c>
      <c r="D19" s="62">
        <f>97711566</f>
        <v>97711566</v>
      </c>
      <c r="E19" s="24" t="s">
        <v>60</v>
      </c>
      <c r="F19" s="24" t="s">
        <v>60</v>
      </c>
      <c r="G19" s="24" t="s">
        <v>60</v>
      </c>
      <c r="H19" s="24" t="s">
        <v>60</v>
      </c>
      <c r="I19" s="24" t="s">
        <v>60</v>
      </c>
      <c r="J19" s="24" t="s">
        <v>60</v>
      </c>
      <c r="K19" s="34">
        <f t="shared" si="0"/>
        <v>0.06575382965912882</v>
      </c>
      <c r="L19" s="34">
        <f t="shared" si="1"/>
        <v>88.45206432164487</v>
      </c>
      <c r="M19" s="34">
        <f t="shared" si="2"/>
        <v>0.15025965999788826</v>
      </c>
    </row>
    <row r="20" spans="2:13" ht="13.5" customHeight="1">
      <c r="B20" s="32" t="s">
        <v>24</v>
      </c>
      <c r="C20" s="24">
        <f>3522982500.75</f>
        <v>3522982500.75</v>
      </c>
      <c r="D20" s="62">
        <f>3357294513.76</f>
        <v>3357294513.76</v>
      </c>
      <c r="E20" s="24" t="s">
        <v>60</v>
      </c>
      <c r="F20" s="24" t="s">
        <v>60</v>
      </c>
      <c r="G20" s="24" t="s">
        <v>60</v>
      </c>
      <c r="H20" s="24" t="s">
        <v>60</v>
      </c>
      <c r="I20" s="24" t="s">
        <v>60</v>
      </c>
      <c r="J20" s="24" t="s">
        <v>60</v>
      </c>
      <c r="K20" s="34">
        <f t="shared" si="0"/>
        <v>2.2592511880661372</v>
      </c>
      <c r="L20" s="34">
        <f t="shared" si="1"/>
        <v>95.29693982429015</v>
      </c>
      <c r="M20" s="34">
        <f t="shared" si="2"/>
        <v>5.162806746443437</v>
      </c>
    </row>
    <row r="21" spans="2:13" ht="13.5" customHeight="1">
      <c r="B21" s="32" t="s">
        <v>25</v>
      </c>
      <c r="C21" s="24">
        <f>C7-C8-C9-C10-C11-C12-C13-C14-C15-C16-C17-C18-C19-C20</f>
        <v>15766028165.380009</v>
      </c>
      <c r="D21" s="24">
        <f>D7-D8-D9-D10-D11-D12-D13-D14-D15-D16-D17-D18-D19-D20</f>
        <v>18032302797.300003</v>
      </c>
      <c r="E21" s="24" t="s">
        <v>60</v>
      </c>
      <c r="F21" s="24" t="s">
        <v>60</v>
      </c>
      <c r="G21" s="24" t="s">
        <v>60</v>
      </c>
      <c r="H21" s="24" t="s">
        <v>60</v>
      </c>
      <c r="I21" s="24" t="s">
        <v>60</v>
      </c>
      <c r="J21" s="24" t="s">
        <v>60</v>
      </c>
      <c r="K21" s="34">
        <f t="shared" si="0"/>
        <v>12.134622491829642</v>
      </c>
      <c r="L21" s="34">
        <f t="shared" si="1"/>
        <v>114.37441699423331</v>
      </c>
      <c r="M21" s="34">
        <f t="shared" si="2"/>
        <v>27.729856333499633</v>
      </c>
    </row>
    <row r="22" spans="2:13" ht="26.25" customHeight="1">
      <c r="B22" s="82" t="s">
        <v>69</v>
      </c>
      <c r="C22" s="49">
        <f>C23+C36+C38</f>
        <v>54088721417.12</v>
      </c>
      <c r="D22" s="49">
        <f>D23+D36+D38</f>
        <v>51922282477.32</v>
      </c>
      <c r="E22" s="41" t="s">
        <v>60</v>
      </c>
      <c r="F22" s="41" t="s">
        <v>60</v>
      </c>
      <c r="G22" s="41" t="s">
        <v>60</v>
      </c>
      <c r="H22" s="41" t="s">
        <v>60</v>
      </c>
      <c r="I22" s="41" t="s">
        <v>60</v>
      </c>
      <c r="J22" s="41" t="s">
        <v>60</v>
      </c>
      <c r="K22" s="50">
        <f t="shared" si="0"/>
        <v>34.940478975916406</v>
      </c>
      <c r="L22" s="50">
        <f t="shared" si="1"/>
        <v>95.99465677309523</v>
      </c>
      <c r="M22" s="28"/>
    </row>
    <row r="23" spans="2:13" ht="25.5" customHeight="1">
      <c r="B23" s="82" t="s">
        <v>62</v>
      </c>
      <c r="C23" s="49">
        <f>C24+C26+C28+C30+C32+C34</f>
        <v>46431690747.73</v>
      </c>
      <c r="D23" s="49">
        <f>D24+D26+D28+D30+D32+D34</f>
        <v>46001520109.47</v>
      </c>
      <c r="E23" s="41" t="s">
        <v>60</v>
      </c>
      <c r="F23" s="41" t="s">
        <v>60</v>
      </c>
      <c r="G23" s="41" t="s">
        <v>60</v>
      </c>
      <c r="H23" s="41" t="s">
        <v>60</v>
      </c>
      <c r="I23" s="41" t="s">
        <v>60</v>
      </c>
      <c r="J23" s="41" t="s">
        <v>60</v>
      </c>
      <c r="K23" s="50">
        <f t="shared" si="0"/>
        <v>30.95617275583404</v>
      </c>
      <c r="L23" s="50">
        <f t="shared" si="1"/>
        <v>99.07354086975384</v>
      </c>
      <c r="M23" s="28"/>
    </row>
    <row r="24" spans="2:13" ht="22.5" customHeight="1">
      <c r="B24" s="32" t="s">
        <v>9</v>
      </c>
      <c r="C24" s="24">
        <f>41505828721.89</f>
        <v>41505828721.89</v>
      </c>
      <c r="D24" s="24">
        <f>41305971926.71</f>
        <v>41305971926.71</v>
      </c>
      <c r="E24" s="24" t="s">
        <v>60</v>
      </c>
      <c r="F24" s="24" t="s">
        <v>60</v>
      </c>
      <c r="G24" s="24" t="s">
        <v>60</v>
      </c>
      <c r="H24" s="24" t="s">
        <v>60</v>
      </c>
      <c r="I24" s="24" t="s">
        <v>60</v>
      </c>
      <c r="J24" s="24" t="s">
        <v>60</v>
      </c>
      <c r="K24" s="34">
        <f t="shared" si="0"/>
        <v>27.79635976741634</v>
      </c>
      <c r="L24" s="34">
        <f t="shared" si="1"/>
        <v>99.5184849903392</v>
      </c>
      <c r="M24" s="28"/>
    </row>
    <row r="25" spans="2:13" ht="13.5" customHeight="1">
      <c r="B25" s="63" t="s">
        <v>6</v>
      </c>
      <c r="C25" s="24">
        <f>17734235.66</f>
        <v>17734235.66</v>
      </c>
      <c r="D25" s="24">
        <f>17260796.79</f>
        <v>17260796.79</v>
      </c>
      <c r="E25" s="24" t="s">
        <v>60</v>
      </c>
      <c r="F25" s="24" t="s">
        <v>60</v>
      </c>
      <c r="G25" s="24" t="s">
        <v>60</v>
      </c>
      <c r="H25" s="24" t="s">
        <v>60</v>
      </c>
      <c r="I25" s="24" t="s">
        <v>60</v>
      </c>
      <c r="J25" s="24" t="s">
        <v>60</v>
      </c>
      <c r="K25" s="34">
        <f t="shared" si="0"/>
        <v>0.01161544675182565</v>
      </c>
      <c r="L25" s="34">
        <f t="shared" si="1"/>
        <v>97.33036777520752</v>
      </c>
      <c r="M25" s="28"/>
    </row>
    <row r="26" spans="2:13" ht="13.5" customHeight="1">
      <c r="B26" s="32" t="s">
        <v>7</v>
      </c>
      <c r="C26" s="24">
        <f>3657388414.8</f>
        <v>3657388414.8</v>
      </c>
      <c r="D26" s="24">
        <f>3512989040.35</f>
        <v>3512989040.35</v>
      </c>
      <c r="E26" s="24" t="s">
        <v>60</v>
      </c>
      <c r="F26" s="24" t="s">
        <v>60</v>
      </c>
      <c r="G26" s="24" t="s">
        <v>60</v>
      </c>
      <c r="H26" s="24" t="s">
        <v>60</v>
      </c>
      <c r="I26" s="24" t="s">
        <v>60</v>
      </c>
      <c r="J26" s="24" t="s">
        <v>60</v>
      </c>
      <c r="K26" s="34">
        <f t="shared" si="0"/>
        <v>2.3640239575482838</v>
      </c>
      <c r="L26" s="34">
        <f t="shared" si="1"/>
        <v>96.05184470247477</v>
      </c>
      <c r="M26" s="28"/>
    </row>
    <row r="27" spans="2:13" ht="13.5" customHeight="1">
      <c r="B27" s="63" t="s">
        <v>6</v>
      </c>
      <c r="C27" s="24">
        <f>347452604.23</f>
        <v>347452604.23</v>
      </c>
      <c r="D27" s="24">
        <f>318405519.18</f>
        <v>318405519.18</v>
      </c>
      <c r="E27" s="24" t="s">
        <v>60</v>
      </c>
      <c r="F27" s="24" t="s">
        <v>60</v>
      </c>
      <c r="G27" s="24" t="s">
        <v>60</v>
      </c>
      <c r="H27" s="24" t="s">
        <v>60</v>
      </c>
      <c r="I27" s="24" t="s">
        <v>60</v>
      </c>
      <c r="J27" s="24" t="s">
        <v>60</v>
      </c>
      <c r="K27" s="34">
        <f t="shared" si="0"/>
        <v>0.21426718583845228</v>
      </c>
      <c r="L27" s="34">
        <f t="shared" si="1"/>
        <v>91.63998637616427</v>
      </c>
      <c r="M27" s="28"/>
    </row>
    <row r="28" spans="2:13" ht="33" customHeight="1">
      <c r="B28" s="32" t="s">
        <v>10</v>
      </c>
      <c r="C28" s="24">
        <f>32222106.3</f>
        <v>32222106.3</v>
      </c>
      <c r="D28" s="24">
        <f>29000999.3</f>
        <v>29000999.3</v>
      </c>
      <c r="E28" s="24" t="s">
        <v>60</v>
      </c>
      <c r="F28" s="24" t="s">
        <v>60</v>
      </c>
      <c r="G28" s="24" t="s">
        <v>60</v>
      </c>
      <c r="H28" s="24" t="s">
        <v>60</v>
      </c>
      <c r="I28" s="24" t="s">
        <v>60</v>
      </c>
      <c r="J28" s="24" t="s">
        <v>60</v>
      </c>
      <c r="K28" s="34">
        <f t="shared" si="0"/>
        <v>0.019515875612071496</v>
      </c>
      <c r="L28" s="34">
        <f t="shared" si="1"/>
        <v>90.00342507094267</v>
      </c>
      <c r="M28" s="28"/>
    </row>
    <row r="29" spans="2:13" ht="13.5" customHeight="1">
      <c r="B29" s="63" t="s">
        <v>6</v>
      </c>
      <c r="C29" s="24">
        <f>15438044.27</f>
        <v>15438044.27</v>
      </c>
      <c r="D29" s="24">
        <f>13881815.91</f>
        <v>13881815.91</v>
      </c>
      <c r="E29" s="24" t="s">
        <v>60</v>
      </c>
      <c r="F29" s="24" t="s">
        <v>60</v>
      </c>
      <c r="G29" s="24" t="s">
        <v>60</v>
      </c>
      <c r="H29" s="24" t="s">
        <v>60</v>
      </c>
      <c r="I29" s="24" t="s">
        <v>60</v>
      </c>
      <c r="J29" s="24" t="s">
        <v>60</v>
      </c>
      <c r="K29" s="34">
        <f t="shared" si="0"/>
        <v>0.009341601982978396</v>
      </c>
      <c r="L29" s="34">
        <f t="shared" si="1"/>
        <v>89.91952391907476</v>
      </c>
      <c r="M29" s="28"/>
    </row>
    <row r="30" spans="2:13" ht="33.75">
      <c r="B30" s="32" t="s">
        <v>11</v>
      </c>
      <c r="C30" s="24">
        <f>551134690.19</f>
        <v>551134690.19</v>
      </c>
      <c r="D30" s="24">
        <f>508595852.43</f>
        <v>508595852.43</v>
      </c>
      <c r="E30" s="24" t="s">
        <v>60</v>
      </c>
      <c r="F30" s="24" t="s">
        <v>60</v>
      </c>
      <c r="G30" s="24" t="s">
        <v>60</v>
      </c>
      <c r="H30" s="24" t="s">
        <v>60</v>
      </c>
      <c r="I30" s="24" t="s">
        <v>60</v>
      </c>
      <c r="J30" s="24" t="s">
        <v>60</v>
      </c>
      <c r="K30" s="34">
        <f t="shared" si="0"/>
        <v>0.3422534958248611</v>
      </c>
      <c r="L30" s="34">
        <f t="shared" si="1"/>
        <v>92.28158950667121</v>
      </c>
      <c r="M30" s="28"/>
    </row>
    <row r="31" spans="2:13" ht="12.75">
      <c r="B31" s="63" t="s">
        <v>6</v>
      </c>
      <c r="C31" s="24">
        <f>236917943.67</f>
        <v>236917943.67</v>
      </c>
      <c r="D31" s="24">
        <f>191324546.28</f>
        <v>191324546.28</v>
      </c>
      <c r="E31" s="24" t="s">
        <v>60</v>
      </c>
      <c r="F31" s="24" t="s">
        <v>60</v>
      </c>
      <c r="G31" s="24" t="s">
        <v>60</v>
      </c>
      <c r="H31" s="24" t="s">
        <v>60</v>
      </c>
      <c r="I31" s="24" t="s">
        <v>60</v>
      </c>
      <c r="J31" s="24" t="s">
        <v>60</v>
      </c>
      <c r="K31" s="34">
        <f t="shared" si="0"/>
        <v>0.1287495650791763</v>
      </c>
      <c r="L31" s="34">
        <f t="shared" si="1"/>
        <v>80.75561661403475</v>
      </c>
      <c r="M31" s="28"/>
    </row>
    <row r="32" spans="2:13" ht="45">
      <c r="B32" s="32" t="s">
        <v>79</v>
      </c>
      <c r="C32" s="24">
        <f>365931736.46</f>
        <v>365931736.46</v>
      </c>
      <c r="D32" s="24">
        <f>327355291.98</f>
        <v>327355291.98</v>
      </c>
      <c r="E32" s="24" t="s">
        <v>60</v>
      </c>
      <c r="F32" s="24" t="s">
        <v>60</v>
      </c>
      <c r="G32" s="24" t="s">
        <v>60</v>
      </c>
      <c r="H32" s="24" t="s">
        <v>60</v>
      </c>
      <c r="I32" s="24" t="s">
        <v>60</v>
      </c>
      <c r="J32" s="24" t="s">
        <v>60</v>
      </c>
      <c r="K32" s="34">
        <f t="shared" si="0"/>
        <v>0.22028982840032776</v>
      </c>
      <c r="L32" s="34">
        <f t="shared" si="1"/>
        <v>89.45802163726327</v>
      </c>
      <c r="M32" s="28"/>
    </row>
    <row r="33" spans="2:13" ht="12.75">
      <c r="B33" s="63" t="s">
        <v>6</v>
      </c>
      <c r="C33" s="24">
        <f>283796108.16</f>
        <v>283796108.16</v>
      </c>
      <c r="D33" s="24">
        <f>251999975.37</f>
        <v>251999975.37</v>
      </c>
      <c r="E33" s="24" t="s">
        <v>60</v>
      </c>
      <c r="F33" s="24" t="s">
        <v>60</v>
      </c>
      <c r="G33" s="24" t="s">
        <v>60</v>
      </c>
      <c r="H33" s="24" t="s">
        <v>60</v>
      </c>
      <c r="I33" s="24" t="s">
        <v>60</v>
      </c>
      <c r="J33" s="24" t="s">
        <v>60</v>
      </c>
      <c r="K33" s="34">
        <f t="shared" si="0"/>
        <v>0.1695803693759615</v>
      </c>
      <c r="L33" s="34">
        <f t="shared" si="1"/>
        <v>88.79613501532803</v>
      </c>
      <c r="M33" s="28"/>
    </row>
    <row r="34" spans="2:13" ht="22.5">
      <c r="B34" s="32" t="s">
        <v>8</v>
      </c>
      <c r="C34" s="24">
        <f>319185078.09</f>
        <v>319185078.09</v>
      </c>
      <c r="D34" s="24">
        <f>317606998.7</f>
        <v>317606998.7</v>
      </c>
      <c r="E34" s="24" t="s">
        <v>60</v>
      </c>
      <c r="F34" s="24" t="s">
        <v>60</v>
      </c>
      <c r="G34" s="24" t="s">
        <v>60</v>
      </c>
      <c r="H34" s="24" t="s">
        <v>60</v>
      </c>
      <c r="I34" s="24" t="s">
        <v>60</v>
      </c>
      <c r="J34" s="24" t="s">
        <v>60</v>
      </c>
      <c r="K34" s="34">
        <f t="shared" si="0"/>
        <v>0.21372983103215182</v>
      </c>
      <c r="L34" s="34">
        <f t="shared" si="1"/>
        <v>99.50559111364379</v>
      </c>
      <c r="M34" s="28"/>
    </row>
    <row r="35" spans="2:13" ht="12.75">
      <c r="B35" s="31" t="s">
        <v>6</v>
      </c>
      <c r="C35" s="22">
        <f>281917814.47</f>
        <v>281917814.47</v>
      </c>
      <c r="D35" s="22">
        <f>283146774.45</f>
        <v>283146774.45</v>
      </c>
      <c r="E35" s="24" t="s">
        <v>60</v>
      </c>
      <c r="F35" s="24" t="s">
        <v>60</v>
      </c>
      <c r="G35" s="24" t="s">
        <v>60</v>
      </c>
      <c r="H35" s="24" t="s">
        <v>60</v>
      </c>
      <c r="I35" s="24" t="s">
        <v>60</v>
      </c>
      <c r="J35" s="24" t="s">
        <v>60</v>
      </c>
      <c r="K35" s="34">
        <f t="shared" si="0"/>
        <v>0.19054023528511527</v>
      </c>
      <c r="L35" s="34">
        <f t="shared" si="1"/>
        <v>100.43592845748694</v>
      </c>
      <c r="M35" s="28"/>
    </row>
    <row r="36" spans="2:13" ht="12.75">
      <c r="B36" s="82" t="s">
        <v>107</v>
      </c>
      <c r="C36" s="49">
        <f>1144380296.85</f>
        <v>1144380296.85</v>
      </c>
      <c r="D36" s="49">
        <f>806578828.72</f>
        <v>806578828.72</v>
      </c>
      <c r="E36" s="41" t="s">
        <v>60</v>
      </c>
      <c r="F36" s="41" t="s">
        <v>60</v>
      </c>
      <c r="G36" s="41" t="s">
        <v>60</v>
      </c>
      <c r="H36" s="41" t="s">
        <v>60</v>
      </c>
      <c r="I36" s="41" t="s">
        <v>60</v>
      </c>
      <c r="J36" s="41" t="s">
        <v>60</v>
      </c>
      <c r="K36" s="50">
        <f t="shared" si="0"/>
        <v>0.5427775756896018</v>
      </c>
      <c r="L36" s="50">
        <f t="shared" si="1"/>
        <v>70.48171232414381</v>
      </c>
      <c r="M36" s="28"/>
    </row>
    <row r="37" spans="2:13" ht="13.5" customHeight="1">
      <c r="B37" s="31" t="s">
        <v>108</v>
      </c>
      <c r="C37" s="22">
        <f>1008165555.89</f>
        <v>1008165555.89</v>
      </c>
      <c r="D37" s="22">
        <f>690182467.11</f>
        <v>690182467.11</v>
      </c>
      <c r="E37" s="24" t="s">
        <v>60</v>
      </c>
      <c r="F37" s="24" t="s">
        <v>60</v>
      </c>
      <c r="G37" s="24" t="s">
        <v>60</v>
      </c>
      <c r="H37" s="24" t="s">
        <v>60</v>
      </c>
      <c r="I37" s="24" t="s">
        <v>60</v>
      </c>
      <c r="J37" s="24" t="s">
        <v>60</v>
      </c>
      <c r="K37" s="34">
        <f t="shared" si="0"/>
        <v>0.46445003630448645</v>
      </c>
      <c r="L37" s="34">
        <f t="shared" si="1"/>
        <v>68.45923896901166</v>
      </c>
      <c r="M37" s="28"/>
    </row>
    <row r="38" spans="2:13" ht="13.5" customHeight="1">
      <c r="B38" s="82" t="s">
        <v>109</v>
      </c>
      <c r="C38" s="41">
        <f>6512650372.54</f>
        <v>6512650372.54</v>
      </c>
      <c r="D38" s="41">
        <f>5114183539.13</f>
        <v>5114183539.13</v>
      </c>
      <c r="E38" s="41" t="s">
        <v>60</v>
      </c>
      <c r="F38" s="41" t="s">
        <v>60</v>
      </c>
      <c r="G38" s="41" t="s">
        <v>60</v>
      </c>
      <c r="H38" s="41" t="s">
        <v>60</v>
      </c>
      <c r="I38" s="41" t="s">
        <v>60</v>
      </c>
      <c r="J38" s="41" t="s">
        <v>60</v>
      </c>
      <c r="K38" s="64">
        <f t="shared" si="0"/>
        <v>3.4415286443927693</v>
      </c>
      <c r="L38" s="64">
        <f t="shared" si="1"/>
        <v>78.52691679402123</v>
      </c>
      <c r="M38" s="28"/>
    </row>
    <row r="39" spans="2:13" ht="13.5" customHeight="1">
      <c r="B39" s="31" t="s">
        <v>110</v>
      </c>
      <c r="C39" s="22">
        <f>5419373038.76</f>
        <v>5419373038.76</v>
      </c>
      <c r="D39" s="22">
        <f>4134532196.35</f>
        <v>4134532196.35</v>
      </c>
      <c r="E39" s="24" t="s">
        <v>60</v>
      </c>
      <c r="F39" s="24" t="s">
        <v>60</v>
      </c>
      <c r="G39" s="24" t="s">
        <v>60</v>
      </c>
      <c r="H39" s="24" t="s">
        <v>60</v>
      </c>
      <c r="I39" s="24" t="s">
        <v>60</v>
      </c>
      <c r="J39" s="24" t="s">
        <v>60</v>
      </c>
      <c r="K39" s="34">
        <f t="shared" si="0"/>
        <v>2.78228399040275</v>
      </c>
      <c r="L39" s="34">
        <f t="shared" si="1"/>
        <v>76.29170693324365</v>
      </c>
      <c r="M39" s="28"/>
    </row>
    <row r="40" spans="2:13" s="5" customFormat="1" ht="25.5" customHeight="1">
      <c r="B40" s="82" t="s">
        <v>63</v>
      </c>
      <c r="C40" s="25">
        <f>C41+C42+C43+C44+C45</f>
        <v>31592860491.61</v>
      </c>
      <c r="D40" s="25">
        <f>D41+D42+D43+D44+D45</f>
        <v>31651333473.260002</v>
      </c>
      <c r="E40" s="41" t="s">
        <v>60</v>
      </c>
      <c r="F40" s="23" t="s">
        <v>60</v>
      </c>
      <c r="G40" s="23" t="s">
        <v>60</v>
      </c>
      <c r="H40" s="23" t="s">
        <v>60</v>
      </c>
      <c r="I40" s="23" t="s">
        <v>60</v>
      </c>
      <c r="J40" s="23" t="s">
        <v>60</v>
      </c>
      <c r="K40" s="33">
        <f t="shared" si="0"/>
        <v>21.299386294607338</v>
      </c>
      <c r="L40" s="33">
        <f t="shared" si="1"/>
        <v>100.18508289765508</v>
      </c>
      <c r="M40" s="29"/>
    </row>
    <row r="41" spans="2:13" ht="13.5" customHeight="1">
      <c r="B41" s="20" t="s">
        <v>50</v>
      </c>
      <c r="C41" s="22">
        <f>8751020779</f>
        <v>8751020779</v>
      </c>
      <c r="D41" s="22">
        <f>8747462712.94</f>
        <v>8747462712.94</v>
      </c>
      <c r="E41" s="24" t="s">
        <v>60</v>
      </c>
      <c r="F41" s="24" t="s">
        <v>60</v>
      </c>
      <c r="G41" s="24" t="s">
        <v>60</v>
      </c>
      <c r="H41" s="24" t="s">
        <v>60</v>
      </c>
      <c r="I41" s="24" t="s">
        <v>60</v>
      </c>
      <c r="J41" s="24" t="s">
        <v>60</v>
      </c>
      <c r="K41" s="34">
        <f t="shared" si="0"/>
        <v>5.886500408521113</v>
      </c>
      <c r="L41" s="34">
        <f t="shared" si="1"/>
        <v>99.95934113116795</v>
      </c>
      <c r="M41" s="28"/>
    </row>
    <row r="42" spans="2:13" ht="13.5" customHeight="1">
      <c r="B42" s="32" t="s">
        <v>49</v>
      </c>
      <c r="C42" s="24">
        <f>22314309560.61</f>
        <v>22314309560.61</v>
      </c>
      <c r="D42" s="24">
        <f>22359454437.32</f>
        <v>22359454437.32</v>
      </c>
      <c r="E42" s="24" t="s">
        <v>60</v>
      </c>
      <c r="F42" s="24" t="s">
        <v>60</v>
      </c>
      <c r="G42" s="24" t="s">
        <v>60</v>
      </c>
      <c r="H42" s="24" t="s">
        <v>60</v>
      </c>
      <c r="I42" s="24" t="s">
        <v>60</v>
      </c>
      <c r="J42" s="24" t="s">
        <v>60</v>
      </c>
      <c r="K42" s="34">
        <f t="shared" si="0"/>
        <v>15.04652743302253</v>
      </c>
      <c r="L42" s="34">
        <f t="shared" si="1"/>
        <v>100.20231357186911</v>
      </c>
      <c r="M42" s="28"/>
    </row>
    <row r="43" spans="2:13" ht="13.5" customHeight="1">
      <c r="B43" s="32" t="s">
        <v>48</v>
      </c>
      <c r="C43" s="24">
        <f>0</f>
        <v>0</v>
      </c>
      <c r="D43" s="24">
        <f>0</f>
        <v>0</v>
      </c>
      <c r="E43" s="24" t="s">
        <v>60</v>
      </c>
      <c r="F43" s="24" t="s">
        <v>60</v>
      </c>
      <c r="G43" s="24" t="s">
        <v>60</v>
      </c>
      <c r="H43" s="24" t="s">
        <v>60</v>
      </c>
      <c r="I43" s="24" t="s">
        <v>60</v>
      </c>
      <c r="J43" s="24" t="s">
        <v>60</v>
      </c>
      <c r="K43" s="34">
        <f t="shared" si="0"/>
        <v>0</v>
      </c>
      <c r="L43" s="34">
        <f t="shared" si="1"/>
      </c>
      <c r="M43" s="28"/>
    </row>
    <row r="44" spans="2:13" ht="13.5" customHeight="1">
      <c r="B44" s="32" t="s">
        <v>47</v>
      </c>
      <c r="C44" s="24">
        <f>338136715</f>
        <v>338136715</v>
      </c>
      <c r="D44" s="24">
        <f>338102377</f>
        <v>338102377</v>
      </c>
      <c r="E44" s="24" t="s">
        <v>60</v>
      </c>
      <c r="F44" s="24" t="s">
        <v>60</v>
      </c>
      <c r="G44" s="24" t="s">
        <v>60</v>
      </c>
      <c r="H44" s="24" t="s">
        <v>60</v>
      </c>
      <c r="I44" s="24" t="s">
        <v>60</v>
      </c>
      <c r="J44" s="24" t="s">
        <v>60</v>
      </c>
      <c r="K44" s="34">
        <f t="shared" si="0"/>
        <v>0.22752195072387393</v>
      </c>
      <c r="L44" s="34">
        <f t="shared" si="1"/>
        <v>99.98984493594551</v>
      </c>
      <c r="M44" s="28"/>
    </row>
    <row r="45" spans="2:13" s="5" customFormat="1" ht="22.5" customHeight="1">
      <c r="B45" s="32" t="s">
        <v>45</v>
      </c>
      <c r="C45" s="24">
        <f>189393437</f>
        <v>189393437</v>
      </c>
      <c r="D45" s="24">
        <f>206313946</f>
        <v>206313946</v>
      </c>
      <c r="E45" s="24" t="s">
        <v>60</v>
      </c>
      <c r="F45" s="24" t="s">
        <v>60</v>
      </c>
      <c r="G45" s="24" t="s">
        <v>60</v>
      </c>
      <c r="H45" s="24" t="s">
        <v>60</v>
      </c>
      <c r="I45" s="24" t="s">
        <v>60</v>
      </c>
      <c r="J45" s="24" t="s">
        <v>60</v>
      </c>
      <c r="K45" s="34">
        <f t="shared" si="0"/>
        <v>0.1388365023398223</v>
      </c>
      <c r="L45" s="34">
        <f t="shared" si="1"/>
        <v>108.9340524508249</v>
      </c>
      <c r="M45" s="29"/>
    </row>
    <row r="46" spans="1:13" s="5" customFormat="1" ht="9" customHeight="1">
      <c r="A46" s="2"/>
      <c r="B46" s="21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82" t="s">
        <v>5</v>
      </c>
      <c r="C47" s="41">
        <f>+C6</f>
        <v>148825761543.82</v>
      </c>
      <c r="D47" s="41">
        <f>+D6</f>
        <v>148602091325.39</v>
      </c>
      <c r="E47" s="41" t="s">
        <v>60</v>
      </c>
      <c r="F47" s="41" t="s">
        <v>60</v>
      </c>
      <c r="G47" s="41" t="s">
        <v>60</v>
      </c>
      <c r="H47" s="41" t="s">
        <v>60</v>
      </c>
      <c r="I47" s="41" t="s">
        <v>60</v>
      </c>
      <c r="J47" s="41" t="s">
        <v>60</v>
      </c>
      <c r="K47" s="65">
        <f t="shared" si="0"/>
        <v>100</v>
      </c>
      <c r="L47" s="65">
        <f>IF(C47=0,"",100*D47/C47)</f>
        <v>99.84971001249396</v>
      </c>
      <c r="M47" s="65"/>
    </row>
    <row r="48" spans="1:13" s="5" customFormat="1" ht="13.5" customHeight="1">
      <c r="A48" s="2"/>
      <c r="B48" s="83" t="s">
        <v>71</v>
      </c>
      <c r="C48" s="24">
        <f>14361322766.07</f>
        <v>14361322766.07</v>
      </c>
      <c r="D48" s="24">
        <f>15361351906.52</f>
        <v>15361351906.52</v>
      </c>
      <c r="E48" s="24" t="s">
        <v>60</v>
      </c>
      <c r="F48" s="24" t="s">
        <v>60</v>
      </c>
      <c r="G48" s="24" t="s">
        <v>60</v>
      </c>
      <c r="H48" s="24" t="s">
        <v>60</v>
      </c>
      <c r="I48" s="24" t="s">
        <v>60</v>
      </c>
      <c r="J48" s="24" t="s">
        <v>60</v>
      </c>
      <c r="K48" s="38">
        <f t="shared" si="0"/>
        <v>10.337238035825257</v>
      </c>
      <c r="L48" s="38">
        <f>IF(C48=0,"",100*D48/C48)</f>
        <v>106.96334980237799</v>
      </c>
      <c r="M48" s="38"/>
    </row>
    <row r="49" spans="1:13" s="5" customFormat="1" ht="13.5" customHeight="1">
      <c r="A49" s="2"/>
      <c r="B49" s="83" t="s">
        <v>72</v>
      </c>
      <c r="C49" s="24">
        <f>C47-C48</f>
        <v>134464438777.75</v>
      </c>
      <c r="D49" s="24">
        <f>D47-D48</f>
        <v>133240739418.87001</v>
      </c>
      <c r="E49" s="24" t="s">
        <v>60</v>
      </c>
      <c r="F49" s="24" t="s">
        <v>60</v>
      </c>
      <c r="G49" s="24" t="s">
        <v>60</v>
      </c>
      <c r="H49" s="24" t="s">
        <v>60</v>
      </c>
      <c r="I49" s="24" t="s">
        <v>60</v>
      </c>
      <c r="J49" s="24" t="s">
        <v>60</v>
      </c>
      <c r="K49" s="38">
        <f t="shared" si="0"/>
        <v>89.66276196417475</v>
      </c>
      <c r="L49" s="38">
        <f>IF(C49=0,"",100*D49/C49)</f>
        <v>99.08994573583684</v>
      </c>
      <c r="M49" s="38"/>
    </row>
    <row r="50" spans="2:13" ht="15">
      <c r="B50" s="97" t="s">
        <v>112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00" t="s">
        <v>0</v>
      </c>
      <c r="C52" s="98" t="s">
        <v>56</v>
      </c>
      <c r="D52" s="98" t="s">
        <v>57</v>
      </c>
      <c r="E52" s="98" t="s">
        <v>58</v>
      </c>
      <c r="F52" s="98" t="s">
        <v>12</v>
      </c>
      <c r="G52" s="98"/>
      <c r="H52" s="98"/>
      <c r="I52" s="98" t="s">
        <v>95</v>
      </c>
      <c r="J52" s="98"/>
      <c r="K52" s="98" t="s">
        <v>2</v>
      </c>
      <c r="L52" s="105" t="s">
        <v>36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00"/>
      <c r="C53" s="98"/>
      <c r="D53" s="99"/>
      <c r="E53" s="98"/>
      <c r="F53" s="92" t="s">
        <v>59</v>
      </c>
      <c r="G53" s="102" t="s">
        <v>34</v>
      </c>
      <c r="H53" s="99"/>
      <c r="I53" s="98"/>
      <c r="J53" s="98"/>
      <c r="K53" s="98"/>
      <c r="L53" s="105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00"/>
      <c r="C54" s="98"/>
      <c r="D54" s="99"/>
      <c r="E54" s="98"/>
      <c r="F54" s="99"/>
      <c r="G54" s="18" t="s">
        <v>54</v>
      </c>
      <c r="H54" s="18" t="s">
        <v>55</v>
      </c>
      <c r="I54" s="98"/>
      <c r="J54" s="98"/>
      <c r="K54" s="98"/>
      <c r="L54" s="105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00"/>
      <c r="C55" s="101" t="s">
        <v>78</v>
      </c>
      <c r="D55" s="101"/>
      <c r="E55" s="101"/>
      <c r="F55" s="101"/>
      <c r="G55" s="101"/>
      <c r="H55" s="101"/>
      <c r="I55" s="101"/>
      <c r="J55" s="101"/>
      <c r="K55" s="101" t="s">
        <v>4</v>
      </c>
      <c r="L55" s="10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99">
        <v>8</v>
      </c>
      <c r="J56" s="99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82" t="s">
        <v>64</v>
      </c>
      <c r="C57" s="66">
        <f>157185375458.24</f>
        <v>157185375458.24</v>
      </c>
      <c r="D57" s="41" t="s">
        <v>60</v>
      </c>
      <c r="E57" s="66">
        <f>143359760782.73</f>
        <v>143359760782.73</v>
      </c>
      <c r="F57" s="41" t="s">
        <v>60</v>
      </c>
      <c r="G57" s="41" t="s">
        <v>60</v>
      </c>
      <c r="H57" s="41" t="s">
        <v>60</v>
      </c>
      <c r="I57" s="103" t="s">
        <v>60</v>
      </c>
      <c r="J57" s="104"/>
      <c r="K57" s="58">
        <f aca="true" t="shared" si="3" ref="K57:K66">IF($E$57=0,"",100*$E57/$E$57)</f>
        <v>100</v>
      </c>
      <c r="L57" s="58">
        <f aca="true" t="shared" si="4" ref="L57:L66">IF(C57=0,"",100*E57/C57)</f>
        <v>91.20426144276821</v>
      </c>
    </row>
    <row r="58" spans="2:12" ht="24" customHeight="1">
      <c r="B58" s="82" t="s">
        <v>14</v>
      </c>
      <c r="C58" s="26">
        <f>26803391868.95</f>
        <v>26803391868.95</v>
      </c>
      <c r="D58" s="41" t="s">
        <v>60</v>
      </c>
      <c r="E58" s="26">
        <f>20984753323.85</f>
        <v>20984753323.85</v>
      </c>
      <c r="F58" s="41" t="s">
        <v>60</v>
      </c>
      <c r="G58" s="41" t="s">
        <v>60</v>
      </c>
      <c r="H58" s="41" t="s">
        <v>60</v>
      </c>
      <c r="I58" s="103" t="s">
        <v>60</v>
      </c>
      <c r="J58" s="104" t="s">
        <v>60</v>
      </c>
      <c r="K58" s="35">
        <f t="shared" si="3"/>
        <v>14.63782668809946</v>
      </c>
      <c r="L58" s="35">
        <f t="shared" si="4"/>
        <v>78.29140963371684</v>
      </c>
    </row>
    <row r="59" spans="2:12" ht="22.5" customHeight="1">
      <c r="B59" s="20" t="s">
        <v>13</v>
      </c>
      <c r="C59" s="22">
        <f>26203225094.79</f>
        <v>26203225094.79</v>
      </c>
      <c r="D59" s="24" t="s">
        <v>60</v>
      </c>
      <c r="E59" s="22">
        <f>20447439343.23</f>
        <v>20447439343.23</v>
      </c>
      <c r="F59" s="24" t="s">
        <v>60</v>
      </c>
      <c r="G59" s="24" t="s">
        <v>60</v>
      </c>
      <c r="H59" s="24" t="s">
        <v>60</v>
      </c>
      <c r="I59" s="88" t="s">
        <v>60</v>
      </c>
      <c r="J59" s="89" t="s">
        <v>60</v>
      </c>
      <c r="K59" s="36">
        <f t="shared" si="3"/>
        <v>14.263025573974886</v>
      </c>
      <c r="L59" s="36">
        <f t="shared" si="4"/>
        <v>78.03405599601392</v>
      </c>
    </row>
    <row r="60" spans="2:12" ht="25.5" customHeight="1">
      <c r="B60" s="82" t="s">
        <v>65</v>
      </c>
      <c r="C60" s="26">
        <f>C57-C58</f>
        <v>130381983589.29</v>
      </c>
      <c r="D60" s="41" t="s">
        <v>60</v>
      </c>
      <c r="E60" s="26">
        <f>E57-E58</f>
        <v>122375007458.88</v>
      </c>
      <c r="F60" s="41" t="s">
        <v>60</v>
      </c>
      <c r="G60" s="41" t="s">
        <v>60</v>
      </c>
      <c r="H60" s="41" t="s">
        <v>60</v>
      </c>
      <c r="I60" s="103" t="s">
        <v>60</v>
      </c>
      <c r="J60" s="104" t="s">
        <v>60</v>
      </c>
      <c r="K60" s="35">
        <f t="shared" si="3"/>
        <v>85.36217331190053</v>
      </c>
      <c r="L60" s="35">
        <f t="shared" si="4"/>
        <v>93.85883240154378</v>
      </c>
    </row>
    <row r="61" spans="2:12" ht="22.5">
      <c r="B61" s="20" t="s">
        <v>111</v>
      </c>
      <c r="C61" s="22">
        <f>46145733092.39</f>
        <v>46145733092.39</v>
      </c>
      <c r="D61" s="24" t="s">
        <v>60</v>
      </c>
      <c r="E61" s="22">
        <f>43795454305.14</f>
        <v>43795454305.14</v>
      </c>
      <c r="F61" s="24" t="s">
        <v>60</v>
      </c>
      <c r="G61" s="24" t="s">
        <v>60</v>
      </c>
      <c r="H61" s="24" t="s">
        <v>60</v>
      </c>
      <c r="I61" s="88" t="s">
        <v>60</v>
      </c>
      <c r="J61" s="89" t="s">
        <v>60</v>
      </c>
      <c r="K61" s="36">
        <f t="shared" si="3"/>
        <v>30.549335508109934</v>
      </c>
      <c r="L61" s="36">
        <f t="shared" si="4"/>
        <v>94.90683400230218</v>
      </c>
    </row>
    <row r="62" spans="2:12" ht="13.5" customHeight="1">
      <c r="B62" s="32" t="s">
        <v>53</v>
      </c>
      <c r="C62" s="68">
        <f>8884298259.39</f>
        <v>8884298259.39</v>
      </c>
      <c r="D62" s="24" t="s">
        <v>60</v>
      </c>
      <c r="E62" s="68">
        <f>8496130054.01</f>
        <v>8496130054.01</v>
      </c>
      <c r="F62" s="24" t="s">
        <v>60</v>
      </c>
      <c r="G62" s="24" t="s">
        <v>60</v>
      </c>
      <c r="H62" s="24" t="s">
        <v>60</v>
      </c>
      <c r="I62" s="88" t="s">
        <v>60</v>
      </c>
      <c r="J62" s="89" t="s">
        <v>60</v>
      </c>
      <c r="K62" s="69">
        <f t="shared" si="3"/>
        <v>5.926439893329883</v>
      </c>
      <c r="L62" s="69">
        <f t="shared" si="4"/>
        <v>95.63085126087773</v>
      </c>
    </row>
    <row r="63" spans="2:12" ht="13.5" customHeight="1">
      <c r="B63" s="32" t="s">
        <v>52</v>
      </c>
      <c r="C63" s="24">
        <f>882562669.42</f>
        <v>882562669.42</v>
      </c>
      <c r="D63" s="24" t="s">
        <v>60</v>
      </c>
      <c r="E63" s="24">
        <f>668260077.31</f>
        <v>668260077.31</v>
      </c>
      <c r="F63" s="24" t="s">
        <v>60</v>
      </c>
      <c r="G63" s="24" t="s">
        <v>60</v>
      </c>
      <c r="H63" s="24" t="s">
        <v>60</v>
      </c>
      <c r="I63" s="88" t="s">
        <v>60</v>
      </c>
      <c r="J63" s="89" t="s">
        <v>60</v>
      </c>
      <c r="K63" s="69">
        <f t="shared" si="3"/>
        <v>0.4661420147894824</v>
      </c>
      <c r="L63" s="69">
        <f t="shared" si="4"/>
        <v>75.71814449722478</v>
      </c>
    </row>
    <row r="64" spans="2:12" ht="22.5" customHeight="1">
      <c r="B64" s="32" t="s">
        <v>68</v>
      </c>
      <c r="C64" s="68">
        <f>71052756.7</f>
        <v>71052756.7</v>
      </c>
      <c r="D64" s="24" t="s">
        <v>60</v>
      </c>
      <c r="E64" s="68">
        <f>3247271.07</f>
        <v>3247271.07</v>
      </c>
      <c r="F64" s="24" t="s">
        <v>60</v>
      </c>
      <c r="G64" s="24" t="s">
        <v>60</v>
      </c>
      <c r="H64" s="24" t="s">
        <v>60</v>
      </c>
      <c r="I64" s="88" t="s">
        <v>60</v>
      </c>
      <c r="J64" s="89" t="s">
        <v>60</v>
      </c>
      <c r="K64" s="69">
        <f t="shared" si="3"/>
        <v>0.002265120318470276</v>
      </c>
      <c r="L64" s="69">
        <f t="shared" si="4"/>
        <v>4.570225309780275</v>
      </c>
    </row>
    <row r="65" spans="2:12" ht="22.5" customHeight="1">
      <c r="B65" s="32" t="s">
        <v>70</v>
      </c>
      <c r="C65" s="68">
        <f>42347397700.01</f>
        <v>42347397700.01</v>
      </c>
      <c r="D65" s="24" t="s">
        <v>60</v>
      </c>
      <c r="E65" s="68">
        <f>41796740420.71</f>
        <v>41796740420.71</v>
      </c>
      <c r="F65" s="24" t="s">
        <v>60</v>
      </c>
      <c r="G65" s="24" t="s">
        <v>60</v>
      </c>
      <c r="H65" s="24" t="s">
        <v>60</v>
      </c>
      <c r="I65" s="88" t="s">
        <v>60</v>
      </c>
      <c r="J65" s="89" t="s">
        <v>60</v>
      </c>
      <c r="K65" s="69">
        <f t="shared" si="3"/>
        <v>29.155141019002794</v>
      </c>
      <c r="L65" s="69">
        <f t="shared" si="4"/>
        <v>98.69966678188617</v>
      </c>
    </row>
    <row r="66" spans="2:12" ht="13.5" customHeight="1">
      <c r="B66" s="32" t="s">
        <v>51</v>
      </c>
      <c r="C66" s="24">
        <f>C60-C61-C62-C63-C64-C65</f>
        <v>32050939111.379997</v>
      </c>
      <c r="D66" s="24" t="s">
        <v>60</v>
      </c>
      <c r="E66" s="24">
        <f>E60-E61-E62-E63-E64-E65</f>
        <v>27615175330.640007</v>
      </c>
      <c r="F66" s="24" t="s">
        <v>60</v>
      </c>
      <c r="G66" s="24" t="s">
        <v>60</v>
      </c>
      <c r="H66" s="24" t="s">
        <v>60</v>
      </c>
      <c r="I66" s="88" t="s">
        <v>60</v>
      </c>
      <c r="J66" s="89" t="s">
        <v>60</v>
      </c>
      <c r="K66" s="69">
        <f t="shared" si="3"/>
        <v>19.26284975634997</v>
      </c>
      <c r="L66" s="69">
        <f t="shared" si="4"/>
        <v>86.1602689227754</v>
      </c>
    </row>
    <row r="67" spans="2:13" ht="18" customHeight="1">
      <c r="B67" s="82" t="s">
        <v>15</v>
      </c>
      <c r="C67" s="26">
        <f>C6-C57</f>
        <v>-8359613914.419983</v>
      </c>
      <c r="D67" s="41" t="s">
        <v>60</v>
      </c>
      <c r="E67" s="26">
        <f>D6-E57</f>
        <v>5242330542.660004</v>
      </c>
      <c r="F67" s="41" t="s">
        <v>60</v>
      </c>
      <c r="G67" s="41" t="s">
        <v>60</v>
      </c>
      <c r="H67" s="41" t="s">
        <v>60</v>
      </c>
      <c r="I67" s="103" t="s">
        <v>60</v>
      </c>
      <c r="J67" s="104" t="s">
        <v>60</v>
      </c>
      <c r="K67" s="27"/>
      <c r="L67" s="27"/>
      <c r="M67" s="13"/>
    </row>
    <row r="68" spans="2:13" ht="33" customHeight="1">
      <c r="B68" s="84" t="s">
        <v>73</v>
      </c>
      <c r="C68" s="26">
        <f>+C49-C60</f>
        <v>4082455188.4600067</v>
      </c>
      <c r="D68" s="41" t="s">
        <v>60</v>
      </c>
      <c r="E68" s="26">
        <f>+D49-E60</f>
        <v>10865731959.990005</v>
      </c>
      <c r="F68" s="41" t="s">
        <v>60</v>
      </c>
      <c r="G68" s="41" t="s">
        <v>60</v>
      </c>
      <c r="H68" s="41" t="s">
        <v>60</v>
      </c>
      <c r="I68" s="103" t="s">
        <v>60</v>
      </c>
      <c r="J68" s="104" t="s">
        <v>60</v>
      </c>
      <c r="K68" s="27"/>
      <c r="L68" s="27"/>
      <c r="M68" s="13"/>
    </row>
    <row r="69" spans="2:13" ht="8.25" customHeight="1" thickBot="1">
      <c r="B69" s="70"/>
      <c r="C69" s="71"/>
      <c r="D69" s="71"/>
      <c r="E69" s="71"/>
      <c r="F69" s="71"/>
      <c r="G69" s="71"/>
      <c r="H69" s="71"/>
      <c r="I69" s="71"/>
      <c r="J69" s="71"/>
      <c r="K69" s="27"/>
      <c r="L69" s="27"/>
      <c r="M69" s="13"/>
    </row>
    <row r="70" spans="2:13" ht="14.25" customHeight="1">
      <c r="B70" s="85" t="s">
        <v>74</v>
      </c>
      <c r="C70" s="71"/>
      <c r="D70" s="71"/>
      <c r="E70" s="71"/>
      <c r="F70" s="71"/>
      <c r="G70" s="71"/>
      <c r="H70" s="71"/>
      <c r="I70" s="71"/>
      <c r="J70" s="71"/>
      <c r="K70" s="27"/>
      <c r="L70" s="27"/>
      <c r="M70" s="13"/>
    </row>
    <row r="71" spans="2:13" ht="24" customHeight="1">
      <c r="B71" s="82" t="s">
        <v>75</v>
      </c>
      <c r="C71" s="41">
        <f>11039917295.78</f>
        <v>11039917295.78</v>
      </c>
      <c r="D71" s="41"/>
      <c r="E71" s="41">
        <f>8344864287.61</f>
        <v>8344864287.61</v>
      </c>
      <c r="F71" s="41" t="s">
        <v>60</v>
      </c>
      <c r="G71" s="41" t="s">
        <v>60</v>
      </c>
      <c r="H71" s="41" t="s">
        <v>60</v>
      </c>
      <c r="I71" s="103" t="s">
        <v>60</v>
      </c>
      <c r="J71" s="104" t="s">
        <v>60</v>
      </c>
      <c r="K71" s="72">
        <f>IF($E$57=0,"",100*$E71/$E$71)</f>
        <v>100</v>
      </c>
      <c r="L71" s="72">
        <f>IF(C71=0,"",100*E71/C71)</f>
        <v>75.5881050920537</v>
      </c>
      <c r="M71" s="13"/>
    </row>
    <row r="72" spans="2:13" ht="15" customHeight="1">
      <c r="B72" s="86" t="s">
        <v>76</v>
      </c>
      <c r="C72" s="22">
        <f>9566474789.15</f>
        <v>9566474789.15</v>
      </c>
      <c r="D72" s="22"/>
      <c r="E72" s="22">
        <f>7264180982.21</f>
        <v>7264180982.21</v>
      </c>
      <c r="F72" s="24" t="s">
        <v>60</v>
      </c>
      <c r="G72" s="24" t="s">
        <v>60</v>
      </c>
      <c r="H72" s="24" t="s">
        <v>60</v>
      </c>
      <c r="I72" s="88" t="s">
        <v>60</v>
      </c>
      <c r="J72" s="89" t="s">
        <v>60</v>
      </c>
      <c r="K72" s="36">
        <f>IF($E$57=0,"",100*$E72/$E$71)</f>
        <v>87.04971982582701</v>
      </c>
      <c r="L72" s="36">
        <f>IF(C72=0,"",100*E72/C72)</f>
        <v>75.93372838288154</v>
      </c>
      <c r="M72" s="13"/>
    </row>
    <row r="73" spans="2:13" ht="14.25" customHeight="1">
      <c r="B73" s="87" t="s">
        <v>77</v>
      </c>
      <c r="C73" s="22">
        <f>+C71-C72</f>
        <v>1473442506.630001</v>
      </c>
      <c r="D73" s="22"/>
      <c r="E73" s="22">
        <f>+E71-E72</f>
        <v>1080683305.3999996</v>
      </c>
      <c r="F73" s="24" t="s">
        <v>60</v>
      </c>
      <c r="G73" s="24" t="s">
        <v>60</v>
      </c>
      <c r="H73" s="24" t="s">
        <v>60</v>
      </c>
      <c r="I73" s="88" t="s">
        <v>60</v>
      </c>
      <c r="J73" s="89" t="s">
        <v>60</v>
      </c>
      <c r="K73" s="36">
        <f>IF($E$57=0,"",100*$E73/$E$71)</f>
        <v>12.950280174172988</v>
      </c>
      <c r="L73" s="36">
        <f>IF(C73=0,"",100*E73/C73)</f>
        <v>73.34411085178311</v>
      </c>
      <c r="M73" s="10"/>
    </row>
    <row r="74" spans="2:13" ht="15">
      <c r="B74" s="97" t="s">
        <v>112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ht="6.75" customHeight="1"/>
    <row r="76" spans="2:8" ht="18" customHeight="1">
      <c r="B76" s="81" t="s">
        <v>16</v>
      </c>
      <c r="C76" s="90" t="s">
        <v>17</v>
      </c>
      <c r="D76" s="91"/>
      <c r="E76" s="90" t="s">
        <v>1</v>
      </c>
      <c r="F76" s="91"/>
      <c r="G76" s="19" t="s">
        <v>26</v>
      </c>
      <c r="H76" s="19" t="s">
        <v>27</v>
      </c>
    </row>
    <row r="77" spans="2:10" ht="13.5" customHeight="1">
      <c r="B77" s="40"/>
      <c r="C77" s="92" t="s">
        <v>78</v>
      </c>
      <c r="D77" s="93"/>
      <c r="E77" s="93"/>
      <c r="F77" s="94"/>
      <c r="G77" s="95" t="s">
        <v>4</v>
      </c>
      <c r="H77" s="96"/>
      <c r="J77" s="14"/>
    </row>
    <row r="78" spans="2:10" ht="11.25" customHeight="1">
      <c r="B78" s="39">
        <v>1</v>
      </c>
      <c r="C78" s="42">
        <v>2</v>
      </c>
      <c r="D78" s="43"/>
      <c r="E78" s="42">
        <v>3</v>
      </c>
      <c r="F78" s="43"/>
      <c r="G78" s="30">
        <v>4</v>
      </c>
      <c r="H78" s="30">
        <v>5</v>
      </c>
      <c r="J78" s="10"/>
    </row>
    <row r="79" spans="2:8" ht="25.5" customHeight="1">
      <c r="B79" s="80" t="s">
        <v>66</v>
      </c>
      <c r="C79" s="44">
        <f>0</f>
        <v>0</v>
      </c>
      <c r="D79" s="45"/>
      <c r="E79" s="44">
        <f>0</f>
        <v>0</v>
      </c>
      <c r="F79" s="45"/>
      <c r="G79" s="37">
        <f aca="true" t="shared" si="5" ref="G79:G86">IF($E$79=0,"",100*$E79/$E$79)</f>
      </c>
      <c r="H79" s="35">
        <f>IF(C79=0,"",100*E79/C79)</f>
      </c>
    </row>
    <row r="80" spans="2:8" ht="26.25" customHeight="1">
      <c r="B80" s="60" t="s">
        <v>96</v>
      </c>
      <c r="C80" s="46">
        <f>0</f>
        <v>0</v>
      </c>
      <c r="D80" s="47"/>
      <c r="E80" s="46">
        <f>0</f>
        <v>0</v>
      </c>
      <c r="F80" s="47"/>
      <c r="G80" s="56">
        <f t="shared" si="5"/>
      </c>
      <c r="H80" s="57">
        <f aca="true" t="shared" si="6" ref="H80:H91">IF(C80=0,"",100*E80/C80)</f>
      </c>
    </row>
    <row r="81" spans="2:8" ht="22.5">
      <c r="B81" s="73" t="s">
        <v>97</v>
      </c>
      <c r="C81" s="74">
        <f>0</f>
        <v>0</v>
      </c>
      <c r="D81" s="75"/>
      <c r="E81" s="74">
        <f>0</f>
        <v>0</v>
      </c>
      <c r="F81" s="75"/>
      <c r="G81" s="76">
        <f t="shared" si="5"/>
      </c>
      <c r="H81" s="67">
        <f t="shared" si="6"/>
      </c>
    </row>
    <row r="82" spans="2:8" ht="12.75">
      <c r="B82" s="77" t="s">
        <v>98</v>
      </c>
      <c r="C82" s="74">
        <f>0</f>
        <v>0</v>
      </c>
      <c r="D82" s="75"/>
      <c r="E82" s="74">
        <f>0</f>
        <v>0</v>
      </c>
      <c r="F82" s="75"/>
      <c r="G82" s="76">
        <f t="shared" si="5"/>
      </c>
      <c r="H82" s="67">
        <f t="shared" si="6"/>
      </c>
    </row>
    <row r="83" spans="2:8" ht="12.75">
      <c r="B83" s="77" t="s">
        <v>99</v>
      </c>
      <c r="C83" s="74">
        <f>0</f>
        <v>0</v>
      </c>
      <c r="D83" s="75"/>
      <c r="E83" s="74">
        <f>0</f>
        <v>0</v>
      </c>
      <c r="F83" s="75"/>
      <c r="G83" s="76">
        <f t="shared" si="5"/>
      </c>
      <c r="H83" s="67">
        <f t="shared" si="6"/>
      </c>
    </row>
    <row r="84" spans="2:8" ht="13.5" customHeight="1">
      <c r="B84" s="77" t="s">
        <v>100</v>
      </c>
      <c r="C84" s="74">
        <f>0</f>
        <v>0</v>
      </c>
      <c r="D84" s="75"/>
      <c r="E84" s="74">
        <f>0</f>
        <v>0</v>
      </c>
      <c r="F84" s="75"/>
      <c r="G84" s="76">
        <f t="shared" si="5"/>
      </c>
      <c r="H84" s="67">
        <f t="shared" si="6"/>
      </c>
    </row>
    <row r="85" spans="2:8" ht="40.5" customHeight="1">
      <c r="B85" s="77" t="s">
        <v>80</v>
      </c>
      <c r="C85" s="74">
        <f>0</f>
        <v>0</v>
      </c>
      <c r="D85" s="75"/>
      <c r="E85" s="74">
        <f>0</f>
        <v>0</v>
      </c>
      <c r="F85" s="75"/>
      <c r="G85" s="76">
        <f t="shared" si="5"/>
      </c>
      <c r="H85" s="67">
        <f t="shared" si="6"/>
      </c>
    </row>
    <row r="86" spans="2:8" ht="12.75">
      <c r="B86" s="77" t="s">
        <v>81</v>
      </c>
      <c r="C86" s="74">
        <f>0</f>
        <v>0</v>
      </c>
      <c r="D86" s="75"/>
      <c r="E86" s="74">
        <f>0</f>
        <v>0</v>
      </c>
      <c r="F86" s="75"/>
      <c r="G86" s="76">
        <f t="shared" si="5"/>
      </c>
      <c r="H86" s="67">
        <f t="shared" si="6"/>
      </c>
    </row>
    <row r="87" spans="2:8" ht="25.5" customHeight="1">
      <c r="B87" s="80" t="s">
        <v>67</v>
      </c>
      <c r="C87" s="54">
        <f>0</f>
        <v>0</v>
      </c>
      <c r="D87" s="55"/>
      <c r="E87" s="54">
        <f>0</f>
        <v>0</v>
      </c>
      <c r="F87" s="55"/>
      <c r="G87" s="37">
        <f>IF($E$87=0,"",100*$E87/$E$87)</f>
      </c>
      <c r="H87" s="35">
        <f t="shared" si="6"/>
      </c>
    </row>
    <row r="88" spans="2:8" ht="36" customHeight="1">
      <c r="B88" s="60" t="s">
        <v>101</v>
      </c>
      <c r="C88" s="46">
        <f>0</f>
        <v>0</v>
      </c>
      <c r="D88" s="52"/>
      <c r="E88" s="53">
        <f>0</f>
        <v>0</v>
      </c>
      <c r="F88" s="52"/>
      <c r="G88" s="56">
        <f>IF($E$87=0,"",100*$E88/$E$87)</f>
      </c>
      <c r="H88" s="57">
        <f t="shared" si="6"/>
      </c>
    </row>
    <row r="89" spans="2:8" ht="24.75" customHeight="1">
      <c r="B89" s="77" t="s">
        <v>102</v>
      </c>
      <c r="C89" s="74">
        <f>0</f>
        <v>0</v>
      </c>
      <c r="D89" s="75"/>
      <c r="E89" s="74">
        <f>0</f>
        <v>0</v>
      </c>
      <c r="F89" s="75"/>
      <c r="G89" s="76">
        <f>IF($E$87=0,"",100*$E89/$E$87)</f>
      </c>
      <c r="H89" s="67">
        <f t="shared" si="6"/>
      </c>
    </row>
    <row r="90" spans="2:8" ht="12.75">
      <c r="B90" s="73" t="s">
        <v>103</v>
      </c>
      <c r="C90" s="74">
        <f>0</f>
        <v>0</v>
      </c>
      <c r="D90" s="75"/>
      <c r="E90" s="74">
        <f>0</f>
        <v>0</v>
      </c>
      <c r="F90" s="75"/>
      <c r="G90" s="76">
        <f>IF($E$87=0,"",100*$E90/$E$87)</f>
      </c>
      <c r="H90" s="67">
        <f t="shared" si="6"/>
      </c>
    </row>
    <row r="91" spans="2:8" ht="12.75">
      <c r="B91" s="77" t="s">
        <v>33</v>
      </c>
      <c r="C91" s="74">
        <f>0</f>
        <v>0</v>
      </c>
      <c r="D91" s="75"/>
      <c r="E91" s="74">
        <f>0</f>
        <v>0</v>
      </c>
      <c r="F91" s="75"/>
      <c r="G91" s="76">
        <f>IF($E$87=0,"",100*$E91/$E$87)</f>
      </c>
      <c r="H91" s="67">
        <f t="shared" si="6"/>
      </c>
    </row>
    <row r="92" ht="7.5" customHeight="1"/>
    <row r="93" spans="2:8" ht="12.75">
      <c r="B93" s="81" t="s">
        <v>16</v>
      </c>
      <c r="C93" s="90" t="s">
        <v>17</v>
      </c>
      <c r="D93" s="91"/>
      <c r="E93" s="90" t="s">
        <v>1</v>
      </c>
      <c r="F93" s="91"/>
      <c r="G93" s="19" t="s">
        <v>26</v>
      </c>
      <c r="H93" s="19" t="s">
        <v>27</v>
      </c>
    </row>
    <row r="94" spans="2:8" ht="12.75">
      <c r="B94" s="40"/>
      <c r="C94" s="92" t="s">
        <v>78</v>
      </c>
      <c r="D94" s="93"/>
      <c r="E94" s="93"/>
      <c r="F94" s="94"/>
      <c r="G94" s="95" t="s">
        <v>4</v>
      </c>
      <c r="H94" s="96"/>
    </row>
    <row r="95" spans="2:8" ht="12.75">
      <c r="B95" s="39">
        <v>1</v>
      </c>
      <c r="C95" s="42">
        <v>2</v>
      </c>
      <c r="D95" s="43"/>
      <c r="E95" s="42">
        <v>3</v>
      </c>
      <c r="F95" s="43"/>
      <c r="G95" s="30">
        <v>4</v>
      </c>
      <c r="H95" s="30">
        <v>5</v>
      </c>
    </row>
    <row r="96" spans="2:8" ht="31.5" customHeight="1">
      <c r="B96" s="61" t="s">
        <v>82</v>
      </c>
      <c r="C96" s="51">
        <f>0</f>
        <v>0</v>
      </c>
      <c r="D96" s="48"/>
      <c r="E96" s="51">
        <f>0</f>
        <v>0</v>
      </c>
      <c r="F96" s="45"/>
      <c r="G96" s="37"/>
      <c r="H96" s="35"/>
    </row>
    <row r="97" spans="2:8" ht="47.25" customHeight="1">
      <c r="B97" s="59" t="s">
        <v>83</v>
      </c>
      <c r="C97" s="53">
        <f>0</f>
        <v>0</v>
      </c>
      <c r="D97" s="52"/>
      <c r="E97" s="53">
        <f>0</f>
        <v>0</v>
      </c>
      <c r="F97" s="52"/>
      <c r="G97" s="56"/>
      <c r="H97" s="57"/>
    </row>
    <row r="98" spans="2:8" ht="12.75">
      <c r="B98" s="59" t="s">
        <v>84</v>
      </c>
      <c r="C98" s="53">
        <f>0</f>
        <v>0</v>
      </c>
      <c r="D98" s="52"/>
      <c r="E98" s="53">
        <f>0</f>
        <v>0</v>
      </c>
      <c r="F98" s="52"/>
      <c r="G98" s="56"/>
      <c r="H98" s="57"/>
    </row>
    <row r="99" spans="2:8" ht="25.5" customHeight="1">
      <c r="B99" s="59" t="s">
        <v>85</v>
      </c>
      <c r="C99" s="53">
        <f>0</f>
        <v>0</v>
      </c>
      <c r="D99" s="52"/>
      <c r="E99" s="53">
        <f>0</f>
        <v>0</v>
      </c>
      <c r="F99" s="52"/>
      <c r="G99" s="56"/>
      <c r="H99" s="57"/>
    </row>
    <row r="100" spans="2:8" ht="33.75">
      <c r="B100" s="59" t="s">
        <v>86</v>
      </c>
      <c r="C100" s="53">
        <f>0</f>
        <v>0</v>
      </c>
      <c r="D100" s="52"/>
      <c r="E100" s="53">
        <f>0</f>
        <v>0</v>
      </c>
      <c r="F100" s="52"/>
      <c r="G100" s="56"/>
      <c r="H100" s="57"/>
    </row>
    <row r="101" spans="2:8" ht="85.5" customHeight="1">
      <c r="B101" s="59" t="s">
        <v>87</v>
      </c>
      <c r="C101" s="53">
        <f>0</f>
        <v>0</v>
      </c>
      <c r="D101" s="52"/>
      <c r="E101" s="53">
        <f>0</f>
        <v>0</v>
      </c>
      <c r="F101" s="52"/>
      <c r="G101" s="56"/>
      <c r="H101" s="57"/>
    </row>
    <row r="102" ht="7.5" customHeight="1"/>
    <row r="103" spans="2:6" ht="12.75">
      <c r="B103" s="81" t="s">
        <v>16</v>
      </c>
      <c r="C103" s="90" t="s">
        <v>106</v>
      </c>
      <c r="D103" s="107"/>
      <c r="E103" s="107"/>
      <c r="F103" s="91"/>
    </row>
    <row r="104" spans="2:6" ht="12.75">
      <c r="B104" s="40"/>
      <c r="C104" s="92" t="s">
        <v>78</v>
      </c>
      <c r="D104" s="93"/>
      <c r="E104" s="93"/>
      <c r="F104" s="94"/>
    </row>
    <row r="105" spans="2:6" ht="12.75">
      <c r="B105" s="39">
        <v>1</v>
      </c>
      <c r="C105" s="108">
        <v>2</v>
      </c>
      <c r="D105" s="109"/>
      <c r="E105" s="109"/>
      <c r="F105" s="110"/>
    </row>
    <row r="106" spans="2:6" ht="48.75" customHeight="1">
      <c r="B106" s="79" t="s">
        <v>88</v>
      </c>
      <c r="C106" s="106">
        <f>0</f>
        <v>0</v>
      </c>
      <c r="D106" s="107"/>
      <c r="E106" s="107"/>
      <c r="F106" s="91"/>
    </row>
    <row r="107" spans="2:6" ht="36.75" customHeight="1">
      <c r="B107" s="59" t="s">
        <v>89</v>
      </c>
      <c r="C107" s="106">
        <f>0</f>
        <v>0</v>
      </c>
      <c r="D107" s="107"/>
      <c r="E107" s="107"/>
      <c r="F107" s="91"/>
    </row>
    <row r="108" spans="2:6" ht="37.5" customHeight="1">
      <c r="B108" s="59" t="s">
        <v>90</v>
      </c>
      <c r="C108" s="106">
        <f>0</f>
        <v>0</v>
      </c>
      <c r="D108" s="107"/>
      <c r="E108" s="107"/>
      <c r="F108" s="91"/>
    </row>
    <row r="109" spans="2:6" ht="73.5" customHeight="1">
      <c r="B109" s="59" t="s">
        <v>91</v>
      </c>
      <c r="C109" s="106">
        <f>0</f>
        <v>0</v>
      </c>
      <c r="D109" s="107"/>
      <c r="E109" s="107"/>
      <c r="F109" s="91"/>
    </row>
    <row r="110" spans="2:6" ht="56.25">
      <c r="B110" s="59" t="s">
        <v>92</v>
      </c>
      <c r="C110" s="106">
        <f>0</f>
        <v>0</v>
      </c>
      <c r="D110" s="107"/>
      <c r="E110" s="107"/>
      <c r="F110" s="91"/>
    </row>
    <row r="111" spans="2:6" ht="61.5" customHeight="1">
      <c r="B111" s="78" t="s">
        <v>93</v>
      </c>
      <c r="C111" s="106">
        <f>0</f>
        <v>0</v>
      </c>
      <c r="D111" s="107"/>
      <c r="E111" s="107"/>
      <c r="F111" s="91"/>
    </row>
    <row r="112" spans="2:6" ht="49.5" customHeight="1">
      <c r="B112" s="78" t="s">
        <v>94</v>
      </c>
      <c r="C112" s="106">
        <f>0</f>
        <v>0</v>
      </c>
      <c r="D112" s="107"/>
      <c r="E112" s="107"/>
      <c r="F112" s="91"/>
    </row>
    <row r="113" spans="2:6" ht="87" customHeight="1">
      <c r="B113" s="78" t="s">
        <v>104</v>
      </c>
      <c r="C113" s="106">
        <f>0</f>
        <v>0</v>
      </c>
      <c r="D113" s="107"/>
      <c r="E113" s="107"/>
      <c r="F113" s="91"/>
    </row>
    <row r="114" spans="2:6" ht="81" customHeight="1">
      <c r="B114" s="78" t="s">
        <v>105</v>
      </c>
      <c r="C114" s="106">
        <f>0</f>
        <v>0</v>
      </c>
      <c r="D114" s="107"/>
      <c r="E114" s="107"/>
      <c r="F114" s="91"/>
    </row>
    <row r="115" ht="7.5" customHeight="1"/>
  </sheetData>
  <sheetProtection/>
  <mergeCells count="54">
    <mergeCell ref="C113:F113"/>
    <mergeCell ref="C114:F114"/>
    <mergeCell ref="C106:F106"/>
    <mergeCell ref="C107:F107"/>
    <mergeCell ref="C108:F108"/>
    <mergeCell ref="C109:F109"/>
    <mergeCell ref="C93:D93"/>
    <mergeCell ref="E93:F93"/>
    <mergeCell ref="C94:F94"/>
    <mergeCell ref="G94:H94"/>
    <mergeCell ref="C103:F103"/>
    <mergeCell ref="I68:J68"/>
    <mergeCell ref="I71:J71"/>
    <mergeCell ref="I72:J72"/>
    <mergeCell ref="I73:J73"/>
    <mergeCell ref="L52:L54"/>
    <mergeCell ref="I59:J59"/>
    <mergeCell ref="C112:F112"/>
    <mergeCell ref="C105:F105"/>
    <mergeCell ref="C104:F104"/>
    <mergeCell ref="I66:J66"/>
    <mergeCell ref="I67:J67"/>
    <mergeCell ref="B74:M74"/>
    <mergeCell ref="C110:F110"/>
    <mergeCell ref="C111:F111"/>
    <mergeCell ref="I60:J60"/>
    <mergeCell ref="I56:J56"/>
    <mergeCell ref="I57:J57"/>
    <mergeCell ref="B3:B4"/>
    <mergeCell ref="K4:M4"/>
    <mergeCell ref="C4:J4"/>
    <mergeCell ref="C55:J55"/>
    <mergeCell ref="C52:C54"/>
    <mergeCell ref="B50:M50"/>
    <mergeCell ref="I58:J58"/>
    <mergeCell ref="B1:M1"/>
    <mergeCell ref="I52:J54"/>
    <mergeCell ref="D52:D54"/>
    <mergeCell ref="E52:E54"/>
    <mergeCell ref="F53:F54"/>
    <mergeCell ref="F52:H52"/>
    <mergeCell ref="B52:B55"/>
    <mergeCell ref="K52:K54"/>
    <mergeCell ref="K55:L55"/>
    <mergeCell ref="G53:H53"/>
    <mergeCell ref="I61:J61"/>
    <mergeCell ref="I62:J62"/>
    <mergeCell ref="I65:J65"/>
    <mergeCell ref="C76:D76"/>
    <mergeCell ref="E76:F76"/>
    <mergeCell ref="C77:F77"/>
    <mergeCell ref="G77:H77"/>
    <mergeCell ref="I63:J63"/>
    <mergeCell ref="I64:J64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1"/>
  <headerFooter alignWithMargins="0">
    <oddFooter>&amp;RStrona &amp;P z &amp;N</oddFooter>
  </headerFooter>
  <rowBreaks count="6" manualBreakCount="6">
    <brk id="21" max="255" man="1"/>
    <brk id="49" max="255" man="1"/>
    <brk id="73" max="255" man="1"/>
    <brk id="92" max="12" man="1"/>
    <brk id="101" max="12" man="1"/>
    <brk id="1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2021-02-08T10:16:16Z</dcterms:modified>
  <cp:category/>
  <cp:version/>
  <cp:contentType/>
  <cp:contentStatus/>
</cp:coreProperties>
</file>