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\ST7\BeSTi@\2022\II KWARTAŁ\www\MF\Zestawienia zbiorcze\"/>
    </mc:Choice>
  </mc:AlternateContent>
  <bookViews>
    <workbookView xWindow="0" yWindow="0" windowWidth="21600" windowHeight="97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6" i="7" l="1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/>
  <c r="A30" i="7" s="1"/>
  <c r="A86" i="7" l="1"/>
  <c r="A1" i="7"/>
  <c r="A67" i="7"/>
</calcChain>
</file>

<file path=xl/sharedStrings.xml><?xml version="1.0" encoding="utf-8"?>
<sst xmlns="http://schemas.openxmlformats.org/spreadsheetml/2006/main" count="93" uniqueCount="79">
  <si>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</si>
  <si>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</si>
  <si>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</si>
  <si>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</si>
  <si>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</si>
  <si>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</si>
  <si>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</si>
  <si>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</si>
  <si>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</si>
  <si>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</si>
  <si>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</si>
  <si>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</si>
  <si>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</si>
  <si>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</si>
  <si>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</si>
  <si>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</si>
  <si>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</si>
  <si>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</si>
  <si>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</si>
  <si>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</si>
  <si>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</si>
  <si>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</si>
  <si>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</si>
  <si>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</si>
  <si>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</si>
  <si>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</si>
  <si>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</si>
  <si>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</si>
  <si>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</si>
  <si>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</si>
  <si>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</si>
  <si>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</si>
  <si>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</si>
  <si>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</si>
  <si>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</si>
  <si>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</si>
  <si>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</si>
  <si>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</si>
  <si>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</si>
  <si>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</si>
  <si>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</si>
  <si>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</si>
  <si>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</si>
  <si>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</si>
  <si>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</si>
  <si>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</si>
  <si>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</si>
  <si>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</si>
  <si>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</si>
  <si>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</si>
  <si>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</si>
  <si>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</si>
  <si>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</si>
  <si>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</si>
  <si>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</si>
  <si>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</si>
  <si>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</si>
  <si>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</si>
  <si>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</si>
  <si>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</si>
  <si>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</si>
  <si>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</si>
  <si>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</si>
  <si>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</si>
  <si>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</si>
  <si>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</si>
  <si>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</si>
  <si>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</si>
  <si>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</si>
  <si>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</si>
  <si>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</si>
  <si>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</si>
  <si>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</si>
  <si>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</si>
  <si>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</si>
  <si>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E1 papiery wartościowe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</si>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</sst>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1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2" fillId="0" borderId="10" xfId="37" applyFont="1" applyBorder="1" applyAlignment="1">
      <alignment horizontal="left" vertical="center" wrapText="1"/>
    </xf>
    <xf numFmtId="0" fontId="2" fillId="0" borderId="10" xfId="37" applyFont="1" applyBorder="1" applyAlignment="1">
      <alignment horizontal="left" vertical="top" wrapText="1"/>
    </xf>
    <xf numFmtId="0" fontId="29" fillId="0" borderId="17" xfId="0" applyFont="1" applyFill="1" applyBorder="1" applyAlignment="1">
      <alignment vertical="top" wrapText="1"/>
    </xf>
    <xf numFmtId="0" fontId="8" fillId="20" borderId="10" xfId="37" applyFont="1" applyFill="1" applyBorder="1" applyAlignment="1">
      <alignment horizontal="left" vertical="top" wrapText="1"/>
    </xf>
    <xf numFmtId="0" fontId="2" fillId="20" borderId="10" xfId="37" applyFont="1" applyFill="1" applyBorder="1" applyAlignment="1">
      <alignment horizontal="left" vertical="top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8" fillId="21" borderId="10" xfId="37" applyFont="1" applyFill="1" applyBorder="1" applyAlignment="1">
      <alignment horizontal="left" vertical="center" wrapText="1"/>
    </xf>
    <xf numFmtId="4" fontId="7" fillId="21" borderId="10" xfId="37" applyNumberFormat="1" applyFont="1" applyFill="1" applyBorder="1" applyAlignment="1">
      <alignment horizontal="right" vertical="center" wrapText="1"/>
    </xf>
    <xf numFmtId="0" fontId="28" fillId="21" borderId="17" xfId="0" applyFont="1" applyFill="1" applyBorder="1" applyAlignment="1">
      <alignment vertical="top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30" fillId="0" borderId="0" xfId="37" applyFont="1" applyAlignment="1">
      <alignment horizontal="center" vertical="center" wrapText="1"/>
    </xf>
    <xf numFmtId="0" fontId="2" fillId="19" borderId="19" xfId="37" applyFont="1" applyFill="1" applyBorder="1" applyAlignment="1">
      <alignment horizontal="center" vertical="center" wrapText="1"/>
    </xf>
    <xf numFmtId="0" fontId="2" fillId="19" borderId="20" xfId="37" applyFont="1" applyFill="1" applyBorder="1" applyAlignment="1">
      <alignment horizontal="center" vertical="center" wrapText="1"/>
    </xf>
    <xf numFmtId="0" fontId="2" fillId="19" borderId="12" xfId="37" applyFont="1" applyFill="1" applyBorder="1" applyAlignment="1">
      <alignment horizontal="center" vertical="center" wrapText="1"/>
    </xf>
    <xf numFmtId="0" fontId="2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3" fontId="7" fillId="0" borderId="15" xfId="37" applyNumberFormat="1" applyFont="1" applyFill="1" applyBorder="1" applyAlignment="1">
      <alignment horizontal="right" vertical="center" wrapText="1"/>
    </xf>
    <xf numFmtId="3" fontId="7" fillId="0" borderId="11" xfId="37" applyNumberFormat="1" applyFont="1" applyFill="1" applyBorder="1" applyAlignment="1">
      <alignment horizontal="right" vertical="center" wrapText="1"/>
    </xf>
    <xf numFmtId="4" fontId="7" fillId="0" borderId="15" xfId="37" applyNumberFormat="1" applyFont="1" applyFill="1" applyBorder="1" applyAlignment="1">
      <alignment horizontal="right" vertical="center" wrapText="1"/>
    </xf>
    <xf numFmtId="4" fontId="7" fillId="0" borderId="11" xfId="37" applyNumberFormat="1" applyFont="1" applyFill="1" applyBorder="1" applyAlignment="1">
      <alignment horizontal="right" vertical="center" wrapText="1"/>
    </xf>
    <xf numFmtId="0" fontId="2" fillId="19" borderId="21" xfId="37" applyFont="1" applyFill="1" applyBorder="1" applyAlignment="1">
      <alignment horizontal="center" vertical="center" wrapText="1"/>
    </xf>
    <xf numFmtId="0" fontId="2" fillId="19" borderId="23" xfId="37" applyFont="1" applyFill="1" applyBorder="1" applyAlignment="1">
      <alignment horizontal="center" vertical="center" wrapText="1"/>
    </xf>
    <xf numFmtId="0" fontId="2" fillId="19" borderId="13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8" fillId="19" borderId="19" xfId="37" applyFont="1" applyFill="1" applyBorder="1" applyAlignment="1">
      <alignment horizontal="center" vertical="center" wrapText="1"/>
    </xf>
    <xf numFmtId="0" fontId="8" fillId="19" borderId="20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8" fillId="19" borderId="15" xfId="37" applyFont="1" applyFill="1" applyBorder="1" applyAlignment="1">
      <alignment horizontal="center" vertical="center" wrapText="1"/>
    </xf>
    <xf numFmtId="0" fontId="8" fillId="19" borderId="14" xfId="37" applyFont="1" applyFill="1" applyBorder="1" applyAlignment="1">
      <alignment horizontal="center" vertical="center" wrapText="1"/>
    </xf>
    <xf numFmtId="0" fontId="8" fillId="19" borderId="11" xfId="37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activeCell="A6" sqref="A6:A11"/>
    </sheetView>
  </sheetViews>
  <sheetFormatPr defaultRowHeight="13.5" customHeight="1" x14ac:dyDescent="0.2"/>
  <cols>
    <col min="1" max="1" width="16.42578125" style="2" customWidth="1"/>
    <col min="2" max="2" width="14.7109375" style="2" customWidth="1"/>
    <col min="3" max="3" width="15.140625" style="2" customWidth="1"/>
    <col min="4" max="4" width="12.5703125" style="2" customWidth="1"/>
    <col min="5" max="5" width="11.42578125" style="2" customWidth="1"/>
    <col min="6" max="7" width="12.5703125" style="2" customWidth="1"/>
    <col min="8" max="8" width="12" style="2" customWidth="1"/>
    <col min="9" max="9" width="11.7109375" style="2" customWidth="1"/>
    <col min="10" max="10" width="13" style="2" customWidth="1"/>
    <col min="11" max="11" width="12.140625" style="2" customWidth="1"/>
    <col min="12" max="12" width="13.28515625" style="2" customWidth="1"/>
    <col min="13" max="13" width="12.85546875" style="2" customWidth="1"/>
    <col min="14" max="14" width="12" style="2" customWidth="1"/>
    <col min="15" max="17" width="11.7109375" style="2" customWidth="1"/>
    <col min="18" max="16384" width="9.140625" style="2"/>
  </cols>
  <sheetData>
    <row r="1" spans="1:17" ht="75" customHeight="1" x14ac:dyDescent="0.2">
      <c r="A1" s="33" t="str">
        <f>CONCATENATE("Informacja z wykonania budżetów jednostek samorządu terytorialnego za ",$C$94," ",$B$95," roku")</f>
        <v>Informacja z wykonania budżetów jednostek samorządu terytorialnego za II Kwartały 2022 roku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5" spans="1:17" ht="13.5" customHeight="1" x14ac:dyDescent="0.2">
      <c r="B5" s="11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0"/>
      <c r="O5" s="10"/>
      <c r="P5" s="10"/>
      <c r="Q5" s="10"/>
    </row>
    <row r="6" spans="1:17" ht="13.5" customHeight="1" x14ac:dyDescent="0.2">
      <c r="A6" s="69" t="s">
        <v>0</v>
      </c>
      <c r="B6" s="34" t="s">
        <v>61</v>
      </c>
      <c r="C6" s="29" t="s">
        <v>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29" t="s">
        <v>64</v>
      </c>
      <c r="P6" s="30"/>
      <c r="Q6" s="31"/>
    </row>
    <row r="7" spans="1:17" ht="13.5" customHeight="1" x14ac:dyDescent="0.2">
      <c r="A7" s="70"/>
      <c r="B7" s="35"/>
      <c r="C7" s="36" t="s">
        <v>62</v>
      </c>
      <c r="D7" s="36" t="s">
        <v>73</v>
      </c>
      <c r="E7" s="36" t="s">
        <v>66</v>
      </c>
      <c r="F7" s="36" t="s">
        <v>67</v>
      </c>
      <c r="G7" s="36" t="s">
        <v>27</v>
      </c>
      <c r="H7" s="36" t="s">
        <v>28</v>
      </c>
      <c r="I7" s="66" t="s">
        <v>63</v>
      </c>
      <c r="J7" s="36" t="s">
        <v>16</v>
      </c>
      <c r="K7" s="36" t="s">
        <v>17</v>
      </c>
      <c r="L7" s="36" t="s">
        <v>18</v>
      </c>
      <c r="M7" s="36" t="s">
        <v>19</v>
      </c>
      <c r="N7" s="35" t="s">
        <v>20</v>
      </c>
      <c r="O7" s="32" t="s">
        <v>21</v>
      </c>
      <c r="P7" s="32" t="s">
        <v>22</v>
      </c>
      <c r="Q7" s="32" t="s">
        <v>23</v>
      </c>
    </row>
    <row r="8" spans="1:17" ht="13.5" customHeight="1" x14ac:dyDescent="0.2">
      <c r="A8" s="70"/>
      <c r="B8" s="35"/>
      <c r="C8" s="32"/>
      <c r="D8" s="32"/>
      <c r="E8" s="32"/>
      <c r="F8" s="32"/>
      <c r="G8" s="32"/>
      <c r="H8" s="32"/>
      <c r="I8" s="66"/>
      <c r="J8" s="32"/>
      <c r="K8" s="32"/>
      <c r="L8" s="32"/>
      <c r="M8" s="32"/>
      <c r="N8" s="35"/>
      <c r="O8" s="32"/>
      <c r="P8" s="32"/>
      <c r="Q8" s="32"/>
    </row>
    <row r="9" spans="1:17" ht="13.5" customHeight="1" x14ac:dyDescent="0.2">
      <c r="A9" s="70"/>
      <c r="B9" s="35"/>
      <c r="C9" s="32"/>
      <c r="D9" s="32"/>
      <c r="E9" s="32"/>
      <c r="F9" s="32"/>
      <c r="G9" s="32"/>
      <c r="H9" s="32"/>
      <c r="I9" s="66"/>
      <c r="J9" s="32"/>
      <c r="K9" s="32"/>
      <c r="L9" s="32"/>
      <c r="M9" s="32"/>
      <c r="N9" s="35"/>
      <c r="O9" s="32"/>
      <c r="P9" s="32"/>
      <c r="Q9" s="32"/>
    </row>
    <row r="10" spans="1:17" ht="11.25" customHeight="1" x14ac:dyDescent="0.2">
      <c r="A10" s="70"/>
      <c r="B10" s="35"/>
      <c r="C10" s="32"/>
      <c r="D10" s="32"/>
      <c r="E10" s="32"/>
      <c r="F10" s="32"/>
      <c r="G10" s="32"/>
      <c r="H10" s="32"/>
      <c r="I10" s="66"/>
      <c r="J10" s="32"/>
      <c r="K10" s="32"/>
      <c r="L10" s="32"/>
      <c r="M10" s="32"/>
      <c r="N10" s="35"/>
      <c r="O10" s="32"/>
      <c r="P10" s="32"/>
      <c r="Q10" s="32"/>
    </row>
    <row r="11" spans="1:17" ht="27.75" customHeight="1" x14ac:dyDescent="0.2">
      <c r="A11" s="71"/>
      <c r="B11" s="36"/>
      <c r="C11" s="32"/>
      <c r="D11" s="32"/>
      <c r="E11" s="32"/>
      <c r="F11" s="32"/>
      <c r="G11" s="32"/>
      <c r="H11" s="32"/>
      <c r="I11" s="67"/>
      <c r="J11" s="32"/>
      <c r="K11" s="32"/>
      <c r="L11" s="32"/>
      <c r="M11" s="32"/>
      <c r="N11" s="36"/>
      <c r="O11" s="32"/>
      <c r="P11" s="32"/>
      <c r="Q11" s="32"/>
    </row>
    <row r="12" spans="1:17" ht="13.5" customHeight="1" x14ac:dyDescent="0.2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  <c r="O12" s="12">
        <v>15</v>
      </c>
      <c r="P12" s="12">
        <v>16</v>
      </c>
      <c r="Q12" s="12">
        <v>17</v>
      </c>
    </row>
    <row r="13" spans="1:17" ht="52.5" customHeight="1" x14ac:dyDescent="0.2">
      <c r="A13" s="19" t="s">
        <v>45</v>
      </c>
      <c r="B13" s="21">
        <f>87402707846.28</f>
        <v>87402707846.279999</v>
      </c>
      <c r="C13" s="21">
        <f>63672769828.42</f>
        <v>63672769828.419998</v>
      </c>
      <c r="D13" s="21">
        <f>3373335924.19</f>
        <v>3373335924.1900001</v>
      </c>
      <c r="E13" s="21">
        <f>641887988.81</f>
        <v>641887988.80999994</v>
      </c>
      <c r="F13" s="21">
        <f>653186125.8</f>
        <v>653186125.79999995</v>
      </c>
      <c r="G13" s="21">
        <f>2076131363.84</f>
        <v>2076131363.8399999</v>
      </c>
      <c r="H13" s="21">
        <f>2130445.74</f>
        <v>2130445.7400000002</v>
      </c>
      <c r="I13" s="21">
        <f>0</f>
        <v>0</v>
      </c>
      <c r="J13" s="21">
        <f>55709370942.65</f>
        <v>55709370942.650002</v>
      </c>
      <c r="K13" s="21">
        <f>2543982986.05</f>
        <v>2543982986.0500002</v>
      </c>
      <c r="L13" s="21">
        <f>1996954530.65</f>
        <v>1996954530.6500001</v>
      </c>
      <c r="M13" s="21">
        <f>30073285.67</f>
        <v>30073285.670000002</v>
      </c>
      <c r="N13" s="21">
        <f>19052159.21</f>
        <v>19052159.210000001</v>
      </c>
      <c r="O13" s="21">
        <f>23729938017.86</f>
        <v>23729938017.860001</v>
      </c>
      <c r="P13" s="21">
        <f>23444666113.94</f>
        <v>23444666113.939999</v>
      </c>
      <c r="Q13" s="21">
        <f>285271903.92</f>
        <v>285271903.92000002</v>
      </c>
    </row>
    <row r="14" spans="1:17" ht="41.25" customHeight="1" x14ac:dyDescent="0.2">
      <c r="A14" s="19" t="s">
        <v>75</v>
      </c>
      <c r="B14" s="21">
        <f>4592825458.58</f>
        <v>4592825458.5799999</v>
      </c>
      <c r="C14" s="21">
        <f>4592825458.58</f>
        <v>4592825458.5799999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4348087627.8</f>
        <v>4348087627.8000002</v>
      </c>
      <c r="K14" s="21">
        <f>244637000</f>
        <v>244637000</v>
      </c>
      <c r="L14" s="21">
        <f>100830.78</f>
        <v>100830.78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2.5" x14ac:dyDescent="0.2">
      <c r="A15" s="16" t="s">
        <v>46</v>
      </c>
      <c r="B15" s="22">
        <f>4000000</f>
        <v>4000000</v>
      </c>
      <c r="C15" s="22">
        <f>4000000</f>
        <v>4000000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4000000</f>
        <v>4000000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3.25" customHeight="1" x14ac:dyDescent="0.2">
      <c r="A16" s="16" t="s">
        <v>47</v>
      </c>
      <c r="B16" s="22">
        <f>4588825458.58</f>
        <v>4588825458.5799999</v>
      </c>
      <c r="C16" s="22">
        <f>4588825458.58</f>
        <v>4588825458.5799999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4344087627.8</f>
        <v>4344087627.8000002</v>
      </c>
      <c r="K16" s="22">
        <f>244637000</f>
        <v>244637000</v>
      </c>
      <c r="L16" s="22">
        <f>100830.78</f>
        <v>100830.78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3" customHeight="1" x14ac:dyDescent="0.2">
      <c r="A17" s="19" t="s">
        <v>76</v>
      </c>
      <c r="B17" s="21">
        <f>82747051137.34</f>
        <v>82747051137.339996</v>
      </c>
      <c r="C17" s="21">
        <f>59017114011.61</f>
        <v>59017114011.610001</v>
      </c>
      <c r="D17" s="21">
        <f>3353471584.95</f>
        <v>3353471584.9499998</v>
      </c>
      <c r="E17" s="21">
        <f>641683825.8</f>
        <v>641683825.79999995</v>
      </c>
      <c r="F17" s="21">
        <f>653088030.79</f>
        <v>653088030.78999996</v>
      </c>
      <c r="G17" s="21">
        <f>2058699728.36</f>
        <v>2058699728.3599999</v>
      </c>
      <c r="H17" s="21">
        <f>0</f>
        <v>0</v>
      </c>
      <c r="I17" s="21">
        <f>0</f>
        <v>0</v>
      </c>
      <c r="J17" s="21">
        <f>51360647483.53</f>
        <v>51360647483.529999</v>
      </c>
      <c r="K17" s="21">
        <f>2299277417.9</f>
        <v>2299277417.9000001</v>
      </c>
      <c r="L17" s="21">
        <f>1977670798.93</f>
        <v>1977670798.9300001</v>
      </c>
      <c r="M17" s="21">
        <f>12198686.65</f>
        <v>12198686.65</v>
      </c>
      <c r="N17" s="21">
        <f>13848039.65</f>
        <v>13848039.65</v>
      </c>
      <c r="O17" s="21">
        <f>23729937125.73</f>
        <v>23729937125.73</v>
      </c>
      <c r="P17" s="21">
        <f>23444666113.94</f>
        <v>23444666113.939999</v>
      </c>
      <c r="Q17" s="21">
        <f>285271011.79</f>
        <v>285271011.79000002</v>
      </c>
    </row>
    <row r="18" spans="1:17" ht="22.5" x14ac:dyDescent="0.2">
      <c r="A18" s="16" t="s">
        <v>48</v>
      </c>
      <c r="B18" s="22">
        <f>347021394.3</f>
        <v>347021394.30000001</v>
      </c>
      <c r="C18" s="22">
        <f>347021394.3</f>
        <v>347021394.30000001</v>
      </c>
      <c r="D18" s="22">
        <f>30695259.83</f>
        <v>30695259.829999998</v>
      </c>
      <c r="E18" s="22">
        <f>15798937.83</f>
        <v>15798937.83</v>
      </c>
      <c r="F18" s="22">
        <f>1362092</f>
        <v>1362092</v>
      </c>
      <c r="G18" s="22">
        <f>13534230</f>
        <v>13534230</v>
      </c>
      <c r="H18" s="22">
        <f>0</f>
        <v>0</v>
      </c>
      <c r="I18" s="22">
        <f>0</f>
        <v>0</v>
      </c>
      <c r="J18" s="22">
        <f>314641009.92</f>
        <v>314641009.92000002</v>
      </c>
      <c r="K18" s="22">
        <f>250605.45</f>
        <v>250605.45</v>
      </c>
      <c r="L18" s="22">
        <f>810401.45</f>
        <v>810401.45</v>
      </c>
      <c r="M18" s="22">
        <f>450000</f>
        <v>450000</v>
      </c>
      <c r="N18" s="22">
        <f>174117.65</f>
        <v>174117.65</v>
      </c>
      <c r="O18" s="22">
        <f>0</f>
        <v>0</v>
      </c>
      <c r="P18" s="22">
        <f>0</f>
        <v>0</v>
      </c>
      <c r="Q18" s="22">
        <f>0</f>
        <v>0</v>
      </c>
    </row>
    <row r="19" spans="1:17" ht="24" customHeight="1" x14ac:dyDescent="0.2">
      <c r="A19" s="16" t="s">
        <v>49</v>
      </c>
      <c r="B19" s="22">
        <f>82400029743.04</f>
        <v>82400029743.039993</v>
      </c>
      <c r="C19" s="22">
        <f>58670092617.31</f>
        <v>58670092617.309998</v>
      </c>
      <c r="D19" s="22">
        <f>3322776325.12</f>
        <v>3322776325.1199999</v>
      </c>
      <c r="E19" s="22">
        <f>625884887.97</f>
        <v>625884887.97000003</v>
      </c>
      <c r="F19" s="22">
        <f>651725938.79</f>
        <v>651725938.78999996</v>
      </c>
      <c r="G19" s="22">
        <f>2045165498.36</f>
        <v>2045165498.3599999</v>
      </c>
      <c r="H19" s="22">
        <f>0</f>
        <v>0</v>
      </c>
      <c r="I19" s="22">
        <f>0</f>
        <v>0</v>
      </c>
      <c r="J19" s="22">
        <f>51046006473.61</f>
        <v>51046006473.610001</v>
      </c>
      <c r="K19" s="22">
        <f>2299026812.45</f>
        <v>2299026812.4499998</v>
      </c>
      <c r="L19" s="22">
        <f>1976860397.48</f>
        <v>1976860397.48</v>
      </c>
      <c r="M19" s="22">
        <f>11748686.65</f>
        <v>11748686.65</v>
      </c>
      <c r="N19" s="22">
        <f>13673922</f>
        <v>13673922</v>
      </c>
      <c r="O19" s="22">
        <f>23729937125.73</f>
        <v>23729937125.73</v>
      </c>
      <c r="P19" s="22">
        <f>23444666113.94</f>
        <v>23444666113.939999</v>
      </c>
      <c r="Q19" s="22">
        <f>285271011.79</f>
        <v>285271011.79000002</v>
      </c>
    </row>
    <row r="20" spans="1:17" ht="24.75" customHeight="1" x14ac:dyDescent="0.2">
      <c r="A20" s="26" t="s">
        <v>50</v>
      </c>
      <c r="B20" s="27">
        <f>0</f>
        <v>0</v>
      </c>
      <c r="C20" s="27">
        <f>0</f>
        <v>0</v>
      </c>
      <c r="D20" s="27">
        <f>0</f>
        <v>0</v>
      </c>
      <c r="E20" s="27">
        <f>0</f>
        <v>0</v>
      </c>
      <c r="F20" s="27">
        <f>0</f>
        <v>0</v>
      </c>
      <c r="G20" s="27">
        <f>0</f>
        <v>0</v>
      </c>
      <c r="H20" s="27">
        <f>0</f>
        <v>0</v>
      </c>
      <c r="I20" s="27">
        <f>0</f>
        <v>0</v>
      </c>
      <c r="J20" s="27">
        <f>0</f>
        <v>0</v>
      </c>
      <c r="K20" s="27">
        <f>0</f>
        <v>0</v>
      </c>
      <c r="L20" s="27">
        <f>0</f>
        <v>0</v>
      </c>
      <c r="M20" s="27">
        <f>0</f>
        <v>0</v>
      </c>
      <c r="N20" s="27">
        <f>0</f>
        <v>0</v>
      </c>
      <c r="O20" s="27">
        <f>0</f>
        <v>0</v>
      </c>
      <c r="P20" s="27">
        <f>0</f>
        <v>0</v>
      </c>
      <c r="Q20" s="27">
        <f>0</f>
        <v>0</v>
      </c>
    </row>
    <row r="21" spans="1:17" ht="38.25" customHeight="1" x14ac:dyDescent="0.2">
      <c r="A21" s="20" t="s">
        <v>77</v>
      </c>
      <c r="B21" s="21">
        <f>62831250.36</f>
        <v>62831250.359999999</v>
      </c>
      <c r="C21" s="21">
        <f>62830358.23</f>
        <v>62830358.229999997</v>
      </c>
      <c r="D21" s="21">
        <f>19864339.24</f>
        <v>19864339.239999998</v>
      </c>
      <c r="E21" s="21">
        <f>204163.01</f>
        <v>204163.01</v>
      </c>
      <c r="F21" s="21">
        <f>98095.01</f>
        <v>98095.01</v>
      </c>
      <c r="G21" s="21">
        <f>17431635.48</f>
        <v>17431635.48</v>
      </c>
      <c r="H21" s="21">
        <f>2130445.74</f>
        <v>2130445.7400000002</v>
      </c>
      <c r="I21" s="21">
        <f>0</f>
        <v>0</v>
      </c>
      <c r="J21" s="21">
        <f>635831.32</f>
        <v>635831.31999999995</v>
      </c>
      <c r="K21" s="21">
        <f>68568.15</f>
        <v>68568.149999999994</v>
      </c>
      <c r="L21" s="21">
        <f>19182900.94</f>
        <v>19182900.940000001</v>
      </c>
      <c r="M21" s="21">
        <f>17874599.02</f>
        <v>17874599.02</v>
      </c>
      <c r="N21" s="21">
        <f>5204119.56</f>
        <v>5204119.5599999996</v>
      </c>
      <c r="O21" s="21">
        <f>892.13</f>
        <v>892.13</v>
      </c>
      <c r="P21" s="21">
        <f>0</f>
        <v>0</v>
      </c>
      <c r="Q21" s="21">
        <f>892.13</f>
        <v>892.13</v>
      </c>
    </row>
    <row r="22" spans="1:17" ht="33" customHeight="1" x14ac:dyDescent="0.2">
      <c r="A22" s="17" t="s">
        <v>51</v>
      </c>
      <c r="B22" s="22">
        <f>37021048.81</f>
        <v>37021048.810000002</v>
      </c>
      <c r="C22" s="22">
        <f>37021048.81</f>
        <v>37021048.810000002</v>
      </c>
      <c r="D22" s="22">
        <f>4774127.09</f>
        <v>4774127.09</v>
      </c>
      <c r="E22" s="22">
        <f>155.48</f>
        <v>155.47999999999999</v>
      </c>
      <c r="F22" s="22">
        <f>6593.8</f>
        <v>6593.8</v>
      </c>
      <c r="G22" s="22">
        <f>4767377.81</f>
        <v>4767377.8099999996</v>
      </c>
      <c r="H22" s="22">
        <f>0</f>
        <v>0</v>
      </c>
      <c r="I22" s="22">
        <f>0</f>
        <v>0</v>
      </c>
      <c r="J22" s="22">
        <f>1072.13</f>
        <v>1072.1300000000001</v>
      </c>
      <c r="K22" s="22">
        <f>54433.84</f>
        <v>54433.84</v>
      </c>
      <c r="L22" s="22">
        <f>14344598.14</f>
        <v>14344598.140000001</v>
      </c>
      <c r="M22" s="22">
        <f>13078874.57</f>
        <v>13078874.57</v>
      </c>
      <c r="N22" s="22">
        <f>4767943.04</f>
        <v>4767943.04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25810201.55</f>
        <v>25810201.550000001</v>
      </c>
      <c r="C23" s="22">
        <f>25809309.42</f>
        <v>25809309.420000002</v>
      </c>
      <c r="D23" s="22">
        <f>15090212.15</f>
        <v>15090212.15</v>
      </c>
      <c r="E23" s="22">
        <f>204007.53</f>
        <v>204007.53</v>
      </c>
      <c r="F23" s="22">
        <f>91501.21</f>
        <v>91501.21</v>
      </c>
      <c r="G23" s="22">
        <f>12664257.67</f>
        <v>12664257.67</v>
      </c>
      <c r="H23" s="22">
        <f>2130445.74</f>
        <v>2130445.7400000002</v>
      </c>
      <c r="I23" s="22">
        <f>0</f>
        <v>0</v>
      </c>
      <c r="J23" s="22">
        <f>634759.19</f>
        <v>634759.18999999994</v>
      </c>
      <c r="K23" s="22">
        <f>14134.31</f>
        <v>14134.31</v>
      </c>
      <c r="L23" s="22">
        <f>4838302.8</f>
        <v>4838302.8</v>
      </c>
      <c r="M23" s="22">
        <f>4795724.45</f>
        <v>4795724.45</v>
      </c>
      <c r="N23" s="22">
        <f>436176.52</f>
        <v>436176.52</v>
      </c>
      <c r="O23" s="22">
        <f>892.13</f>
        <v>892.13</v>
      </c>
      <c r="P23" s="22">
        <f>0</f>
        <v>0</v>
      </c>
      <c r="Q23" s="22">
        <f>892.13</f>
        <v>892.13</v>
      </c>
    </row>
    <row r="24" spans="1:17" ht="19.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9.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9.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9.5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9.5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9.5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.75" customHeight="1" x14ac:dyDescent="0.2">
      <c r="A30" s="33" t="str">
        <f>CONCATENATE("Informacja z wykonania budżetów jednostek samorządu terytorialnego za ",$C$94," ",$B$95," roku")</f>
        <v>Informacja z wykonania budżetów jednostek samorządu terytorialnego za II Kwartały 2022 roku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7" ht="13.5" customHeight="1" x14ac:dyDescent="0.2">
      <c r="A32" s="43" t="s">
        <v>11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4" spans="1:17" ht="13.5" customHeight="1" x14ac:dyDescent="0.2">
      <c r="A34" s="69" t="s">
        <v>0</v>
      </c>
      <c r="B34" s="34" t="s">
        <v>12</v>
      </c>
      <c r="C34" s="72" t="s">
        <v>14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72" t="s">
        <v>24</v>
      </c>
      <c r="P34" s="73"/>
      <c r="Q34" s="74"/>
    </row>
    <row r="35" spans="1:17" ht="13.5" customHeight="1" x14ac:dyDescent="0.2">
      <c r="A35" s="70"/>
      <c r="B35" s="35"/>
      <c r="C35" s="35" t="s">
        <v>13</v>
      </c>
      <c r="D35" s="32" t="s">
        <v>15</v>
      </c>
      <c r="E35" s="32" t="s">
        <v>25</v>
      </c>
      <c r="F35" s="32" t="s">
        <v>26</v>
      </c>
      <c r="G35" s="32" t="s">
        <v>70</v>
      </c>
      <c r="H35" s="32" t="s">
        <v>28</v>
      </c>
      <c r="I35" s="32" t="s">
        <v>1</v>
      </c>
      <c r="J35" s="32" t="s">
        <v>16</v>
      </c>
      <c r="K35" s="32" t="s">
        <v>17</v>
      </c>
      <c r="L35" s="32" t="s">
        <v>18</v>
      </c>
      <c r="M35" s="32" t="s">
        <v>19</v>
      </c>
      <c r="N35" s="37" t="s">
        <v>20</v>
      </c>
      <c r="O35" s="32" t="s">
        <v>21</v>
      </c>
      <c r="P35" s="32" t="s">
        <v>22</v>
      </c>
      <c r="Q35" s="34" t="s">
        <v>23</v>
      </c>
    </row>
    <row r="36" spans="1:17" ht="13.5" customHeight="1" x14ac:dyDescent="0.2">
      <c r="A36" s="70"/>
      <c r="B36" s="35"/>
      <c r="C36" s="35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7"/>
      <c r="O36" s="32"/>
      <c r="P36" s="32"/>
      <c r="Q36" s="35"/>
    </row>
    <row r="37" spans="1:17" ht="11.25" customHeight="1" x14ac:dyDescent="0.2">
      <c r="A37" s="70"/>
      <c r="B37" s="35"/>
      <c r="C37" s="35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7"/>
      <c r="O37" s="32"/>
      <c r="P37" s="32"/>
      <c r="Q37" s="35"/>
    </row>
    <row r="38" spans="1:17" ht="32.25" customHeight="1" x14ac:dyDescent="0.2">
      <c r="A38" s="71"/>
      <c r="B38" s="36"/>
      <c r="C38" s="36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7"/>
      <c r="O38" s="32"/>
      <c r="P38" s="32"/>
      <c r="Q38" s="36"/>
    </row>
    <row r="39" spans="1:17" ht="13.5" customHeight="1" x14ac:dyDescent="0.2">
      <c r="A39" s="12">
        <v>1</v>
      </c>
      <c r="B39" s="12">
        <v>2</v>
      </c>
      <c r="C39" s="12">
        <v>3</v>
      </c>
      <c r="D39" s="12">
        <v>4</v>
      </c>
      <c r="E39" s="12">
        <v>5</v>
      </c>
      <c r="F39" s="12">
        <v>6</v>
      </c>
      <c r="G39" s="12">
        <v>7</v>
      </c>
      <c r="H39" s="12">
        <v>8</v>
      </c>
      <c r="I39" s="12">
        <v>9</v>
      </c>
      <c r="J39" s="12">
        <v>10</v>
      </c>
      <c r="K39" s="12">
        <v>11</v>
      </c>
      <c r="L39" s="12">
        <v>12</v>
      </c>
      <c r="M39" s="12">
        <v>13</v>
      </c>
      <c r="N39" s="12">
        <v>14</v>
      </c>
      <c r="O39" s="12">
        <v>15</v>
      </c>
      <c r="P39" s="12">
        <v>16</v>
      </c>
      <c r="Q39" s="12">
        <v>17</v>
      </c>
    </row>
    <row r="40" spans="1:17" ht="35.25" customHeight="1" x14ac:dyDescent="0.2">
      <c r="A40" s="28" t="s">
        <v>40</v>
      </c>
      <c r="B40" s="23">
        <f>5652801.78</f>
        <v>5652801.7800000003</v>
      </c>
      <c r="C40" s="23">
        <f>5652801.78</f>
        <v>5652801.7800000003</v>
      </c>
      <c r="D40" s="23">
        <f>3751429.6</f>
        <v>3751429.6</v>
      </c>
      <c r="E40" s="23">
        <f>51429.6</f>
        <v>51429.599999999999</v>
      </c>
      <c r="F40" s="23">
        <f>0</f>
        <v>0</v>
      </c>
      <c r="G40" s="23">
        <f>3700000</f>
        <v>3700000</v>
      </c>
      <c r="H40" s="23">
        <f>0</f>
        <v>0</v>
      </c>
      <c r="I40" s="23">
        <f>0</f>
        <v>0</v>
      </c>
      <c r="J40" s="23">
        <f>183554.8</f>
        <v>183554.8</v>
      </c>
      <c r="K40" s="23">
        <f>24965</f>
        <v>24965</v>
      </c>
      <c r="L40" s="23">
        <f>856574.9</f>
        <v>856574.9</v>
      </c>
      <c r="M40" s="23">
        <f>580912.48</f>
        <v>580912.48</v>
      </c>
      <c r="N40" s="23">
        <f>255365</f>
        <v>255365</v>
      </c>
      <c r="O40" s="23">
        <f>0</f>
        <v>0</v>
      </c>
      <c r="P40" s="23">
        <f>0</f>
        <v>0</v>
      </c>
      <c r="Q40" s="23">
        <f>0</f>
        <v>0</v>
      </c>
    </row>
    <row r="41" spans="1:17" ht="28.5" customHeight="1" x14ac:dyDescent="0.2">
      <c r="A41" s="18" t="s">
        <v>29</v>
      </c>
      <c r="B41" s="24">
        <f>729404.98</f>
        <v>729404.98</v>
      </c>
      <c r="C41" s="24">
        <f>729404.98</f>
        <v>729404.98</v>
      </c>
      <c r="D41" s="24">
        <f>1429.6</f>
        <v>1429.6</v>
      </c>
      <c r="E41" s="24">
        <f>1429.6</f>
        <v>1429.6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6000</f>
        <v>6000</v>
      </c>
      <c r="K41" s="24">
        <f>0</f>
        <v>0</v>
      </c>
      <c r="L41" s="24">
        <f>592125</f>
        <v>592125</v>
      </c>
      <c r="M41" s="24">
        <f>3662.38</f>
        <v>3662.38</v>
      </c>
      <c r="N41" s="24">
        <f>126188</f>
        <v>126188</v>
      </c>
      <c r="O41" s="24">
        <f>0</f>
        <v>0</v>
      </c>
      <c r="P41" s="24">
        <f>0</f>
        <v>0</v>
      </c>
      <c r="Q41" s="24">
        <f>0</f>
        <v>0</v>
      </c>
    </row>
    <row r="42" spans="1:17" ht="28.5" customHeight="1" x14ac:dyDescent="0.2">
      <c r="A42" s="18" t="s">
        <v>30</v>
      </c>
      <c r="B42" s="24">
        <f>4923396.8</f>
        <v>4923396.8</v>
      </c>
      <c r="C42" s="24">
        <f>4923396.8</f>
        <v>4923396.8</v>
      </c>
      <c r="D42" s="24">
        <f>3750000</f>
        <v>3750000</v>
      </c>
      <c r="E42" s="24">
        <f>50000</f>
        <v>50000</v>
      </c>
      <c r="F42" s="24">
        <f>0</f>
        <v>0</v>
      </c>
      <c r="G42" s="24">
        <f>3700000</f>
        <v>3700000</v>
      </c>
      <c r="H42" s="24">
        <f>0</f>
        <v>0</v>
      </c>
      <c r="I42" s="24">
        <f>0</f>
        <v>0</v>
      </c>
      <c r="J42" s="24">
        <f>177554.8</f>
        <v>177554.8</v>
      </c>
      <c r="K42" s="24">
        <f>24965</f>
        <v>24965</v>
      </c>
      <c r="L42" s="24">
        <f>264449.9</f>
        <v>264449.90000000002</v>
      </c>
      <c r="M42" s="24">
        <f>577250.1</f>
        <v>577250.1</v>
      </c>
      <c r="N42" s="24">
        <f>129177</f>
        <v>129177</v>
      </c>
      <c r="O42" s="24">
        <f>0</f>
        <v>0</v>
      </c>
      <c r="P42" s="24">
        <f>0</f>
        <v>0</v>
      </c>
      <c r="Q42" s="24">
        <f>0</f>
        <v>0</v>
      </c>
    </row>
    <row r="43" spans="1:17" ht="28.5" customHeight="1" x14ac:dyDescent="0.2">
      <c r="A43" s="28" t="s">
        <v>41</v>
      </c>
      <c r="B43" s="23">
        <f>1322820318.54</f>
        <v>1322820318.54</v>
      </c>
      <c r="C43" s="23">
        <f>1322638441.88</f>
        <v>1322638441.8800001</v>
      </c>
      <c r="D43" s="23">
        <f>628097478.62</f>
        <v>628097478.62</v>
      </c>
      <c r="E43" s="23">
        <f>244995.89</f>
        <v>244995.89</v>
      </c>
      <c r="F43" s="23">
        <f>3095449.42</f>
        <v>3095449.42</v>
      </c>
      <c r="G43" s="23">
        <f>609657033.31</f>
        <v>609657033.30999994</v>
      </c>
      <c r="H43" s="23">
        <f>15100000</f>
        <v>15100000</v>
      </c>
      <c r="I43" s="23">
        <f>0</f>
        <v>0</v>
      </c>
      <c r="J43" s="23">
        <f>47205.43</f>
        <v>47205.43</v>
      </c>
      <c r="K43" s="23">
        <f>155158.5</f>
        <v>155158.5</v>
      </c>
      <c r="L43" s="23">
        <f>387919297.97</f>
        <v>387919297.97000003</v>
      </c>
      <c r="M43" s="23">
        <f>269020928.33</f>
        <v>269020928.32999998</v>
      </c>
      <c r="N43" s="23">
        <f>37398373.03</f>
        <v>37398373.030000001</v>
      </c>
      <c r="O43" s="23">
        <f>181876.66</f>
        <v>181876.66</v>
      </c>
      <c r="P43" s="23">
        <f>3883.66</f>
        <v>3883.66</v>
      </c>
      <c r="Q43" s="23">
        <f>177993</f>
        <v>177993</v>
      </c>
    </row>
    <row r="44" spans="1:17" ht="32.25" customHeight="1" x14ac:dyDescent="0.2">
      <c r="A44" s="18" t="s">
        <v>31</v>
      </c>
      <c r="B44" s="24">
        <f>159962703.86</f>
        <v>159962703.86000001</v>
      </c>
      <c r="C44" s="24">
        <f>159849707.36</f>
        <v>159849707.36000001</v>
      </c>
      <c r="D44" s="24">
        <f>83796104.98</f>
        <v>83796104.980000004</v>
      </c>
      <c r="E44" s="24">
        <f>74304.03</f>
        <v>74304.03</v>
      </c>
      <c r="F44" s="24">
        <f>3058762</f>
        <v>3058762</v>
      </c>
      <c r="G44" s="24">
        <f>65563038.95</f>
        <v>65563038.950000003</v>
      </c>
      <c r="H44" s="24">
        <f>15100000</f>
        <v>15100000</v>
      </c>
      <c r="I44" s="24">
        <f>0</f>
        <v>0</v>
      </c>
      <c r="J44" s="24">
        <f>0</f>
        <v>0</v>
      </c>
      <c r="K44" s="24">
        <f>154560</f>
        <v>154560</v>
      </c>
      <c r="L44" s="24">
        <f>38736088.7</f>
        <v>38736088.700000003</v>
      </c>
      <c r="M44" s="24">
        <f>24779952.16</f>
        <v>24779952.16</v>
      </c>
      <c r="N44" s="24">
        <f>12383001.52</f>
        <v>12383001.52</v>
      </c>
      <c r="O44" s="24">
        <f>112996.5</f>
        <v>112996.5</v>
      </c>
      <c r="P44" s="24">
        <f>0</f>
        <v>0</v>
      </c>
      <c r="Q44" s="24">
        <f>112996.5</f>
        <v>112996.5</v>
      </c>
    </row>
    <row r="45" spans="1:17" ht="32.25" customHeight="1" x14ac:dyDescent="0.2">
      <c r="A45" s="18" t="s">
        <v>32</v>
      </c>
      <c r="B45" s="24">
        <f>1162857614.68</f>
        <v>1162857614.6800001</v>
      </c>
      <c r="C45" s="24">
        <f>1162788734.52</f>
        <v>1162788734.52</v>
      </c>
      <c r="D45" s="24">
        <f>544301373.64</f>
        <v>544301373.63999999</v>
      </c>
      <c r="E45" s="24">
        <f>170691.86</f>
        <v>170691.86</v>
      </c>
      <c r="F45" s="24">
        <f>36687.42</f>
        <v>36687.42</v>
      </c>
      <c r="G45" s="24">
        <f>544093994.36</f>
        <v>544093994.36000001</v>
      </c>
      <c r="H45" s="24">
        <f>0</f>
        <v>0</v>
      </c>
      <c r="I45" s="24">
        <f>0</f>
        <v>0</v>
      </c>
      <c r="J45" s="24">
        <f>47205.43</f>
        <v>47205.43</v>
      </c>
      <c r="K45" s="24">
        <f>598.5</f>
        <v>598.5</v>
      </c>
      <c r="L45" s="24">
        <f>349183209.27</f>
        <v>349183209.26999998</v>
      </c>
      <c r="M45" s="24">
        <f>244240976.17</f>
        <v>244240976.16999999</v>
      </c>
      <c r="N45" s="24">
        <f>25015371.51</f>
        <v>25015371.510000002</v>
      </c>
      <c r="O45" s="24">
        <f>68880.16</f>
        <v>68880.160000000003</v>
      </c>
      <c r="P45" s="24">
        <f>3883.66</f>
        <v>3883.66</v>
      </c>
      <c r="Q45" s="24">
        <f>64996.5</f>
        <v>64996.5</v>
      </c>
    </row>
    <row r="46" spans="1:17" ht="35.25" customHeight="1" x14ac:dyDescent="0.2">
      <c r="A46" s="28" t="s">
        <v>42</v>
      </c>
      <c r="B46" s="23">
        <f>65175125560.56</f>
        <v>65175125560.559998</v>
      </c>
      <c r="C46" s="23">
        <f>65174942508.99</f>
        <v>65174942508.989998</v>
      </c>
      <c r="D46" s="23">
        <f>39625361.01</f>
        <v>39625361.009999998</v>
      </c>
      <c r="E46" s="23">
        <f>9934783.16</f>
        <v>9934783.1600000001</v>
      </c>
      <c r="F46" s="23">
        <f>37344.39</f>
        <v>37344.39</v>
      </c>
      <c r="G46" s="23">
        <f>29653233.46</f>
        <v>29653233.460000001</v>
      </c>
      <c r="H46" s="23">
        <f>0</f>
        <v>0</v>
      </c>
      <c r="I46" s="23">
        <f>17008302.3</f>
        <v>17008302.300000001</v>
      </c>
      <c r="J46" s="23">
        <f>65102480816.36</f>
        <v>65102480816.360001</v>
      </c>
      <c r="K46" s="23">
        <f>5208152.1</f>
        <v>5208152.0999999996</v>
      </c>
      <c r="L46" s="23">
        <f>10214573.6</f>
        <v>10214573.6</v>
      </c>
      <c r="M46" s="23">
        <f>154005.24</f>
        <v>154005.24</v>
      </c>
      <c r="N46" s="23">
        <f>251298.38</f>
        <v>251298.38</v>
      </c>
      <c r="O46" s="23">
        <f>183051.57</f>
        <v>183051.57</v>
      </c>
      <c r="P46" s="23">
        <f>183051.57</f>
        <v>183051.57</v>
      </c>
      <c r="Q46" s="23">
        <f>0</f>
        <v>0</v>
      </c>
    </row>
    <row r="47" spans="1:17" ht="28.5" customHeight="1" x14ac:dyDescent="0.2">
      <c r="A47" s="18" t="s">
        <v>33</v>
      </c>
      <c r="B47" s="24">
        <f>21255794.77</f>
        <v>21255794.77</v>
      </c>
      <c r="C47" s="24">
        <f>21255794.77</f>
        <v>21255794.77</v>
      </c>
      <c r="D47" s="24">
        <f>20995522.72</f>
        <v>20995522.719999999</v>
      </c>
      <c r="E47" s="24">
        <f>0</f>
        <v>0</v>
      </c>
      <c r="F47" s="24">
        <f>0</f>
        <v>0</v>
      </c>
      <c r="G47" s="24">
        <f>20995522.72</f>
        <v>20995522.719999999</v>
      </c>
      <c r="H47" s="24">
        <f>0</f>
        <v>0</v>
      </c>
      <c r="I47" s="24">
        <f>0</f>
        <v>0</v>
      </c>
      <c r="J47" s="24">
        <f>260272.05</f>
        <v>260272.05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8.5" customHeight="1" x14ac:dyDescent="0.2">
      <c r="A48" s="18" t="s">
        <v>34</v>
      </c>
      <c r="B48" s="24">
        <f>46838184078.91</f>
        <v>46838184078.910004</v>
      </c>
      <c r="C48" s="24">
        <f>46838184078.91</f>
        <v>46838184078.910004</v>
      </c>
      <c r="D48" s="24">
        <f>18174176.17</f>
        <v>18174176.170000002</v>
      </c>
      <c r="E48" s="24">
        <f>9676423.02</f>
        <v>9676423.0199999996</v>
      </c>
      <c r="F48" s="24">
        <f>7558.81</f>
        <v>7558.81</v>
      </c>
      <c r="G48" s="24">
        <f>8490194.34</f>
        <v>8490194.3399999999</v>
      </c>
      <c r="H48" s="24">
        <f>0</f>
        <v>0</v>
      </c>
      <c r="I48" s="24">
        <f>16955886.3</f>
        <v>16955886.300000001</v>
      </c>
      <c r="J48" s="24">
        <f>46794312433.16</f>
        <v>46794312433.160004</v>
      </c>
      <c r="K48" s="24">
        <f>201135.72</f>
        <v>201135.72</v>
      </c>
      <c r="L48" s="24">
        <f>8432494.95</f>
        <v>8432494.9499999993</v>
      </c>
      <c r="M48" s="24">
        <f>13669.49</f>
        <v>13669.49</v>
      </c>
      <c r="N48" s="24">
        <f>94283.12</f>
        <v>94283.12</v>
      </c>
      <c r="O48" s="24">
        <f>0</f>
        <v>0</v>
      </c>
      <c r="P48" s="24">
        <f>0</f>
        <v>0</v>
      </c>
      <c r="Q48" s="24">
        <f>0</f>
        <v>0</v>
      </c>
    </row>
    <row r="49" spans="1:17" ht="28.5" customHeight="1" x14ac:dyDescent="0.2">
      <c r="A49" s="18" t="s">
        <v>35</v>
      </c>
      <c r="B49" s="24">
        <f>18315685686.88</f>
        <v>18315685686.880001</v>
      </c>
      <c r="C49" s="24">
        <f>18315502635.31</f>
        <v>18315502635.310001</v>
      </c>
      <c r="D49" s="24">
        <f>455662.12</f>
        <v>455662.12</v>
      </c>
      <c r="E49" s="24">
        <f>258360.14</f>
        <v>258360.14</v>
      </c>
      <c r="F49" s="24">
        <f>29785.58</f>
        <v>29785.58</v>
      </c>
      <c r="G49" s="24">
        <f>167516.4</f>
        <v>167516.4</v>
      </c>
      <c r="H49" s="24">
        <f>0</f>
        <v>0</v>
      </c>
      <c r="I49" s="24">
        <f>52416</f>
        <v>52416</v>
      </c>
      <c r="J49" s="24">
        <f>18307908111.15</f>
        <v>18307908111.150002</v>
      </c>
      <c r="K49" s="24">
        <f>5007016.38</f>
        <v>5007016.38</v>
      </c>
      <c r="L49" s="24">
        <f>1782078.65</f>
        <v>1782078.65</v>
      </c>
      <c r="M49" s="24">
        <f>140335.75</f>
        <v>140335.75</v>
      </c>
      <c r="N49" s="24">
        <f>157015.26</f>
        <v>157015.26</v>
      </c>
      <c r="O49" s="24">
        <f>183051.57</f>
        <v>183051.57</v>
      </c>
      <c r="P49" s="24">
        <f>183051.57</f>
        <v>183051.57</v>
      </c>
      <c r="Q49" s="24">
        <f>0</f>
        <v>0</v>
      </c>
    </row>
    <row r="50" spans="1:17" ht="35.25" customHeight="1" x14ac:dyDescent="0.2">
      <c r="A50" s="28" t="s">
        <v>43</v>
      </c>
      <c r="B50" s="23">
        <f>24327257319.98</f>
        <v>24327257319.98</v>
      </c>
      <c r="C50" s="23">
        <f>24273727888.48</f>
        <v>24273727888.48</v>
      </c>
      <c r="D50" s="23">
        <f>511561335.37</f>
        <v>511561335.37</v>
      </c>
      <c r="E50" s="23">
        <f>134024235.64</f>
        <v>134024235.64</v>
      </c>
      <c r="F50" s="23">
        <f>12526136.48</f>
        <v>12526136.48</v>
      </c>
      <c r="G50" s="23">
        <f>363413853.34</f>
        <v>363413853.33999997</v>
      </c>
      <c r="H50" s="23">
        <f>1597109.91</f>
        <v>1597109.91</v>
      </c>
      <c r="I50" s="23">
        <f>658.67</f>
        <v>658.67</v>
      </c>
      <c r="J50" s="23">
        <f>11156756.4</f>
        <v>11156756.4</v>
      </c>
      <c r="K50" s="23">
        <f>42018704.35</f>
        <v>42018704.350000001</v>
      </c>
      <c r="L50" s="23">
        <f>6474218590.83</f>
        <v>6474218590.8299999</v>
      </c>
      <c r="M50" s="23">
        <f>17067418830.44</f>
        <v>17067418830.440001</v>
      </c>
      <c r="N50" s="23">
        <f>167353012.42</f>
        <v>167353012.41999999</v>
      </c>
      <c r="O50" s="23">
        <f>53529431.5</f>
        <v>53529431.5</v>
      </c>
      <c r="P50" s="23">
        <f>33123686.23</f>
        <v>33123686.23</v>
      </c>
      <c r="Q50" s="23">
        <f>20405745.27</f>
        <v>20405745.27</v>
      </c>
    </row>
    <row r="51" spans="1:17" ht="28.5" customHeight="1" x14ac:dyDescent="0.2">
      <c r="A51" s="18" t="s">
        <v>36</v>
      </c>
      <c r="B51" s="24">
        <f>6454846766.34</f>
        <v>6454846766.3400002</v>
      </c>
      <c r="C51" s="24">
        <f>6452078580.73</f>
        <v>6452078580.7299995</v>
      </c>
      <c r="D51" s="24">
        <f>83712004.68</f>
        <v>83712004.680000007</v>
      </c>
      <c r="E51" s="24">
        <f>3373115.23</f>
        <v>3373115.23</v>
      </c>
      <c r="F51" s="24">
        <f>3276021.48</f>
        <v>3276021.48</v>
      </c>
      <c r="G51" s="24">
        <f>76428762.86</f>
        <v>76428762.859999999</v>
      </c>
      <c r="H51" s="24">
        <f>634105.11</f>
        <v>634105.11</v>
      </c>
      <c r="I51" s="24">
        <f>0</f>
        <v>0</v>
      </c>
      <c r="J51" s="24">
        <f>496074.83</f>
        <v>496074.83</v>
      </c>
      <c r="K51" s="24">
        <f>1828038.47</f>
        <v>1828038.47</v>
      </c>
      <c r="L51" s="24">
        <f>1022989807</f>
        <v>1022989807</v>
      </c>
      <c r="M51" s="24">
        <f>5275754241.7</f>
        <v>5275754241.6999998</v>
      </c>
      <c r="N51" s="24">
        <f>67298414.05</f>
        <v>67298414.049999997</v>
      </c>
      <c r="O51" s="24">
        <f>2768185.61</f>
        <v>2768185.61</v>
      </c>
      <c r="P51" s="24">
        <f>1032917.92</f>
        <v>1032917.92</v>
      </c>
      <c r="Q51" s="24">
        <f>1735267.69</f>
        <v>1735267.69</v>
      </c>
    </row>
    <row r="52" spans="1:17" ht="28.5" customHeight="1" x14ac:dyDescent="0.2">
      <c r="A52" s="18" t="s">
        <v>37</v>
      </c>
      <c r="B52" s="24">
        <f>17872410553.64</f>
        <v>17872410553.639999</v>
      </c>
      <c r="C52" s="24">
        <f>17821649307.75</f>
        <v>17821649307.75</v>
      </c>
      <c r="D52" s="24">
        <f>427849330.69</f>
        <v>427849330.69</v>
      </c>
      <c r="E52" s="24">
        <f>130651120.41</f>
        <v>130651120.41</v>
      </c>
      <c r="F52" s="24">
        <f>9250115</f>
        <v>9250115</v>
      </c>
      <c r="G52" s="24">
        <f>286985090.48</f>
        <v>286985090.48000002</v>
      </c>
      <c r="H52" s="24">
        <f>963004.8</f>
        <v>963004.8</v>
      </c>
      <c r="I52" s="24">
        <f>658.67</f>
        <v>658.67</v>
      </c>
      <c r="J52" s="24">
        <f>10660681.57</f>
        <v>10660681.57</v>
      </c>
      <c r="K52" s="24">
        <f>40190665.88</f>
        <v>40190665.880000003</v>
      </c>
      <c r="L52" s="24">
        <f>5451228783.83</f>
        <v>5451228783.8299999</v>
      </c>
      <c r="M52" s="24">
        <f>11791664588.74</f>
        <v>11791664588.74</v>
      </c>
      <c r="N52" s="24">
        <f>100054598.37</f>
        <v>100054598.37</v>
      </c>
      <c r="O52" s="24">
        <f>50761245.89</f>
        <v>50761245.890000001</v>
      </c>
      <c r="P52" s="24">
        <f>32090768.31</f>
        <v>32090768.309999999</v>
      </c>
      <c r="Q52" s="24">
        <f>18670477.58</f>
        <v>18670477.579999998</v>
      </c>
    </row>
    <row r="53" spans="1:17" ht="35.25" customHeight="1" x14ac:dyDescent="0.2">
      <c r="A53" s="28" t="s">
        <v>44</v>
      </c>
      <c r="B53" s="23">
        <f>25118997257.86</f>
        <v>25118997257.860001</v>
      </c>
      <c r="C53" s="23">
        <f>25070590015.51</f>
        <v>25070590015.509998</v>
      </c>
      <c r="D53" s="23">
        <f>1757446687.04</f>
        <v>1757446687.04</v>
      </c>
      <c r="E53" s="23">
        <f>643145798.3</f>
        <v>643145798.29999995</v>
      </c>
      <c r="F53" s="23">
        <f>96529092.47</f>
        <v>96529092.469999999</v>
      </c>
      <c r="G53" s="23">
        <f>986189264.44</f>
        <v>986189264.44000006</v>
      </c>
      <c r="H53" s="23">
        <f>31582531.83</f>
        <v>31582531.829999998</v>
      </c>
      <c r="I53" s="23">
        <f>2384610.46</f>
        <v>2384610.46</v>
      </c>
      <c r="J53" s="23">
        <f>28279753.25</f>
        <v>28279753.25</v>
      </c>
      <c r="K53" s="23">
        <f>90646233.12</f>
        <v>90646233.120000005</v>
      </c>
      <c r="L53" s="23">
        <f>14512072221.8</f>
        <v>14512072221.799999</v>
      </c>
      <c r="M53" s="23">
        <f>8309191607.57</f>
        <v>8309191607.5699997</v>
      </c>
      <c r="N53" s="23">
        <f>370568902.27</f>
        <v>370568902.26999998</v>
      </c>
      <c r="O53" s="23">
        <f>48407242.35</f>
        <v>48407242.350000001</v>
      </c>
      <c r="P53" s="23">
        <f>43392043.98</f>
        <v>43392043.979999997</v>
      </c>
      <c r="Q53" s="23">
        <f>5015198.37</f>
        <v>5015198.37</v>
      </c>
    </row>
    <row r="54" spans="1:17" ht="28.5" customHeight="1" x14ac:dyDescent="0.2">
      <c r="A54" s="18" t="s">
        <v>38</v>
      </c>
      <c r="B54" s="24">
        <f>1721285661.55</f>
        <v>1721285661.55</v>
      </c>
      <c r="C54" s="24">
        <f>1720539346.55</f>
        <v>1720539346.55</v>
      </c>
      <c r="D54" s="24">
        <f>136209729.98</f>
        <v>136209729.97999999</v>
      </c>
      <c r="E54" s="24">
        <f>8851312.97</f>
        <v>8851312.9700000007</v>
      </c>
      <c r="F54" s="24">
        <f>2117612.27</f>
        <v>2117612.27</v>
      </c>
      <c r="G54" s="24">
        <f>121306261.56</f>
        <v>121306261.56</v>
      </c>
      <c r="H54" s="24">
        <f>3934543.18</f>
        <v>3934543.18</v>
      </c>
      <c r="I54" s="24">
        <f>0</f>
        <v>0</v>
      </c>
      <c r="J54" s="24">
        <f>2458540.99</f>
        <v>2458540.9900000002</v>
      </c>
      <c r="K54" s="24">
        <f>4828192.04</f>
        <v>4828192.04</v>
      </c>
      <c r="L54" s="24">
        <f>595818572.85</f>
        <v>595818572.85000002</v>
      </c>
      <c r="M54" s="24">
        <f>962425888.08</f>
        <v>962425888.08000004</v>
      </c>
      <c r="N54" s="24">
        <f>18798422.61</f>
        <v>18798422.609999999</v>
      </c>
      <c r="O54" s="24">
        <f>746315</f>
        <v>746315</v>
      </c>
      <c r="P54" s="24">
        <f>697130.62</f>
        <v>697130.62</v>
      </c>
      <c r="Q54" s="24">
        <f>49184.38</f>
        <v>49184.38</v>
      </c>
    </row>
    <row r="55" spans="1:17" ht="47.25" customHeight="1" x14ac:dyDescent="0.2">
      <c r="A55" s="18" t="s">
        <v>78</v>
      </c>
      <c r="B55" s="24">
        <f>13947134210.86</f>
        <v>13947134210.860001</v>
      </c>
      <c r="C55" s="24">
        <f>13934430704.32</f>
        <v>13934430704.32</v>
      </c>
      <c r="D55" s="24">
        <f>576684169.49</f>
        <v>576684169.49000001</v>
      </c>
      <c r="E55" s="24">
        <f>203889823.56</f>
        <v>203889823.56</v>
      </c>
      <c r="F55" s="24">
        <f>70148056.71</f>
        <v>70148056.709999993</v>
      </c>
      <c r="G55" s="24">
        <f>284231069.61</f>
        <v>284231069.61000001</v>
      </c>
      <c r="H55" s="24">
        <f>18415219.61</f>
        <v>18415219.609999999</v>
      </c>
      <c r="I55" s="24">
        <f>2324126.39</f>
        <v>2324126.39</v>
      </c>
      <c r="J55" s="24">
        <f>23123777.9</f>
        <v>23123777.899999999</v>
      </c>
      <c r="K55" s="24">
        <f>64865720.04</f>
        <v>64865720.039999999</v>
      </c>
      <c r="L55" s="24">
        <f>9608076218.3</f>
        <v>9608076218.2999992</v>
      </c>
      <c r="M55" s="24">
        <f>3589946846.11</f>
        <v>3589946846.1100001</v>
      </c>
      <c r="N55" s="24">
        <f>69409846.09</f>
        <v>69409846.090000004</v>
      </c>
      <c r="O55" s="24">
        <f>12703506.54</f>
        <v>12703506.539999999</v>
      </c>
      <c r="P55" s="24">
        <f>10936264.76</f>
        <v>10936264.76</v>
      </c>
      <c r="Q55" s="24">
        <f>1767241.78</f>
        <v>1767241.78</v>
      </c>
    </row>
    <row r="56" spans="1:17" ht="35.25" customHeight="1" x14ac:dyDescent="0.2">
      <c r="A56" s="18" t="s">
        <v>39</v>
      </c>
      <c r="B56" s="24">
        <f>9450577385.45</f>
        <v>9450577385.4500008</v>
      </c>
      <c r="C56" s="24">
        <f>9415619964.64</f>
        <v>9415619964.6399994</v>
      </c>
      <c r="D56" s="24">
        <f>1044552787.57</f>
        <v>1044552787.5700001</v>
      </c>
      <c r="E56" s="24">
        <f>430404661.77</f>
        <v>430404661.76999998</v>
      </c>
      <c r="F56" s="24">
        <f>24263423.49</f>
        <v>24263423.489999998</v>
      </c>
      <c r="G56" s="24">
        <f>580651933.27</f>
        <v>580651933.26999998</v>
      </c>
      <c r="H56" s="24">
        <f>9232769.04</f>
        <v>9232769.0399999991</v>
      </c>
      <c r="I56" s="24">
        <f>60484.07</f>
        <v>60484.07</v>
      </c>
      <c r="J56" s="24">
        <f>2697434.36</f>
        <v>2697434.36</v>
      </c>
      <c r="K56" s="24">
        <f>20952321.04</f>
        <v>20952321.039999999</v>
      </c>
      <c r="L56" s="24">
        <f>4308177430.65</f>
        <v>4308177430.6499996</v>
      </c>
      <c r="M56" s="24">
        <f>3756818873.38</f>
        <v>3756818873.3800001</v>
      </c>
      <c r="N56" s="24">
        <f>282360633.57</f>
        <v>282360633.56999999</v>
      </c>
      <c r="O56" s="24">
        <f>34957420.81</f>
        <v>34957420.810000002</v>
      </c>
      <c r="P56" s="24">
        <f>31758648.6</f>
        <v>31758648.600000001</v>
      </c>
      <c r="Q56" s="24">
        <f>3198772.21</f>
        <v>3198772.21</v>
      </c>
    </row>
    <row r="67" spans="1:13" ht="75" customHeight="1" x14ac:dyDescent="0.2">
      <c r="A67" s="33" t="str">
        <f>CONCATENATE("Informacja z wykonania budżetów jednostek samorządu terytorialnego za ",$C$94," ",$B$95," roku")</f>
        <v>Informacja z wykonania budżetów jednostek samorządu terytorialnego za II Kwartały 2022 roku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3.5" customHeight="1" x14ac:dyDescent="0.2">
      <c r="B69" s="43" t="s">
        <v>2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1" spans="1:13" ht="13.5" customHeight="1" x14ac:dyDescent="0.2">
      <c r="B71" s="46" t="s">
        <v>0</v>
      </c>
      <c r="C71" s="47"/>
      <c r="D71" s="47"/>
      <c r="E71" s="48"/>
      <c r="F71" s="65" t="s">
        <v>68</v>
      </c>
      <c r="G71" s="29" t="s">
        <v>74</v>
      </c>
      <c r="H71" s="30"/>
      <c r="I71" s="30"/>
      <c r="J71" s="30"/>
      <c r="K71" s="30"/>
      <c r="L71" s="31"/>
    </row>
    <row r="72" spans="1:13" ht="13.5" customHeight="1" x14ac:dyDescent="0.2">
      <c r="B72" s="49"/>
      <c r="C72" s="50"/>
      <c r="D72" s="50"/>
      <c r="E72" s="51"/>
      <c r="F72" s="66"/>
      <c r="G72" s="32" t="s">
        <v>69</v>
      </c>
      <c r="H72" s="32" t="s">
        <v>66</v>
      </c>
      <c r="I72" s="32" t="s">
        <v>67</v>
      </c>
      <c r="J72" s="32" t="s">
        <v>70</v>
      </c>
      <c r="K72" s="32" t="s">
        <v>71</v>
      </c>
      <c r="L72" s="37" t="s">
        <v>72</v>
      </c>
    </row>
    <row r="73" spans="1:13" ht="13.5" customHeight="1" x14ac:dyDescent="0.2">
      <c r="B73" s="49"/>
      <c r="C73" s="50"/>
      <c r="D73" s="50"/>
      <c r="E73" s="51"/>
      <c r="F73" s="66"/>
      <c r="G73" s="32"/>
      <c r="H73" s="32"/>
      <c r="I73" s="32"/>
      <c r="J73" s="32"/>
      <c r="K73" s="32"/>
      <c r="L73" s="37"/>
    </row>
    <row r="74" spans="1:13" ht="11.25" customHeight="1" x14ac:dyDescent="0.2">
      <c r="B74" s="49"/>
      <c r="C74" s="50"/>
      <c r="D74" s="50"/>
      <c r="E74" s="51"/>
      <c r="F74" s="66"/>
      <c r="G74" s="32"/>
      <c r="H74" s="32"/>
      <c r="I74" s="32"/>
      <c r="J74" s="32"/>
      <c r="K74" s="32"/>
      <c r="L74" s="37"/>
    </row>
    <row r="75" spans="1:13" ht="20.25" customHeight="1" x14ac:dyDescent="0.2">
      <c r="B75" s="52"/>
      <c r="C75" s="53"/>
      <c r="D75" s="53"/>
      <c r="E75" s="54"/>
      <c r="F75" s="67"/>
      <c r="G75" s="32"/>
      <c r="H75" s="32"/>
      <c r="I75" s="32"/>
      <c r="J75" s="32"/>
      <c r="K75" s="32"/>
      <c r="L75" s="37"/>
    </row>
    <row r="76" spans="1:13" ht="13.5" customHeight="1" x14ac:dyDescent="0.2">
      <c r="B76" s="32">
        <v>1</v>
      </c>
      <c r="C76" s="32"/>
      <c r="D76" s="32"/>
      <c r="E76" s="32"/>
      <c r="F76" s="15">
        <v>2</v>
      </c>
      <c r="G76" s="15">
        <v>3</v>
      </c>
      <c r="H76" s="15">
        <v>4</v>
      </c>
      <c r="I76" s="15">
        <v>5</v>
      </c>
      <c r="J76" s="15">
        <v>6</v>
      </c>
      <c r="K76" s="15">
        <v>7</v>
      </c>
      <c r="L76" s="15">
        <v>8</v>
      </c>
    </row>
    <row r="77" spans="1:13" ht="33.75" customHeight="1" x14ac:dyDescent="0.2">
      <c r="B77" s="55" t="s">
        <v>53</v>
      </c>
      <c r="C77" s="56"/>
      <c r="D77" s="56"/>
      <c r="E77" s="57"/>
      <c r="F77" s="22">
        <f>4660987494.71</f>
        <v>4660987494.71</v>
      </c>
      <c r="G77" s="22">
        <f>1166978201.32</f>
        <v>1166978201.3199999</v>
      </c>
      <c r="H77" s="22">
        <f>55391368.36</f>
        <v>55391368.359999999</v>
      </c>
      <c r="I77" s="22">
        <f>301320500.86</f>
        <v>301320500.86000001</v>
      </c>
      <c r="J77" s="22">
        <f>800799000.72</f>
        <v>800799000.72000003</v>
      </c>
      <c r="K77" s="22">
        <f>9467331.38</f>
        <v>9467331.3800000008</v>
      </c>
      <c r="L77" s="22">
        <f>3494009293.39</f>
        <v>3494009293.3899999</v>
      </c>
    </row>
    <row r="78" spans="1:13" ht="33.75" customHeight="1" x14ac:dyDescent="0.2">
      <c r="B78" s="38" t="s">
        <v>54</v>
      </c>
      <c r="C78" s="39"/>
      <c r="D78" s="39"/>
      <c r="E78" s="40"/>
      <c r="F78" s="25">
        <f>9248171</f>
        <v>9248171</v>
      </c>
      <c r="G78" s="25">
        <f>9248171</f>
        <v>9248171</v>
      </c>
      <c r="H78" s="25">
        <f>40364</f>
        <v>40364</v>
      </c>
      <c r="I78" s="25">
        <f>0</f>
        <v>0</v>
      </c>
      <c r="J78" s="25">
        <f>9207807</f>
        <v>9207807</v>
      </c>
      <c r="K78" s="25">
        <f>0</f>
        <v>0</v>
      </c>
      <c r="L78" s="25">
        <f>0</f>
        <v>0</v>
      </c>
    </row>
    <row r="79" spans="1:13" ht="33.75" customHeight="1" x14ac:dyDescent="0.2">
      <c r="B79" s="38" t="s">
        <v>55</v>
      </c>
      <c r="C79" s="39"/>
      <c r="D79" s="39"/>
      <c r="E79" s="40"/>
      <c r="F79" s="25">
        <f>169161705.52</f>
        <v>169161705.52000001</v>
      </c>
      <c r="G79" s="25">
        <f>33940253.59</f>
        <v>33940253.590000004</v>
      </c>
      <c r="H79" s="25">
        <f>1456851</f>
        <v>1456851</v>
      </c>
      <c r="I79" s="25">
        <f>23416666.55</f>
        <v>23416666.550000001</v>
      </c>
      <c r="J79" s="25">
        <f>8957150</f>
        <v>8957150</v>
      </c>
      <c r="K79" s="25">
        <f>109586.04</f>
        <v>109586.04</v>
      </c>
      <c r="L79" s="25">
        <f>135221451.93</f>
        <v>135221451.93000001</v>
      </c>
    </row>
    <row r="80" spans="1:13" ht="22.5" customHeight="1" x14ac:dyDescent="0.2">
      <c r="B80" s="38" t="s">
        <v>56</v>
      </c>
      <c r="C80" s="39"/>
      <c r="D80" s="39"/>
      <c r="E80" s="40"/>
      <c r="F80" s="25">
        <f>94328023.83</f>
        <v>94328023.829999998</v>
      </c>
      <c r="G80" s="25">
        <f>36951732.93</f>
        <v>36951732.93</v>
      </c>
      <c r="H80" s="25">
        <f>0</f>
        <v>0</v>
      </c>
      <c r="I80" s="25">
        <f>0</f>
        <v>0</v>
      </c>
      <c r="J80" s="25">
        <f>36951732.93</f>
        <v>36951732.93</v>
      </c>
      <c r="K80" s="25">
        <f>0</f>
        <v>0</v>
      </c>
      <c r="L80" s="25">
        <f>57376290.9</f>
        <v>57376290.899999999</v>
      </c>
    </row>
    <row r="81" spans="1:13" ht="33.75" customHeight="1" x14ac:dyDescent="0.2">
      <c r="B81" s="38" t="s">
        <v>57</v>
      </c>
      <c r="C81" s="39"/>
      <c r="D81" s="39"/>
      <c r="E81" s="40"/>
      <c r="F81" s="25">
        <f>17395004.25</f>
        <v>17395004.25</v>
      </c>
      <c r="G81" s="25">
        <f>13431522.46</f>
        <v>13431522.460000001</v>
      </c>
      <c r="H81" s="25">
        <f>0</f>
        <v>0</v>
      </c>
      <c r="I81" s="25">
        <f>0</f>
        <v>0</v>
      </c>
      <c r="J81" s="25">
        <f>13431522.46</f>
        <v>13431522.460000001</v>
      </c>
      <c r="K81" s="25">
        <f>0</f>
        <v>0</v>
      </c>
      <c r="L81" s="25">
        <f>3963481.79</f>
        <v>3963481.79</v>
      </c>
    </row>
    <row r="82" spans="1:13" ht="33.75" customHeight="1" x14ac:dyDescent="0.2">
      <c r="B82" s="38" t="s">
        <v>58</v>
      </c>
      <c r="C82" s="39"/>
      <c r="D82" s="39"/>
      <c r="E82" s="40"/>
      <c r="F82" s="25">
        <f>20585585.98</f>
        <v>20585585.98</v>
      </c>
      <c r="G82" s="25">
        <f>7382336.85</f>
        <v>7382336.8499999996</v>
      </c>
      <c r="H82" s="25">
        <f>0</f>
        <v>0</v>
      </c>
      <c r="I82" s="25">
        <f>0</f>
        <v>0</v>
      </c>
      <c r="J82" s="25">
        <f>7382336.85</f>
        <v>7382336.8499999996</v>
      </c>
      <c r="K82" s="25">
        <f>0</f>
        <v>0</v>
      </c>
      <c r="L82" s="25">
        <f>13203249.13</f>
        <v>13203249.130000001</v>
      </c>
    </row>
    <row r="83" spans="1:13" ht="33" customHeight="1" x14ac:dyDescent="0.2">
      <c r="B83" s="55" t="s">
        <v>59</v>
      </c>
      <c r="C83" s="56"/>
      <c r="D83" s="56"/>
      <c r="E83" s="57"/>
      <c r="F83" s="22">
        <f>93000</f>
        <v>93000</v>
      </c>
      <c r="G83" s="22">
        <f>0</f>
        <v>0</v>
      </c>
      <c r="H83" s="22">
        <f>0</f>
        <v>0</v>
      </c>
      <c r="I83" s="22">
        <f>0</f>
        <v>0</v>
      </c>
      <c r="J83" s="22">
        <f>0</f>
        <v>0</v>
      </c>
      <c r="K83" s="22">
        <f>0</f>
        <v>0</v>
      </c>
      <c r="L83" s="22">
        <f>93000</f>
        <v>93000</v>
      </c>
    </row>
    <row r="86" spans="1:13" ht="75" customHeight="1" x14ac:dyDescent="0.2">
      <c r="A86" s="33" t="str">
        <f>CONCATENATE("Informacja z wykonania budżetów jednostek samorządu terytorialnego za ",$C$94," ",$B$95," roku")</f>
        <v>Informacja z wykonania budżetów jednostek samorządu terytorialnego za II Kwartały 2022 roku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ht="13.5" customHeight="1" x14ac:dyDescent="0.2">
      <c r="B87" s="3"/>
    </row>
    <row r="88" spans="1:13" ht="13.5" customHeight="1" x14ac:dyDescent="0.2">
      <c r="B88" s="4"/>
      <c r="C88" s="44"/>
      <c r="D88" s="60"/>
      <c r="E88" s="60"/>
      <c r="F88" s="45"/>
      <c r="G88" s="44" t="s">
        <v>3</v>
      </c>
      <c r="H88" s="45"/>
      <c r="I88" s="44" t="s">
        <v>4</v>
      </c>
      <c r="J88" s="45"/>
      <c r="K88" s="4"/>
    </row>
    <row r="89" spans="1:13" ht="13.5" customHeight="1" x14ac:dyDescent="0.2">
      <c r="B89" s="5"/>
      <c r="C89" s="55" t="s">
        <v>5</v>
      </c>
      <c r="D89" s="56"/>
      <c r="E89" s="56"/>
      <c r="F89" s="57"/>
      <c r="G89" s="58">
        <f>2212</f>
        <v>2212</v>
      </c>
      <c r="H89" s="59"/>
      <c r="I89" s="41">
        <f>15702590705.15</f>
        <v>15702590705.15</v>
      </c>
      <c r="J89" s="42"/>
      <c r="K89" s="6"/>
    </row>
    <row r="90" spans="1:13" ht="13.5" customHeight="1" x14ac:dyDescent="0.2">
      <c r="B90" s="5"/>
      <c r="C90" s="38" t="s">
        <v>6</v>
      </c>
      <c r="D90" s="39"/>
      <c r="E90" s="39"/>
      <c r="F90" s="40"/>
      <c r="G90" s="61">
        <f>595</f>
        <v>595</v>
      </c>
      <c r="H90" s="62"/>
      <c r="I90" s="63">
        <f>-1273756944.06</f>
        <v>-1273756944.0599999</v>
      </c>
      <c r="J90" s="64"/>
      <c r="K90" s="6"/>
    </row>
    <row r="91" spans="1:13" ht="13.5" customHeight="1" x14ac:dyDescent="0.2">
      <c r="B91" s="5"/>
      <c r="C91" s="55" t="s">
        <v>7</v>
      </c>
      <c r="D91" s="56"/>
      <c r="E91" s="56"/>
      <c r="F91" s="57"/>
      <c r="G91" s="58">
        <f>0</f>
        <v>0</v>
      </c>
      <c r="H91" s="59"/>
      <c r="I91" s="41">
        <f>0</f>
        <v>0</v>
      </c>
      <c r="J91" s="42"/>
      <c r="K91" s="6"/>
    </row>
    <row r="94" spans="1:13" ht="13.5" customHeight="1" x14ac:dyDescent="0.2">
      <c r="A94" s="7" t="s">
        <v>8</v>
      </c>
      <c r="B94" s="7">
        <f>2</f>
        <v>2</v>
      </c>
      <c r="C94" s="7" t="str">
        <f>IF(B94=1,"I Kwartał",IF(B94=2,"II Kwartały",IF(B94=3,"III Kwartały",IF(B94=4,"IV Kwartały","-"))))</f>
        <v>II Kwartały</v>
      </c>
    </row>
    <row r="95" spans="1:13" ht="13.5" customHeight="1" x14ac:dyDescent="0.2">
      <c r="A95" s="7" t="s">
        <v>9</v>
      </c>
      <c r="B95" s="7">
        <f>2022</f>
        <v>2022</v>
      </c>
      <c r="C95" s="8"/>
    </row>
    <row r="96" spans="1:13" ht="13.5" customHeight="1" x14ac:dyDescent="0.2">
      <c r="A96" s="7" t="s">
        <v>10</v>
      </c>
      <c r="B96" s="9" t="str">
        <f>"Aug 18 2022 12:00AM"</f>
        <v>Aug 18 2022 12:00AM</v>
      </c>
      <c r="C96" s="8"/>
    </row>
  </sheetData>
  <mergeCells count="75">
    <mergeCell ref="K72:K75"/>
    <mergeCell ref="G35:G38"/>
    <mergeCell ref="Q7:Q11"/>
    <mergeCell ref="C34:N34"/>
    <mergeCell ref="L7:L11"/>
    <mergeCell ref="M7:M11"/>
    <mergeCell ref="N7:N11"/>
    <mergeCell ref="P7:P11"/>
    <mergeCell ref="G7:G11"/>
    <mergeCell ref="F7:F11"/>
    <mergeCell ref="I7:I11"/>
    <mergeCell ref="J7:J11"/>
    <mergeCell ref="H35:H38"/>
    <mergeCell ref="K35:K38"/>
    <mergeCell ref="I35:I38"/>
    <mergeCell ref="J35:J38"/>
    <mergeCell ref="E35:E38"/>
    <mergeCell ref="H72:H75"/>
    <mergeCell ref="I72:I75"/>
    <mergeCell ref="J72:J75"/>
    <mergeCell ref="A1:M1"/>
    <mergeCell ref="C5:M5"/>
    <mergeCell ref="A3:M3"/>
    <mergeCell ref="K7:K11"/>
    <mergeCell ref="C7:C11"/>
    <mergeCell ref="B6:B11"/>
    <mergeCell ref="A6:A11"/>
    <mergeCell ref="C6:N6"/>
    <mergeCell ref="D7:D11"/>
    <mergeCell ref="E7:E11"/>
    <mergeCell ref="L72:L75"/>
    <mergeCell ref="F35:F38"/>
    <mergeCell ref="A30:M30"/>
    <mergeCell ref="G91:H91"/>
    <mergeCell ref="I91:J91"/>
    <mergeCell ref="C88:F88"/>
    <mergeCell ref="C89:F89"/>
    <mergeCell ref="C90:F90"/>
    <mergeCell ref="C91:F91"/>
    <mergeCell ref="G89:H89"/>
    <mergeCell ref="G88:H88"/>
    <mergeCell ref="G90:H90"/>
    <mergeCell ref="I90:J90"/>
    <mergeCell ref="B82:E82"/>
    <mergeCell ref="I89:J89"/>
    <mergeCell ref="B69:M69"/>
    <mergeCell ref="I88:J88"/>
    <mergeCell ref="B76:E76"/>
    <mergeCell ref="B71:E75"/>
    <mergeCell ref="B83:E83"/>
    <mergeCell ref="A86:M86"/>
    <mergeCell ref="B79:E79"/>
    <mergeCell ref="B80:E80"/>
    <mergeCell ref="B81:E81"/>
    <mergeCell ref="B78:E78"/>
    <mergeCell ref="B77:E77"/>
    <mergeCell ref="F71:F75"/>
    <mergeCell ref="G72:G75"/>
    <mergeCell ref="G71:L71"/>
    <mergeCell ref="O6:Q6"/>
    <mergeCell ref="O7:O11"/>
    <mergeCell ref="A67:M67"/>
    <mergeCell ref="L35:L38"/>
    <mergeCell ref="P35:P38"/>
    <mergeCell ref="Q35:Q38"/>
    <mergeCell ref="N35:N38"/>
    <mergeCell ref="O35:O38"/>
    <mergeCell ref="D35:D38"/>
    <mergeCell ref="H7:H11"/>
    <mergeCell ref="M35:M38"/>
    <mergeCell ref="O34:Q34"/>
    <mergeCell ref="A32:M32"/>
    <mergeCell ref="B34:B38"/>
    <mergeCell ref="A34:A38"/>
    <mergeCell ref="C35:C38"/>
  </mergeCells>
  <phoneticPr fontId="4" type="noConversion"/>
  <pageMargins left="0" right="0" top="0.19685039370078741" bottom="0.19685039370078741" header="0" footer="0"/>
  <pageSetup paperSize="9" scale="67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2016-08-26T11:29:32Z</cp:lastPrinted>
  <dcterms:created xsi:type="dcterms:W3CDTF">2001-05-17T08:58:03Z</dcterms:created>
  <dcterms:modified xsi:type="dcterms:W3CDTF">2022-08-19T13:37:56Z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2022-08-19T15:37:53.8805397+02:00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GRN-c50acbb2-e44a-49ae-b5a1-10efc282d589</vt:lpwstr>
  </property>
  <property fmtid="{D5CDD505-2E9C-101B-9397-08002B2CF9AE}" pid="7" name="MFHash">
    <vt:lpwstr>7tO5jC6sCejuIMQagwxGbuFud8OW0CKbfzCunKR4wQ8=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