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95CBE6F9-1F8F-4517-8218-AC524E1ED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J27" i="4" s="1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K73" i="4"/>
  <c r="K21" i="4"/>
  <c r="K68" i="4"/>
  <c r="D96" i="4"/>
  <c r="B61" i="4" s="1"/>
  <c r="K26" i="4"/>
  <c r="K74" i="4"/>
  <c r="K32" i="4"/>
  <c r="K11" i="4"/>
  <c r="K80" i="4"/>
  <c r="K33" i="4"/>
  <c r="K15" i="4"/>
  <c r="C14" i="4"/>
  <c r="C13" i="4" s="1"/>
  <c r="K49" i="4"/>
  <c r="J51" i="4"/>
  <c r="J56" i="4"/>
  <c r="J49" i="4"/>
  <c r="J57" i="4"/>
  <c r="K57" i="4"/>
  <c r="K20" i="4"/>
  <c r="I52" i="4"/>
  <c r="I58" i="4" s="1"/>
  <c r="K51" i="4"/>
  <c r="K67" i="4"/>
  <c r="K75" i="4"/>
  <c r="K22" i="4"/>
  <c r="K28" i="4"/>
  <c r="K54" i="4"/>
  <c r="K69" i="4"/>
  <c r="H52" i="4"/>
  <c r="H58" i="4" s="1"/>
  <c r="K76" i="4"/>
  <c r="K17" i="4"/>
  <c r="K23" i="4"/>
  <c r="K35" i="4"/>
  <c r="K56" i="4"/>
  <c r="K70" i="4"/>
  <c r="J79" i="4"/>
  <c r="J78" i="4"/>
  <c r="J76" i="4"/>
  <c r="J81" i="4"/>
  <c r="J80" i="4"/>
  <c r="J77" i="4"/>
  <c r="K50" i="4"/>
  <c r="K77" i="4"/>
  <c r="K9" i="4"/>
  <c r="K24" i="4"/>
  <c r="K30" i="4"/>
  <c r="K65" i="4"/>
  <c r="K71" i="4"/>
  <c r="K53" i="4"/>
  <c r="J75" i="4"/>
  <c r="J70" i="4"/>
  <c r="K78" i="4"/>
  <c r="K10" i="4"/>
  <c r="K19" i="4"/>
  <c r="K25" i="4"/>
  <c r="K31" i="4"/>
  <c r="K39" i="4"/>
  <c r="F52" i="4"/>
  <c r="F58" i="4"/>
  <c r="K66" i="4"/>
  <c r="K72" i="4"/>
  <c r="K81" i="4"/>
  <c r="K16" i="4"/>
  <c r="K34" i="4"/>
  <c r="J32" i="4"/>
  <c r="J39" i="4"/>
  <c r="J19" i="4"/>
  <c r="J23" i="4"/>
  <c r="J34" i="4"/>
  <c r="J15" i="4"/>
  <c r="J24" i="4"/>
  <c r="J29" i="4"/>
  <c r="J8" i="4"/>
  <c r="D38" i="4"/>
  <c r="D40" i="4"/>
  <c r="J33" i="4"/>
  <c r="J31" i="4"/>
  <c r="J40" i="4"/>
  <c r="J35" i="4"/>
  <c r="J9" i="4"/>
  <c r="J16" i="4"/>
  <c r="D59" i="4"/>
  <c r="J26" i="4"/>
  <c r="J30" i="4"/>
  <c r="J20" i="4"/>
  <c r="J25" i="4"/>
  <c r="J22" i="4"/>
  <c r="J36" i="4"/>
  <c r="J17" i="4"/>
  <c r="K8" i="4"/>
  <c r="K29" i="4"/>
  <c r="K18" i="4"/>
  <c r="K36" i="4"/>
  <c r="E52" i="4"/>
  <c r="E58" i="4"/>
  <c r="G52" i="4"/>
  <c r="G58" i="4" s="1"/>
  <c r="K55" i="4"/>
  <c r="K79" i="4"/>
  <c r="B42" i="4"/>
  <c r="J68" i="4"/>
  <c r="J72" i="4"/>
  <c r="C52" i="4"/>
  <c r="C58" i="4" s="1"/>
  <c r="J54" i="4"/>
  <c r="K6" i="4"/>
  <c r="J66" i="4"/>
  <c r="J50" i="4"/>
  <c r="J10" i="4"/>
  <c r="J18" i="4"/>
  <c r="J21" i="4"/>
  <c r="C38" i="4"/>
  <c r="C40" i="4" s="1"/>
  <c r="J28" i="4"/>
  <c r="C59" i="4"/>
  <c r="J67" i="4"/>
  <c r="J74" i="4"/>
  <c r="J73" i="4"/>
  <c r="J71" i="4"/>
  <c r="D52" i="4"/>
  <c r="J52" i="4" s="1"/>
  <c r="D58" i="4"/>
  <c r="J58" i="4"/>
  <c r="J69" i="4"/>
  <c r="J55" i="4"/>
  <c r="J65" i="4"/>
  <c r="J53" i="4"/>
  <c r="J6" i="4"/>
  <c r="J11" i="4"/>
  <c r="J38" i="4"/>
  <c r="K58" i="4" l="1"/>
  <c r="K40" i="4"/>
  <c r="B1" i="4"/>
  <c r="K52" i="4"/>
  <c r="D14" i="4"/>
  <c r="K14" i="4" s="1"/>
  <c r="K27" i="4"/>
  <c r="D13" i="4"/>
  <c r="J14" i="4"/>
  <c r="C7" i="4"/>
  <c r="C12" i="4" s="1"/>
  <c r="K13" i="4"/>
  <c r="K38" i="4"/>
  <c r="D7" i="4" l="1"/>
  <c r="J13" i="4"/>
  <c r="L8" i="4" l="1"/>
  <c r="J7" i="4"/>
  <c r="L9" i="4"/>
  <c r="L10" i="4"/>
  <c r="K7" i="4"/>
  <c r="D12" i="4"/>
  <c r="L7" i="4"/>
  <c r="L11" i="4"/>
  <c r="J12" i="4" l="1"/>
  <c r="K12" i="4"/>
  <c r="L12" i="4"/>
</calcChain>
</file>

<file path=xl/sharedStrings.xml><?xml version="1.0" encoding="utf-8"?>
<sst xmlns="http://schemas.openxmlformats.org/spreadsheetml/2006/main" count="372" uniqueCount="96">
  <si>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</si>
  <si>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</si>
  <si>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</si>
  <si>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</si>
  <si>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</si>
  <si>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</si>
  <si>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</si>
  <si>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</si>
  <si>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</si>
  <si>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</si>
  <si>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</si>
  <si>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</si>
  <si>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</si>
  <si>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</si>
  <si>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</si>
  <si>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</si>
  <si>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</si>
  <si>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</si>
  <si>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</si>
  <si>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</si>
  <si>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</si>
  <si>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</si>
  <si>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</si>
  <si>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</si>
  <si>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</si>
  <si>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</si>
  <si>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</si>
  <si>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</si>
  <si>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</si>
  <si>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</si>
  <si>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</si>
  <si>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</si>
  <si>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</si>
  <si>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</si>
  <si>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</si>
  <si>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</si>
  <si>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</si>
  <si>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</si>
  <si>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</si>
  <si>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</si>
  <si>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</si>
  <si>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</si>
  <si>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</si>
  <si>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</si>
  <si>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</si>
  <si>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</si>
  <si>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</si>
  <si>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</si>
  <si>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</si>
  <si>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</si>
  <si>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</si>
  <si>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</si>
  <si>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</si>
  <si>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</si>
  <si>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</si>
  <si>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</si>
  <si>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</si>
  <si>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</si>
  <si>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</si>
  <si>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</si>
  <si>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</si>
  <si>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</si>
  <si>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</si>
  <si>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</si>
  <si>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</si>
  <si>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</si>
  <si>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</si>
  <si>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</si>
  <si>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</si>
  <si>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</si>
  <si>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</si>
  <si>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</si>
  <si>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</si>
  <si>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</si>
  <si>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</si>
  <si>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</si>
  <si>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</si>
  <si>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</si>
  <si>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</si>
  <si>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</si>
  <si>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</si>
  <si>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</si>
  <si>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</si>
  <si>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</si>
  <si>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</si>
  <si>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</si>
  <si>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</si>
  <si>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</si>
  <si>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</si>
  <si>
    <t>FINANSOWANIE DEFICYTU (E1+E2+E3+E4+E5+E6+E7+E8) 
z tego: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</si>
  <si>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</si>
  <si>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</si>
  <si>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</si>
  <si>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</si>
  <si>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</si>
  <si>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=""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</si>
</sst>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5" fontId="10" fillId="20" borderId="10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5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5" fontId="9" fillId="21" borderId="10" xfId="28" applyNumberFormat="1" applyFont="1" applyFill="1" applyBorder="1" applyAlignment="1">
      <alignment horizontal="right" vertical="center"/>
    </xf>
    <xf numFmtId="165" fontId="9" fillId="21" borderId="10" xfId="0" applyNumberFormat="1" applyFont="1" applyFill="1" applyBorder="1" applyAlignment="1">
      <alignment horizontal="right" vertical="center"/>
    </xf>
    <xf numFmtId="165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5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5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5" fontId="9" fillId="0" borderId="10" xfId="28" applyNumberFormat="1" applyFont="1" applyFill="1" applyBorder="1" applyAlignment="1">
      <alignment horizontal="right" vertical="center"/>
    </xf>
    <xf numFmtId="165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49" fontId="2" fillId="0" borderId="0" xfId="0" applyNumberFormat="1" applyFont="1"/>
    <xf numFmtId="0" fontId="29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ny" xfId="0" builtinId="0"/>
    <cellStyle name="Normalny 2" xfId="39" xr:uid="{00000000-0005-0000-0000-000027000000}"/>
    <cellStyle name="Normalny 2 2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99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2" t="str">
        <f>CONCATENATE("Informacja z wykonania budżetów związków jednostek samorządu terytorialnego za ",$D$96," ",$C$97," rok    ",$C$99,"")</f>
        <v>Informacja z wykonania budżetów związków jednostek samorządu terytorialnego za III Kwartały 2024 rok    =""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"/>
    <row r="3" spans="2:12" ht="66.75" customHeight="1" x14ac:dyDescent="0.2">
      <c r="B3" s="119" t="s">
        <v>0</v>
      </c>
      <c r="C3" s="39" t="s">
        <v>57</v>
      </c>
      <c r="D3" s="39" t="s">
        <v>58</v>
      </c>
      <c r="E3" s="11" t="s">
        <v>80</v>
      </c>
      <c r="F3" s="11" t="s">
        <v>81</v>
      </c>
      <c r="G3" s="11" t="s">
        <v>82</v>
      </c>
      <c r="H3" s="11" t="s">
        <v>83</v>
      </c>
      <c r="I3" s="11" t="s">
        <v>84</v>
      </c>
      <c r="J3" s="41" t="s">
        <v>2</v>
      </c>
      <c r="K3" s="39" t="s">
        <v>18</v>
      </c>
      <c r="L3" s="39" t="s">
        <v>3</v>
      </c>
    </row>
    <row r="4" spans="2:12" x14ac:dyDescent="0.2">
      <c r="B4" s="119"/>
      <c r="C4" s="125" t="s">
        <v>40</v>
      </c>
      <c r="D4" s="127"/>
      <c r="E4" s="128" t="s">
        <v>79</v>
      </c>
      <c r="F4" s="129"/>
      <c r="G4" s="129"/>
      <c r="H4" s="129"/>
      <c r="I4" s="130"/>
      <c r="J4" s="125" t="s">
        <v>4</v>
      </c>
      <c r="K4" s="126"/>
      <c r="L4" s="127"/>
    </row>
    <row r="5" spans="2:12" x14ac:dyDescent="0.2">
      <c r="B5" s="41">
        <v>1</v>
      </c>
      <c r="C5" s="40">
        <v>2</v>
      </c>
      <c r="D5" s="40">
        <v>3</v>
      </c>
      <c r="E5" s="131"/>
      <c r="F5" s="132"/>
      <c r="G5" s="132"/>
      <c r="H5" s="132"/>
      <c r="I5" s="133"/>
      <c r="J5" s="40">
        <v>4</v>
      </c>
      <c r="K5" s="40">
        <v>5</v>
      </c>
      <c r="L5" s="40">
        <v>6</v>
      </c>
    </row>
    <row r="6" spans="2:12" ht="14.1" customHeight="1" x14ac:dyDescent="0.2">
      <c r="B6" s="92" t="s">
        <v>5</v>
      </c>
      <c r="C6" s="51">
        <f>5019033575.93</f>
        <v>5019033575.9300003</v>
      </c>
      <c r="D6" s="51">
        <f>3478686717.64</f>
        <v>3478686717.6399999</v>
      </c>
      <c r="E6" s="86" t="s">
        <v>79</v>
      </c>
      <c r="F6" s="86" t="s">
        <v>79</v>
      </c>
      <c r="G6" s="86" t="s">
        <v>79</v>
      </c>
      <c r="H6" s="86" t="s">
        <v>79</v>
      </c>
      <c r="I6" s="86" t="s">
        <v>79</v>
      </c>
      <c r="J6" s="52">
        <f t="shared" ref="J6:J40" si="0">IF($D$6=0,"",100*$D6/$D$6)</f>
        <v>100</v>
      </c>
      <c r="K6" s="52">
        <f t="shared" ref="K6:K40" si="1">IF(C6=0,"",100*D6/C6)</f>
        <v>69.309891336907782</v>
      </c>
      <c r="L6" s="52"/>
    </row>
    <row r="7" spans="2:12" ht="27" customHeight="1" x14ac:dyDescent="0.2">
      <c r="B7" s="94" t="s">
        <v>27</v>
      </c>
      <c r="C7" s="15">
        <f>C6-C13</f>
        <v>4300136214.4099998</v>
      </c>
      <c r="D7" s="15">
        <f>D6-D13</f>
        <v>3180011328.9299998</v>
      </c>
      <c r="E7" s="86" t="s">
        <v>79</v>
      </c>
      <c r="F7" s="86" t="s">
        <v>79</v>
      </c>
      <c r="G7" s="86" t="s">
        <v>79</v>
      </c>
      <c r="H7" s="86" t="s">
        <v>79</v>
      </c>
      <c r="I7" s="86" t="s">
        <v>79</v>
      </c>
      <c r="J7" s="19">
        <f t="shared" si="0"/>
        <v>91.41413375353828</v>
      </c>
      <c r="K7" s="19">
        <f t="shared" si="1"/>
        <v>73.95140921986615</v>
      </c>
      <c r="L7" s="19">
        <f t="shared" ref="L7:L12" si="2">IF($D$7=0,"",100*$D7/$D$7)</f>
        <v>100</v>
      </c>
    </row>
    <row r="8" spans="2:12" ht="22.5" outlineLevel="1" x14ac:dyDescent="0.2">
      <c r="B8" s="18" t="s">
        <v>69</v>
      </c>
      <c r="C8" s="53">
        <f>522744586</f>
        <v>522744586</v>
      </c>
      <c r="D8" s="54">
        <f>392058432</f>
        <v>392058432</v>
      </c>
      <c r="E8" s="87" t="s">
        <v>79</v>
      </c>
      <c r="F8" s="87" t="s">
        <v>79</v>
      </c>
      <c r="G8" s="87" t="s">
        <v>79</v>
      </c>
      <c r="H8" s="87" t="s">
        <v>79</v>
      </c>
      <c r="I8" s="87" t="s">
        <v>79</v>
      </c>
      <c r="J8" s="20">
        <f t="shared" si="0"/>
        <v>11.270300082267227</v>
      </c>
      <c r="K8" s="20">
        <f t="shared" si="1"/>
        <v>74.999998565264917</v>
      </c>
      <c r="L8" s="20">
        <f t="shared" si="2"/>
        <v>12.328837587252199</v>
      </c>
    </row>
    <row r="9" spans="2:12" ht="22.5" outlineLevel="1" x14ac:dyDescent="0.2">
      <c r="B9" s="56" t="s">
        <v>68</v>
      </c>
      <c r="C9" s="53">
        <f>1456599865.53</f>
        <v>1456599865.53</v>
      </c>
      <c r="D9" s="54">
        <f>1076525413.37</f>
        <v>1076525413.3699999</v>
      </c>
      <c r="E9" s="87" t="s">
        <v>79</v>
      </c>
      <c r="F9" s="87" t="s">
        <v>79</v>
      </c>
      <c r="G9" s="87" t="s">
        <v>79</v>
      </c>
      <c r="H9" s="87" t="s">
        <v>79</v>
      </c>
      <c r="I9" s="87" t="s">
        <v>79</v>
      </c>
      <c r="J9" s="20">
        <f t="shared" si="0"/>
        <v>30.946316835921717</v>
      </c>
      <c r="K9" s="20">
        <f t="shared" si="1"/>
        <v>73.906735737497414</v>
      </c>
      <c r="L9" s="20">
        <f t="shared" si="2"/>
        <v>33.852879817639696</v>
      </c>
    </row>
    <row r="10" spans="2:12" ht="33.75" outlineLevel="1" x14ac:dyDescent="0.2">
      <c r="B10" s="56" t="s">
        <v>85</v>
      </c>
      <c r="C10" s="53">
        <f>891143181.54</f>
        <v>891143181.53999996</v>
      </c>
      <c r="D10" s="54">
        <f>671889133.59</f>
        <v>671889133.59000003</v>
      </c>
      <c r="E10" s="87" t="s">
        <v>79</v>
      </c>
      <c r="F10" s="87" t="s">
        <v>79</v>
      </c>
      <c r="G10" s="87" t="s">
        <v>79</v>
      </c>
      <c r="H10" s="87" t="s">
        <v>79</v>
      </c>
      <c r="I10" s="87" t="s">
        <v>79</v>
      </c>
      <c r="J10" s="20">
        <f t="shared" si="0"/>
        <v>19.314447897332389</v>
      </c>
      <c r="K10" s="20">
        <f t="shared" si="1"/>
        <v>75.396316496401482</v>
      </c>
      <c r="L10" s="20">
        <f t="shared" si="2"/>
        <v>21.128513835077285</v>
      </c>
    </row>
    <row r="11" spans="2:12" ht="12.75" customHeight="1" outlineLevel="1" x14ac:dyDescent="0.2">
      <c r="B11" s="56" t="s">
        <v>19</v>
      </c>
      <c r="C11" s="53">
        <f>83703970.8</f>
        <v>83703970.799999997</v>
      </c>
      <c r="D11" s="54">
        <f>64601005.81</f>
        <v>64601005.810000002</v>
      </c>
      <c r="E11" s="87" t="s">
        <v>79</v>
      </c>
      <c r="F11" s="87" t="s">
        <v>79</v>
      </c>
      <c r="G11" s="87" t="s">
        <v>79</v>
      </c>
      <c r="H11" s="87" t="s">
        <v>79</v>
      </c>
      <c r="I11" s="87" t="s">
        <v>79</v>
      </c>
      <c r="J11" s="20">
        <f t="shared" si="0"/>
        <v>1.8570515557614347</v>
      </c>
      <c r="K11" s="20">
        <f t="shared" si="1"/>
        <v>77.177946509080073</v>
      </c>
      <c r="L11" s="20">
        <f t="shared" si="2"/>
        <v>2.0314709328955991</v>
      </c>
    </row>
    <row r="12" spans="2:12" ht="12.75" customHeight="1" outlineLevel="1" x14ac:dyDescent="0.2">
      <c r="B12" s="56" t="s">
        <v>20</v>
      </c>
      <c r="C12" s="53">
        <f>C7-SUM(C8:C11)</f>
        <v>1345944610.54</v>
      </c>
      <c r="D12" s="53">
        <f>D7-SUM(D8:D11)</f>
        <v>974937344.15999985</v>
      </c>
      <c r="E12" s="87" t="s">
        <v>79</v>
      </c>
      <c r="F12" s="87" t="s">
        <v>79</v>
      </c>
      <c r="G12" s="87" t="s">
        <v>79</v>
      </c>
      <c r="H12" s="87" t="s">
        <v>79</v>
      </c>
      <c r="I12" s="87" t="s">
        <v>79</v>
      </c>
      <c r="J12" s="20">
        <f t="shared" si="0"/>
        <v>28.026017382255507</v>
      </c>
      <c r="K12" s="20">
        <f t="shared" si="1"/>
        <v>72.435175751314901</v>
      </c>
      <c r="L12" s="20">
        <f t="shared" si="2"/>
        <v>30.658297827135215</v>
      </c>
    </row>
    <row r="13" spans="2:12" ht="27" customHeight="1" x14ac:dyDescent="0.2">
      <c r="B13" s="95" t="s">
        <v>59</v>
      </c>
      <c r="C13" s="51">
        <f>C14+C33+C35</f>
        <v>718897361.52000022</v>
      </c>
      <c r="D13" s="51">
        <f>D14+D33+D35</f>
        <v>298675388.71000004</v>
      </c>
      <c r="E13" s="86" t="s">
        <v>79</v>
      </c>
      <c r="F13" s="86" t="s">
        <v>79</v>
      </c>
      <c r="G13" s="86" t="s">
        <v>79</v>
      </c>
      <c r="H13" s="86" t="s">
        <v>79</v>
      </c>
      <c r="I13" s="86" t="s">
        <v>79</v>
      </c>
      <c r="J13" s="52">
        <f t="shared" si="0"/>
        <v>8.585866246461725</v>
      </c>
      <c r="K13" s="52">
        <f t="shared" si="1"/>
        <v>41.54631866759059</v>
      </c>
      <c r="L13" s="55"/>
    </row>
    <row r="14" spans="2:12" ht="27" customHeight="1" outlineLevel="1" x14ac:dyDescent="0.2">
      <c r="B14" s="97" t="s">
        <v>28</v>
      </c>
      <c r="C14" s="51">
        <f>C15+C17+C19+C21+C23+C25+C27+C29+C31</f>
        <v>643799047.3900001</v>
      </c>
      <c r="D14" s="51">
        <f>D15+D17+D19+D21+D23+D25+D27+D29+D31</f>
        <v>257435321.23000002</v>
      </c>
      <c r="E14" s="86" t="s">
        <v>79</v>
      </c>
      <c r="F14" s="86" t="s">
        <v>79</v>
      </c>
      <c r="G14" s="86" t="s">
        <v>79</v>
      </c>
      <c r="H14" s="86" t="s">
        <v>79</v>
      </c>
      <c r="I14" s="86" t="s">
        <v>79</v>
      </c>
      <c r="J14" s="52">
        <f t="shared" si="0"/>
        <v>7.4003594495755136</v>
      </c>
      <c r="K14" s="52">
        <f t="shared" si="1"/>
        <v>39.986906205229445</v>
      </c>
      <c r="L14" s="17"/>
    </row>
    <row r="15" spans="2:12" ht="22.5" outlineLevel="1" x14ac:dyDescent="0.2">
      <c r="B15" s="96" t="s">
        <v>9</v>
      </c>
      <c r="C15" s="53">
        <f>0</f>
        <v>0</v>
      </c>
      <c r="D15" s="53">
        <f>0</f>
        <v>0</v>
      </c>
      <c r="E15" s="87" t="s">
        <v>79</v>
      </c>
      <c r="F15" s="87" t="s">
        <v>79</v>
      </c>
      <c r="G15" s="87" t="s">
        <v>79</v>
      </c>
      <c r="H15" s="87" t="s">
        <v>79</v>
      </c>
      <c r="I15" s="87" t="s">
        <v>79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98" t="s">
        <v>6</v>
      </c>
      <c r="C16" s="53">
        <f>0</f>
        <v>0</v>
      </c>
      <c r="D16" s="53">
        <f>0</f>
        <v>0</v>
      </c>
      <c r="E16" s="87" t="s">
        <v>79</v>
      </c>
      <c r="F16" s="87" t="s">
        <v>79</v>
      </c>
      <c r="G16" s="87" t="s">
        <v>79</v>
      </c>
      <c r="H16" s="87" t="s">
        <v>79</v>
      </c>
      <c r="I16" s="87" t="s">
        <v>79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">
      <c r="B17" s="96" t="s">
        <v>7</v>
      </c>
      <c r="C17" s="53">
        <f>5000000</f>
        <v>5000000</v>
      </c>
      <c r="D17" s="53">
        <f>5000000</f>
        <v>5000000</v>
      </c>
      <c r="E17" s="87" t="s">
        <v>79</v>
      </c>
      <c r="F17" s="87" t="s">
        <v>79</v>
      </c>
      <c r="G17" s="87" t="s">
        <v>79</v>
      </c>
      <c r="H17" s="87" t="s">
        <v>79</v>
      </c>
      <c r="I17" s="87" t="s">
        <v>79</v>
      </c>
      <c r="J17" s="20">
        <f t="shared" si="0"/>
        <v>0.14373240265200096</v>
      </c>
      <c r="K17" s="20">
        <f t="shared" si="1"/>
        <v>100</v>
      </c>
      <c r="L17" s="17"/>
    </row>
    <row r="18" spans="2:12" ht="12.75" customHeight="1" outlineLevel="1" x14ac:dyDescent="0.2">
      <c r="B18" s="98" t="s">
        <v>6</v>
      </c>
      <c r="C18" s="53">
        <f>5000000</f>
        <v>5000000</v>
      </c>
      <c r="D18" s="53">
        <f>5000000</f>
        <v>5000000</v>
      </c>
      <c r="E18" s="87" t="s">
        <v>79</v>
      </c>
      <c r="F18" s="87" t="s">
        <v>79</v>
      </c>
      <c r="G18" s="87" t="s">
        <v>79</v>
      </c>
      <c r="H18" s="87" t="s">
        <v>79</v>
      </c>
      <c r="I18" s="87" t="s">
        <v>79</v>
      </c>
      <c r="J18" s="20">
        <f t="shared" si="0"/>
        <v>0.14373240265200096</v>
      </c>
      <c r="K18" s="20">
        <f t="shared" si="1"/>
        <v>100</v>
      </c>
      <c r="L18" s="17"/>
    </row>
    <row r="19" spans="2:12" ht="33.75" outlineLevel="1" x14ac:dyDescent="0.2">
      <c r="B19" s="96" t="s">
        <v>10</v>
      </c>
      <c r="C19" s="53">
        <f>13715</f>
        <v>13715</v>
      </c>
      <c r="D19" s="53">
        <f>0</f>
        <v>0</v>
      </c>
      <c r="E19" s="87" t="s">
        <v>79</v>
      </c>
      <c r="F19" s="87" t="s">
        <v>79</v>
      </c>
      <c r="G19" s="87" t="s">
        <v>79</v>
      </c>
      <c r="H19" s="87" t="s">
        <v>79</v>
      </c>
      <c r="I19" s="87" t="s">
        <v>79</v>
      </c>
      <c r="J19" s="20">
        <f t="shared" si="0"/>
        <v>0</v>
      </c>
      <c r="K19" s="20">
        <f t="shared" si="1"/>
        <v>0</v>
      </c>
      <c r="L19" s="17"/>
    </row>
    <row r="20" spans="2:12" ht="12.75" customHeight="1" outlineLevel="1" x14ac:dyDescent="0.2">
      <c r="B20" s="98" t="s">
        <v>6</v>
      </c>
      <c r="C20" s="53">
        <f>0</f>
        <v>0</v>
      </c>
      <c r="D20" s="53">
        <f>0</f>
        <v>0</v>
      </c>
      <c r="E20" s="87" t="s">
        <v>79</v>
      </c>
      <c r="F20" s="87" t="s">
        <v>79</v>
      </c>
      <c r="G20" s="87" t="s">
        <v>79</v>
      </c>
      <c r="H20" s="87" t="s">
        <v>79</v>
      </c>
      <c r="I20" s="87" t="s">
        <v>79</v>
      </c>
      <c r="J20" s="20">
        <f t="shared" si="0"/>
        <v>0</v>
      </c>
      <c r="K20" s="20" t="str">
        <f t="shared" si="1"/>
        <v/>
      </c>
      <c r="L20" s="17"/>
    </row>
    <row r="21" spans="2:12" ht="22.5" outlineLevel="1" x14ac:dyDescent="0.2">
      <c r="B21" s="99" t="s">
        <v>11</v>
      </c>
      <c r="C21" s="53">
        <f>32146230.76</f>
        <v>32146230.760000002</v>
      </c>
      <c r="D21" s="53">
        <f>24103778.84</f>
        <v>24103778.84</v>
      </c>
      <c r="E21" s="87" t="s">
        <v>79</v>
      </c>
      <c r="F21" s="87" t="s">
        <v>79</v>
      </c>
      <c r="G21" s="87" t="s">
        <v>79</v>
      </c>
      <c r="H21" s="87" t="s">
        <v>79</v>
      </c>
      <c r="I21" s="87" t="s">
        <v>79</v>
      </c>
      <c r="J21" s="20">
        <f t="shared" si="0"/>
        <v>0.69289880913313207</v>
      </c>
      <c r="K21" s="20">
        <f t="shared" si="1"/>
        <v>74.98166432001311</v>
      </c>
      <c r="L21" s="17"/>
    </row>
    <row r="22" spans="2:12" ht="12.75" customHeight="1" outlineLevel="1" x14ac:dyDescent="0.2">
      <c r="B22" s="98" t="s">
        <v>6</v>
      </c>
      <c r="C22" s="53">
        <f>1008263.64</f>
        <v>1008263.64</v>
      </c>
      <c r="D22" s="53">
        <f>988263.64</f>
        <v>988263.64</v>
      </c>
      <c r="E22" s="87" t="s">
        <v>79</v>
      </c>
      <c r="F22" s="87" t="s">
        <v>79</v>
      </c>
      <c r="G22" s="87" t="s">
        <v>79</v>
      </c>
      <c r="H22" s="87" t="s">
        <v>79</v>
      </c>
      <c r="I22" s="87" t="s">
        <v>79</v>
      </c>
      <c r="J22" s="20">
        <f t="shared" si="0"/>
        <v>2.8409101486162422E-2</v>
      </c>
      <c r="K22" s="20">
        <f t="shared" si="1"/>
        <v>98.016391823868602</v>
      </c>
      <c r="L22" s="17"/>
    </row>
    <row r="23" spans="2:12" ht="34.5" customHeight="1" outlineLevel="1" x14ac:dyDescent="0.2">
      <c r="B23" s="99" t="s">
        <v>41</v>
      </c>
      <c r="C23" s="53">
        <f>11255735.69</f>
        <v>11255735.689999999</v>
      </c>
      <c r="D23" s="53">
        <f>7125095.74</f>
        <v>7125095.7400000002</v>
      </c>
      <c r="E23" s="87" t="s">
        <v>79</v>
      </c>
      <c r="F23" s="87" t="s">
        <v>79</v>
      </c>
      <c r="G23" s="87" t="s">
        <v>79</v>
      </c>
      <c r="H23" s="87" t="s">
        <v>79</v>
      </c>
      <c r="I23" s="87" t="s">
        <v>79</v>
      </c>
      <c r="J23" s="20">
        <f t="shared" si="0"/>
        <v>0.20482142596714734</v>
      </c>
      <c r="K23" s="20">
        <f t="shared" si="1"/>
        <v>63.301910565741089</v>
      </c>
      <c r="L23" s="17"/>
    </row>
    <row r="24" spans="2:12" ht="12.75" customHeight="1" outlineLevel="1" x14ac:dyDescent="0.2">
      <c r="B24" s="98" t="s">
        <v>6</v>
      </c>
      <c r="C24" s="53">
        <f>10471962.69</f>
        <v>10471962.689999999</v>
      </c>
      <c r="D24" s="53">
        <f>6587822.26</f>
        <v>6587822.2599999998</v>
      </c>
      <c r="E24" s="87" t="s">
        <v>79</v>
      </c>
      <c r="F24" s="87" t="s">
        <v>79</v>
      </c>
      <c r="G24" s="87" t="s">
        <v>79</v>
      </c>
      <c r="H24" s="87" t="s">
        <v>79</v>
      </c>
      <c r="I24" s="87" t="s">
        <v>79</v>
      </c>
      <c r="J24" s="20">
        <f t="shared" si="0"/>
        <v>0.18937670433482698</v>
      </c>
      <c r="K24" s="20">
        <f t="shared" si="1"/>
        <v>62.909145639822754</v>
      </c>
      <c r="L24" s="17"/>
    </row>
    <row r="25" spans="2:12" ht="12.75" customHeight="1" outlineLevel="1" x14ac:dyDescent="0.2">
      <c r="B25" s="96" t="s">
        <v>8</v>
      </c>
      <c r="C25" s="53">
        <f>2320787</f>
        <v>2320787</v>
      </c>
      <c r="D25" s="53">
        <f>647130</f>
        <v>647130</v>
      </c>
      <c r="E25" s="87" t="s">
        <v>79</v>
      </c>
      <c r="F25" s="87" t="s">
        <v>79</v>
      </c>
      <c r="G25" s="87" t="s">
        <v>79</v>
      </c>
      <c r="H25" s="87" t="s">
        <v>79</v>
      </c>
      <c r="I25" s="87" t="s">
        <v>79</v>
      </c>
      <c r="J25" s="20">
        <f t="shared" si="0"/>
        <v>1.8602709945637876E-2</v>
      </c>
      <c r="K25" s="20">
        <f t="shared" si="1"/>
        <v>27.884075531274519</v>
      </c>
      <c r="L25" s="17"/>
    </row>
    <row r="26" spans="2:12" ht="12.75" customHeight="1" outlineLevel="1" x14ac:dyDescent="0.2">
      <c r="B26" s="98" t="s">
        <v>6</v>
      </c>
      <c r="C26" s="53">
        <f>2261297</f>
        <v>2261297</v>
      </c>
      <c r="D26" s="53">
        <f>587640</f>
        <v>587640</v>
      </c>
      <c r="E26" s="87" t="s">
        <v>79</v>
      </c>
      <c r="F26" s="87" t="s">
        <v>79</v>
      </c>
      <c r="G26" s="87" t="s">
        <v>79</v>
      </c>
      <c r="H26" s="87" t="s">
        <v>79</v>
      </c>
      <c r="I26" s="87" t="s">
        <v>79</v>
      </c>
      <c r="J26" s="20">
        <f t="shared" si="0"/>
        <v>1.6892581818884367E-2</v>
      </c>
      <c r="K26" s="20">
        <f t="shared" si="1"/>
        <v>25.986856215702758</v>
      </c>
      <c r="L26" s="17"/>
    </row>
    <row r="27" spans="2:12" ht="67.5" outlineLevel="1" x14ac:dyDescent="0.2">
      <c r="B27" s="100" t="s">
        <v>70</v>
      </c>
      <c r="C27" s="53">
        <f>619000</f>
        <v>619000</v>
      </c>
      <c r="D27" s="53">
        <f>215792</f>
        <v>215792</v>
      </c>
      <c r="E27" s="87" t="s">
        <v>79</v>
      </c>
      <c r="F27" s="87" t="s">
        <v>79</v>
      </c>
      <c r="G27" s="87" t="s">
        <v>79</v>
      </c>
      <c r="H27" s="87" t="s">
        <v>79</v>
      </c>
      <c r="I27" s="87" t="s">
        <v>79</v>
      </c>
      <c r="J27" s="20">
        <f t="shared" si="0"/>
        <v>6.2032605266161183E-3</v>
      </c>
      <c r="K27" s="20">
        <f t="shared" si="1"/>
        <v>34.861389337641356</v>
      </c>
      <c r="L27" s="17"/>
    </row>
    <row r="28" spans="2:12" ht="12.75" customHeight="1" outlineLevel="1" x14ac:dyDescent="0.2">
      <c r="B28" s="98" t="s">
        <v>71</v>
      </c>
      <c r="C28" s="53">
        <f>0</f>
        <v>0</v>
      </c>
      <c r="D28" s="53">
        <f>0</f>
        <v>0</v>
      </c>
      <c r="E28" s="87" t="s">
        <v>79</v>
      </c>
      <c r="F28" s="87" t="s">
        <v>79</v>
      </c>
      <c r="G28" s="87" t="s">
        <v>79</v>
      </c>
      <c r="H28" s="87" t="s">
        <v>79</v>
      </c>
      <c r="I28" s="87" t="s">
        <v>79</v>
      </c>
      <c r="J28" s="20">
        <f t="shared" si="0"/>
        <v>0</v>
      </c>
      <c r="K28" s="20" t="str">
        <f t="shared" si="1"/>
        <v/>
      </c>
      <c r="L28" s="17"/>
    </row>
    <row r="29" spans="2:12" ht="45" outlineLevel="1" x14ac:dyDescent="0.2">
      <c r="B29" s="100" t="s">
        <v>67</v>
      </c>
      <c r="C29" s="53">
        <f>592443578.94</f>
        <v>592443578.94000006</v>
      </c>
      <c r="D29" s="53">
        <f>220343524.65</f>
        <v>220343524.65000001</v>
      </c>
      <c r="E29" s="87" t="s">
        <v>79</v>
      </c>
      <c r="F29" s="87" t="s">
        <v>79</v>
      </c>
      <c r="G29" s="87" t="s">
        <v>79</v>
      </c>
      <c r="H29" s="87" t="s">
        <v>79</v>
      </c>
      <c r="I29" s="87" t="s">
        <v>79</v>
      </c>
      <c r="J29" s="66">
        <f t="shared" si="0"/>
        <v>6.3341008413509794</v>
      </c>
      <c r="K29" s="66">
        <f t="shared" si="1"/>
        <v>37.192322186061766</v>
      </c>
      <c r="L29" s="17"/>
    </row>
    <row r="30" spans="2:12" ht="12.75" customHeight="1" outlineLevel="1" x14ac:dyDescent="0.2">
      <c r="B30" s="98" t="s">
        <v>6</v>
      </c>
      <c r="C30" s="53">
        <f>592443578.94</f>
        <v>592443578.94000006</v>
      </c>
      <c r="D30" s="53">
        <f>220343524.65</f>
        <v>220343524.65000001</v>
      </c>
      <c r="E30" s="87" t="s">
        <v>79</v>
      </c>
      <c r="F30" s="87" t="s">
        <v>79</v>
      </c>
      <c r="G30" s="87" t="s">
        <v>79</v>
      </c>
      <c r="H30" s="87" t="s">
        <v>79</v>
      </c>
      <c r="I30" s="87" t="s">
        <v>79</v>
      </c>
      <c r="J30" s="20">
        <f t="shared" si="0"/>
        <v>6.3341008413509794</v>
      </c>
      <c r="K30" s="20">
        <f t="shared" si="1"/>
        <v>37.192322186061766</v>
      </c>
      <c r="L30" s="17"/>
    </row>
    <row r="31" spans="2:12" ht="22.5" outlineLevel="1" x14ac:dyDescent="0.2">
      <c r="B31" s="100" t="s">
        <v>86</v>
      </c>
      <c r="C31" s="53">
        <f>0</f>
        <v>0</v>
      </c>
      <c r="D31" s="53">
        <f>0</f>
        <v>0</v>
      </c>
      <c r="E31" s="87" t="s">
        <v>79</v>
      </c>
      <c r="F31" s="87" t="s">
        <v>79</v>
      </c>
      <c r="G31" s="87" t="s">
        <v>79</v>
      </c>
      <c r="H31" s="87" t="s">
        <v>79</v>
      </c>
      <c r="I31" s="87" t="s">
        <v>79</v>
      </c>
      <c r="J31" s="20">
        <f t="shared" si="0"/>
        <v>0</v>
      </c>
      <c r="K31" s="20" t="str">
        <f t="shared" si="1"/>
        <v/>
      </c>
      <c r="L31" s="17"/>
    </row>
    <row r="32" spans="2:12" ht="12.75" customHeight="1" outlineLevel="1" x14ac:dyDescent="0.2">
      <c r="B32" s="98" t="s">
        <v>6</v>
      </c>
      <c r="C32" s="53">
        <f>0</f>
        <v>0</v>
      </c>
      <c r="D32" s="53">
        <f>0</f>
        <v>0</v>
      </c>
      <c r="E32" s="87" t="s">
        <v>79</v>
      </c>
      <c r="F32" s="87" t="s">
        <v>79</v>
      </c>
      <c r="G32" s="87" t="s">
        <v>79</v>
      </c>
      <c r="H32" s="87" t="s">
        <v>79</v>
      </c>
      <c r="I32" s="87" t="s">
        <v>79</v>
      </c>
      <c r="J32" s="20">
        <f t="shared" si="0"/>
        <v>0</v>
      </c>
      <c r="K32" s="20" t="str">
        <f t="shared" si="1"/>
        <v/>
      </c>
      <c r="L32" s="17"/>
    </row>
    <row r="33" spans="1:26" s="5" customFormat="1" ht="13.5" customHeight="1" outlineLevel="1" x14ac:dyDescent="0.2">
      <c r="A33" s="2"/>
      <c r="B33" s="97" t="s">
        <v>39</v>
      </c>
      <c r="C33" s="53">
        <f>341915.82</f>
        <v>341915.82</v>
      </c>
      <c r="D33" s="53">
        <f>173924.54</f>
        <v>173924.54</v>
      </c>
      <c r="E33" s="86" t="s">
        <v>79</v>
      </c>
      <c r="F33" s="86" t="s">
        <v>79</v>
      </c>
      <c r="G33" s="86" t="s">
        <v>79</v>
      </c>
      <c r="H33" s="86" t="s">
        <v>79</v>
      </c>
      <c r="I33" s="86" t="s">
        <v>79</v>
      </c>
      <c r="J33" s="19">
        <f t="shared" si="0"/>
        <v>4.9997184028688088E-3</v>
      </c>
      <c r="K33" s="19">
        <f t="shared" si="1"/>
        <v>50.867649236002009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1" t="s">
        <v>38</v>
      </c>
      <c r="C34" s="53">
        <f>88652.33</f>
        <v>88652.33</v>
      </c>
      <c r="D34" s="53">
        <f>0</f>
        <v>0</v>
      </c>
      <c r="E34" s="87" t="s">
        <v>79</v>
      </c>
      <c r="F34" s="87" t="s">
        <v>79</v>
      </c>
      <c r="G34" s="87" t="s">
        <v>79</v>
      </c>
      <c r="H34" s="87" t="s">
        <v>79</v>
      </c>
      <c r="I34" s="87" t="s">
        <v>79</v>
      </c>
      <c r="J34" s="20">
        <f t="shared" si="0"/>
        <v>0</v>
      </c>
      <c r="K34" s="20">
        <f t="shared" si="1"/>
        <v>0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">
      <c r="A35" s="2"/>
      <c r="B35" s="97" t="s">
        <v>46</v>
      </c>
      <c r="C35" s="53">
        <f>74756398.31</f>
        <v>74756398.310000002</v>
      </c>
      <c r="D35" s="53">
        <f>41066142.94</f>
        <v>41066142.939999998</v>
      </c>
      <c r="E35" s="86" t="s">
        <v>79</v>
      </c>
      <c r="F35" s="86" t="s">
        <v>79</v>
      </c>
      <c r="G35" s="86" t="s">
        <v>79</v>
      </c>
      <c r="H35" s="86" t="s">
        <v>79</v>
      </c>
      <c r="I35" s="86" t="s">
        <v>79</v>
      </c>
      <c r="J35" s="57">
        <f t="shared" si="0"/>
        <v>1.1805070784833411</v>
      </c>
      <c r="K35" s="57">
        <f t="shared" si="1"/>
        <v>54.933281790418562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">
      <c r="A36" s="2"/>
      <c r="B36" s="101" t="s">
        <v>47</v>
      </c>
      <c r="C36" s="53">
        <f>58606040.38</f>
        <v>58606040.380000003</v>
      </c>
      <c r="D36" s="53">
        <f>35916274.11</f>
        <v>35916274.109999999</v>
      </c>
      <c r="E36" s="87" t="s">
        <v>79</v>
      </c>
      <c r="F36" s="87" t="s">
        <v>79</v>
      </c>
      <c r="G36" s="87" t="s">
        <v>79</v>
      </c>
      <c r="H36" s="87" t="s">
        <v>79</v>
      </c>
      <c r="I36" s="87" t="s">
        <v>79</v>
      </c>
      <c r="J36" s="20">
        <f t="shared" si="0"/>
        <v>1.0324664744276315</v>
      </c>
      <c r="K36" s="20">
        <f t="shared" si="1"/>
        <v>61.284253085722625</v>
      </c>
      <c r="L36" s="42"/>
      <c r="M36" s="12"/>
      <c r="N36" s="12"/>
      <c r="O36" s="9"/>
      <c r="P36" s="9"/>
      <c r="Q36" s="3"/>
    </row>
    <row r="37" spans="1:26" s="5" customFormat="1" ht="8.25" customHeight="1" x14ac:dyDescent="0.2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2" t="s">
        <v>5</v>
      </c>
      <c r="C38" s="51">
        <f>+C6</f>
        <v>5019033575.9300003</v>
      </c>
      <c r="D38" s="51">
        <f>+D6</f>
        <v>3478686717.6399999</v>
      </c>
      <c r="E38" s="88" t="s">
        <v>79</v>
      </c>
      <c r="F38" s="88" t="s">
        <v>79</v>
      </c>
      <c r="G38" s="88" t="s">
        <v>79</v>
      </c>
      <c r="H38" s="88" t="s">
        <v>79</v>
      </c>
      <c r="I38" s="88" t="s">
        <v>79</v>
      </c>
      <c r="J38" s="57">
        <f t="shared" si="0"/>
        <v>100</v>
      </c>
      <c r="K38" s="57">
        <f t="shared" si="1"/>
        <v>69.309891336907782</v>
      </c>
      <c r="L38" s="42"/>
      <c r="M38" s="12"/>
      <c r="N38" s="12"/>
      <c r="O38" s="9"/>
      <c r="P38" s="9"/>
      <c r="Q38" s="3"/>
    </row>
    <row r="39" spans="1:26" s="5" customFormat="1" ht="13.5" customHeight="1" x14ac:dyDescent="0.2">
      <c r="A39" s="2"/>
      <c r="B39" s="91" t="s">
        <v>48</v>
      </c>
      <c r="C39" s="14">
        <f>882640438.49</f>
        <v>882640438.49000001</v>
      </c>
      <c r="D39" s="14">
        <f>393452879.64</f>
        <v>393452879.63999999</v>
      </c>
      <c r="E39" s="89" t="s">
        <v>79</v>
      </c>
      <c r="F39" s="89" t="s">
        <v>79</v>
      </c>
      <c r="G39" s="89" t="s">
        <v>79</v>
      </c>
      <c r="H39" s="89" t="s">
        <v>79</v>
      </c>
      <c r="I39" s="89" t="s">
        <v>79</v>
      </c>
      <c r="J39" s="20">
        <f t="shared" si="0"/>
        <v>11.31038554420115</v>
      </c>
      <c r="K39" s="20">
        <f t="shared" si="1"/>
        <v>44.576801886973328</v>
      </c>
      <c r="L39" s="42"/>
      <c r="M39" s="12"/>
      <c r="N39" s="12"/>
      <c r="O39" s="9"/>
      <c r="P39" s="9"/>
      <c r="Q39" s="3"/>
    </row>
    <row r="40" spans="1:26" s="5" customFormat="1" ht="13.5" customHeight="1" x14ac:dyDescent="0.2">
      <c r="A40" s="2"/>
      <c r="B40" s="91" t="s">
        <v>49</v>
      </c>
      <c r="C40" s="14">
        <f>C38-C39</f>
        <v>4136393137.4400005</v>
      </c>
      <c r="D40" s="14">
        <f>D38-D39</f>
        <v>3085233838</v>
      </c>
      <c r="E40" s="89" t="s">
        <v>79</v>
      </c>
      <c r="F40" s="89" t="s">
        <v>79</v>
      </c>
      <c r="G40" s="89" t="s">
        <v>79</v>
      </c>
      <c r="H40" s="89" t="s">
        <v>79</v>
      </c>
      <c r="I40" s="89" t="s">
        <v>79</v>
      </c>
      <c r="J40" s="20">
        <f t="shared" si="0"/>
        <v>88.689614455798861</v>
      </c>
      <c r="K40" s="20">
        <f t="shared" si="1"/>
        <v>74.587538840890758</v>
      </c>
      <c r="L40" s="42"/>
      <c r="M40" s="12"/>
      <c r="N40" s="12"/>
      <c r="O40" s="9"/>
      <c r="P40" s="9"/>
      <c r="Q40" s="3"/>
    </row>
    <row r="41" spans="1:26" s="5" customFormat="1" x14ac:dyDescent="0.2">
      <c r="A41" s="2"/>
      <c r="B41" s="117" t="s">
        <v>87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">
      <c r="B42" s="112" t="str">
        <f>CONCATENATE("Informacja z wykonania budżetów związków jednostek samorządu terytorialnego za ",$D$96," ",$C$97," rok        ",$C$99,"")</f>
        <v>Informacja z wykonania budżetów związków jednostek samorządu terytorialnego za III Kwartały 2024 rok        =""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">
      <c r="B44" s="119" t="s">
        <v>0</v>
      </c>
      <c r="C44" s="135" t="s">
        <v>50</v>
      </c>
      <c r="D44" s="135" t="s">
        <v>52</v>
      </c>
      <c r="E44" s="135" t="s">
        <v>51</v>
      </c>
      <c r="F44" s="135" t="s">
        <v>12</v>
      </c>
      <c r="G44" s="135"/>
      <c r="H44" s="135"/>
      <c r="I44" s="150" t="s">
        <v>53</v>
      </c>
      <c r="J44" s="135" t="s">
        <v>2</v>
      </c>
      <c r="K44" s="149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">
      <c r="B45" s="119"/>
      <c r="C45" s="135"/>
      <c r="D45" s="135"/>
      <c r="E45" s="121"/>
      <c r="F45" s="120" t="s">
        <v>54</v>
      </c>
      <c r="G45" s="137" t="s">
        <v>23</v>
      </c>
      <c r="H45" s="121"/>
      <c r="I45" s="151"/>
      <c r="J45" s="135"/>
      <c r="K45" s="149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">
      <c r="B46" s="119"/>
      <c r="C46" s="135"/>
      <c r="D46" s="135"/>
      <c r="E46" s="121"/>
      <c r="F46" s="121"/>
      <c r="G46" s="38" t="s">
        <v>55</v>
      </c>
      <c r="H46" s="38" t="s">
        <v>56</v>
      </c>
      <c r="I46" s="152"/>
      <c r="J46" s="135"/>
      <c r="K46" s="149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B47" s="119"/>
      <c r="C47" s="125" t="s">
        <v>40</v>
      </c>
      <c r="D47" s="126"/>
      <c r="E47" s="126"/>
      <c r="F47" s="126"/>
      <c r="G47" s="126"/>
      <c r="H47" s="126"/>
      <c r="I47" s="127"/>
      <c r="J47" s="134" t="s">
        <v>4</v>
      </c>
      <c r="K47" s="134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">
      <c r="B49" s="93" t="s">
        <v>29</v>
      </c>
      <c r="C49" s="58">
        <f>5518315200.18</f>
        <v>5518315200.1800003</v>
      </c>
      <c r="D49" s="68">
        <f>3380852440.83</f>
        <v>3380852440.8299999</v>
      </c>
      <c r="E49" s="68">
        <f>4208242353.72</f>
        <v>4208242353.7199998</v>
      </c>
      <c r="F49" s="58">
        <f>268606872.85</f>
        <v>268606872.85000002</v>
      </c>
      <c r="G49" s="58">
        <f>25561.26</f>
        <v>25561.26</v>
      </c>
      <c r="H49" s="58">
        <f>0</f>
        <v>0</v>
      </c>
      <c r="I49" s="77">
        <f>0</f>
        <v>0</v>
      </c>
      <c r="J49" s="34">
        <f>IF($D$49=0,"",100*$D49/$D$49)</f>
        <v>100</v>
      </c>
      <c r="K49" s="34">
        <f>IF(C49=0,"",100*D49/C49)</f>
        <v>61.266026281349802</v>
      </c>
      <c r="L49" s="22"/>
      <c r="M49" s="74"/>
    </row>
    <row r="50" spans="2:16" x14ac:dyDescent="0.2">
      <c r="B50" s="94" t="s">
        <v>14</v>
      </c>
      <c r="C50" s="16">
        <f>1341757125.02</f>
        <v>1341757125.02</v>
      </c>
      <c r="D50" s="16">
        <f>499604300.38</f>
        <v>499604300.38</v>
      </c>
      <c r="E50" s="16">
        <f>811405415.43</f>
        <v>811405415.42999995</v>
      </c>
      <c r="F50" s="16">
        <f>30328401.86</f>
        <v>30328401.859999999</v>
      </c>
      <c r="G50" s="16">
        <f>0</f>
        <v>0</v>
      </c>
      <c r="H50" s="16">
        <f>0</f>
        <v>0</v>
      </c>
      <c r="I50" s="78">
        <f>0</f>
        <v>0</v>
      </c>
      <c r="J50" s="34">
        <f t="shared" ref="J50:J58" si="3">IF($D$49=0,"",100*$D50/$D$49)</f>
        <v>14.777465421038816</v>
      </c>
      <c r="K50" s="34">
        <f t="shared" ref="K50:K58" si="4">IF(C50=0,"",100*D50/C50)</f>
        <v>37.23507712862363</v>
      </c>
      <c r="L50" s="22"/>
      <c r="M50" s="76"/>
    </row>
    <row r="51" spans="2:16" ht="12.75" customHeight="1" outlineLevel="1" x14ac:dyDescent="0.2">
      <c r="B51" s="56" t="s">
        <v>13</v>
      </c>
      <c r="C51" s="53">
        <f>1319343085.96</f>
        <v>1319343085.96</v>
      </c>
      <c r="D51" s="53">
        <f>497480300.38</f>
        <v>497480300.38</v>
      </c>
      <c r="E51" s="53">
        <f>809219535.43</f>
        <v>809219535.42999995</v>
      </c>
      <c r="F51" s="53">
        <f>30328401.86</f>
        <v>30328401.859999999</v>
      </c>
      <c r="G51" s="53">
        <f>0</f>
        <v>0</v>
      </c>
      <c r="H51" s="53">
        <f>0</f>
        <v>0</v>
      </c>
      <c r="I51" s="79">
        <f>0</f>
        <v>0</v>
      </c>
      <c r="J51" s="34">
        <f t="shared" si="3"/>
        <v>14.714641028753935</v>
      </c>
      <c r="K51" s="34">
        <f t="shared" si="4"/>
        <v>37.706666724828139</v>
      </c>
      <c r="L51" s="22"/>
      <c r="M51" s="75"/>
    </row>
    <row r="52" spans="2:16" ht="27" customHeight="1" x14ac:dyDescent="0.2">
      <c r="B52" s="95" t="s">
        <v>30</v>
      </c>
      <c r="C52" s="59">
        <f t="shared" ref="C52:I52" si="5">C49-C50</f>
        <v>4176558075.1600003</v>
      </c>
      <c r="D52" s="67">
        <f>D49-D50</f>
        <v>2881248140.4499998</v>
      </c>
      <c r="E52" s="67">
        <f>E49-E50</f>
        <v>3396836938.29</v>
      </c>
      <c r="F52" s="59">
        <f t="shared" si="5"/>
        <v>238278470.99000001</v>
      </c>
      <c r="G52" s="59">
        <f t="shared" si="5"/>
        <v>25561.26</v>
      </c>
      <c r="H52" s="59">
        <f t="shared" si="5"/>
        <v>0</v>
      </c>
      <c r="I52" s="78">
        <f t="shared" si="5"/>
        <v>0</v>
      </c>
      <c r="J52" s="34">
        <f t="shared" si="3"/>
        <v>85.222534578961188</v>
      </c>
      <c r="K52" s="34">
        <f t="shared" si="4"/>
        <v>68.986186438689032</v>
      </c>
      <c r="L52" s="22"/>
      <c r="M52" s="76"/>
    </row>
    <row r="53" spans="2:16" ht="22.5" outlineLevel="1" x14ac:dyDescent="0.2">
      <c r="B53" s="56" t="s">
        <v>72</v>
      </c>
      <c r="C53" s="53">
        <f>323693596.8</f>
        <v>323693596.80000001</v>
      </c>
      <c r="D53" s="53">
        <f>211734914.07</f>
        <v>211734914.06999999</v>
      </c>
      <c r="E53" s="53">
        <f>276004689.96</f>
        <v>276004689.95999998</v>
      </c>
      <c r="F53" s="53">
        <f>9369385.67</f>
        <v>9369385.6699999999</v>
      </c>
      <c r="G53" s="53">
        <f>0</f>
        <v>0</v>
      </c>
      <c r="H53" s="53">
        <f>0</f>
        <v>0</v>
      </c>
      <c r="I53" s="79">
        <f>0</f>
        <v>0</v>
      </c>
      <c r="J53" s="34">
        <f t="shared" si="3"/>
        <v>6.2627670913084579</v>
      </c>
      <c r="K53" s="34">
        <f t="shared" si="4"/>
        <v>65.412141655932814</v>
      </c>
      <c r="L53" s="22"/>
      <c r="M53" s="75"/>
    </row>
    <row r="54" spans="2:16" ht="12.75" customHeight="1" outlineLevel="1" x14ac:dyDescent="0.2">
      <c r="B54" s="56" t="s">
        <v>26</v>
      </c>
      <c r="C54" s="61">
        <f>146323803.44</f>
        <v>146323803.44</v>
      </c>
      <c r="D54" s="61">
        <f>124348794.84</f>
        <v>124348794.84</v>
      </c>
      <c r="E54" s="61">
        <f>140148594.59</f>
        <v>140148594.59</v>
      </c>
      <c r="F54" s="61">
        <f>787343.55</f>
        <v>787343.55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3.6780308225895935</v>
      </c>
      <c r="K54" s="34">
        <f t="shared" si="4"/>
        <v>84.981931795525782</v>
      </c>
      <c r="L54" s="22"/>
      <c r="M54" s="75"/>
    </row>
    <row r="55" spans="2:16" ht="12.75" customHeight="1" outlineLevel="1" x14ac:dyDescent="0.2">
      <c r="B55" s="56" t="s">
        <v>25</v>
      </c>
      <c r="C55" s="53">
        <f>23932064.94</f>
        <v>23932064.940000001</v>
      </c>
      <c r="D55" s="53">
        <f>13625430.54</f>
        <v>13625430.539999999</v>
      </c>
      <c r="E55" s="53">
        <f>17421978.45</f>
        <v>17421978.449999999</v>
      </c>
      <c r="F55" s="53">
        <f>2636658.18</f>
        <v>2636658.1800000002</v>
      </c>
      <c r="G55" s="53">
        <f>0</f>
        <v>0</v>
      </c>
      <c r="H55" s="53">
        <f>0</f>
        <v>0</v>
      </c>
      <c r="I55" s="79">
        <f>0</f>
        <v>0</v>
      </c>
      <c r="J55" s="34">
        <f t="shared" si="3"/>
        <v>0.40301760512963869</v>
      </c>
      <c r="K55" s="34">
        <f t="shared" si="4"/>
        <v>56.933785589167798</v>
      </c>
      <c r="L55" s="22"/>
      <c r="M55" s="75"/>
    </row>
    <row r="56" spans="2:16" ht="22.5" customHeight="1" outlineLevel="1" x14ac:dyDescent="0.2">
      <c r="B56" s="56" t="s">
        <v>36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ht="22.5" outlineLevel="1" x14ac:dyDescent="0.2">
      <c r="B57" s="56" t="s">
        <v>37</v>
      </c>
      <c r="C57" s="61">
        <f>2842916.9</f>
        <v>2842916.9</v>
      </c>
      <c r="D57" s="61">
        <f>1101742.35</f>
        <v>1101742.3500000001</v>
      </c>
      <c r="E57" s="61">
        <f>1526301.64</f>
        <v>1526301.64</v>
      </c>
      <c r="F57" s="61">
        <f>36035.84</f>
        <v>36035.839999999997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3.258770884805378E-2</v>
      </c>
      <c r="K57" s="34">
        <f t="shared" si="4"/>
        <v>38.75394141840728</v>
      </c>
      <c r="L57" s="22"/>
      <c r="M57" s="75"/>
    </row>
    <row r="58" spans="2:16" ht="12.75" customHeight="1" outlineLevel="1" x14ac:dyDescent="0.2">
      <c r="B58" s="56" t="s">
        <v>24</v>
      </c>
      <c r="C58" s="53">
        <f t="shared" ref="C58:I58" si="6">C52-C53-C54-C55-C56-C57</f>
        <v>3679765693.0799999</v>
      </c>
      <c r="D58" s="53">
        <f>D52-D53-D54-D55-D56-D57</f>
        <v>2530437258.6499996</v>
      </c>
      <c r="E58" s="71">
        <f>E52-E53-E54-E55-E56-E57</f>
        <v>2961735373.6500001</v>
      </c>
      <c r="F58" s="71">
        <f t="shared" si="6"/>
        <v>225449047.75</v>
      </c>
      <c r="G58" s="71">
        <f t="shared" si="6"/>
        <v>25561.26</v>
      </c>
      <c r="H58" s="71">
        <f t="shared" si="6"/>
        <v>0</v>
      </c>
      <c r="I58" s="82">
        <f t="shared" si="6"/>
        <v>0</v>
      </c>
      <c r="J58" s="34">
        <f t="shared" si="3"/>
        <v>74.846131351085432</v>
      </c>
      <c r="K58" s="34">
        <f t="shared" si="4"/>
        <v>68.76626040099849</v>
      </c>
      <c r="L58" s="22"/>
      <c r="M58" s="75"/>
    </row>
    <row r="59" spans="2:16" x14ac:dyDescent="0.2">
      <c r="B59" s="93" t="s">
        <v>15</v>
      </c>
      <c r="C59" s="59">
        <f>C6-C49</f>
        <v>-499281624.25</v>
      </c>
      <c r="D59" s="67">
        <f>D6-D49</f>
        <v>97834276.809999943</v>
      </c>
      <c r="E59" s="72"/>
      <c r="F59" s="73"/>
      <c r="G59" s="73"/>
      <c r="H59" s="73"/>
      <c r="I59" s="136"/>
      <c r="J59" s="136"/>
      <c r="K59" s="62"/>
      <c r="L59" s="62"/>
      <c r="M59" s="43"/>
    </row>
    <row r="60" spans="2:16" ht="7.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">
      <c r="B61" s="112" t="str">
        <f>CONCATENATE("Informacja z wykonania budżetów związków jednostek samorządu terytorialnego za ",$D$96," ",$C$97," rok        ",$C$99,"")</f>
        <v>Informacja z wykonania budżetów związków jednostek samorządu terytorialnego za III Kwartały 2024 rok        =""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">
      <c r="B62" s="46" t="s">
        <v>16</v>
      </c>
      <c r="C62" s="69" t="s">
        <v>17</v>
      </c>
      <c r="D62" s="69" t="s">
        <v>1</v>
      </c>
      <c r="E62" s="140" t="s">
        <v>79</v>
      </c>
      <c r="F62" s="141"/>
      <c r="G62" s="141"/>
      <c r="H62" s="141"/>
      <c r="I62" s="142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">
      <c r="B63" s="46"/>
      <c r="C63" s="120" t="s">
        <v>40</v>
      </c>
      <c r="D63" s="122"/>
      <c r="E63" s="143"/>
      <c r="F63" s="144"/>
      <c r="G63" s="144"/>
      <c r="H63" s="144"/>
      <c r="I63" s="145"/>
      <c r="J63" s="153" t="s">
        <v>4</v>
      </c>
      <c r="K63" s="154"/>
      <c r="L63" s="37"/>
      <c r="M63" s="37"/>
      <c r="N63" s="37"/>
      <c r="O63" s="37"/>
      <c r="P63" s="37"/>
    </row>
    <row r="64" spans="2:16" x14ac:dyDescent="0.2">
      <c r="B64" s="47">
        <v>1</v>
      </c>
      <c r="C64" s="48">
        <v>2</v>
      </c>
      <c r="D64" s="48">
        <v>3</v>
      </c>
      <c r="E64" s="146"/>
      <c r="F64" s="147"/>
      <c r="G64" s="147"/>
      <c r="H64" s="147"/>
      <c r="I64" s="148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">
      <c r="B65" s="106" t="s">
        <v>31</v>
      </c>
      <c r="C65" s="27">
        <f>557579864.95</f>
        <v>557579864.95000005</v>
      </c>
      <c r="D65" s="27">
        <f>1100722519.88</f>
        <v>1100722519.8800001</v>
      </c>
      <c r="E65" s="102" t="s">
        <v>79</v>
      </c>
      <c r="F65" s="102" t="s">
        <v>79</v>
      </c>
      <c r="G65" s="102" t="s">
        <v>79</v>
      </c>
      <c r="H65" s="102" t="s">
        <v>79</v>
      </c>
      <c r="I65" s="102" t="s">
        <v>79</v>
      </c>
      <c r="J65" s="25">
        <f>IF($D$65=0,"",100*$D65/$D$65)</f>
        <v>100</v>
      </c>
      <c r="K65" s="21">
        <f t="shared" ref="K65:K79" si="7">IF(C65=0,"",100*D65/C65)</f>
        <v>197.41073684192406</v>
      </c>
      <c r="L65" s="37"/>
      <c r="M65" s="37"/>
      <c r="N65" s="37"/>
      <c r="O65" s="37"/>
      <c r="P65" s="37"/>
    </row>
    <row r="66" spans="2:16" ht="22.5" x14ac:dyDescent="0.2">
      <c r="B66" s="108" t="s">
        <v>60</v>
      </c>
      <c r="C66" s="28">
        <f>40868812.12</f>
        <v>40868812.119999997</v>
      </c>
      <c r="D66" s="28">
        <f>26276667.36</f>
        <v>26276667.359999999</v>
      </c>
      <c r="E66" s="103" t="s">
        <v>79</v>
      </c>
      <c r="F66" s="103" t="s">
        <v>79</v>
      </c>
      <c r="G66" s="103" t="s">
        <v>79</v>
      </c>
      <c r="H66" s="103" t="s">
        <v>79</v>
      </c>
      <c r="I66" s="103" t="s">
        <v>79</v>
      </c>
      <c r="J66" s="32">
        <f t="shared" ref="J66:J75" si="8">IF($D$65=0,"",100*$D66/$D$65)</f>
        <v>2.3872199292210956</v>
      </c>
      <c r="K66" s="33">
        <f t="shared" si="7"/>
        <v>64.295158084961741</v>
      </c>
      <c r="L66" s="37"/>
      <c r="M66" s="37"/>
      <c r="N66" s="37"/>
      <c r="O66" s="37"/>
      <c r="P66" s="37"/>
    </row>
    <row r="67" spans="2:16" ht="22.5" x14ac:dyDescent="0.2">
      <c r="B67" s="109" t="s">
        <v>61</v>
      </c>
      <c r="C67" s="64">
        <f>20000000</f>
        <v>20000000</v>
      </c>
      <c r="D67" s="64">
        <f>20000000</f>
        <v>20000000</v>
      </c>
      <c r="E67" s="103" t="s">
        <v>79</v>
      </c>
      <c r="F67" s="103" t="s">
        <v>79</v>
      </c>
      <c r="G67" s="103" t="s">
        <v>79</v>
      </c>
      <c r="H67" s="103" t="s">
        <v>79</v>
      </c>
      <c r="I67" s="103" t="s">
        <v>79</v>
      </c>
      <c r="J67" s="65">
        <f t="shared" si="8"/>
        <v>1.8169883543565897</v>
      </c>
      <c r="K67" s="60">
        <f t="shared" si="7"/>
        <v>100</v>
      </c>
      <c r="L67" s="37"/>
      <c r="M67" s="37"/>
      <c r="N67" s="37"/>
      <c r="O67" s="37"/>
      <c r="P67" s="37"/>
    </row>
    <row r="68" spans="2:16" ht="12.75" customHeight="1" x14ac:dyDescent="0.2">
      <c r="B68" s="63" t="s">
        <v>62</v>
      </c>
      <c r="C68" s="64">
        <f>750000</f>
        <v>750000</v>
      </c>
      <c r="D68" s="64">
        <f>0</f>
        <v>0</v>
      </c>
      <c r="E68" s="103" t="s">
        <v>79</v>
      </c>
      <c r="F68" s="103" t="s">
        <v>79</v>
      </c>
      <c r="G68" s="103" t="s">
        <v>79</v>
      </c>
      <c r="H68" s="103" t="s">
        <v>79</v>
      </c>
      <c r="I68" s="103" t="s">
        <v>79</v>
      </c>
      <c r="J68" s="65">
        <f t="shared" si="8"/>
        <v>0</v>
      </c>
      <c r="K68" s="60">
        <f t="shared" si="7"/>
        <v>0</v>
      </c>
      <c r="L68" s="37"/>
      <c r="M68" s="37"/>
      <c r="N68" s="37"/>
      <c r="O68" s="37"/>
      <c r="P68" s="37"/>
    </row>
    <row r="69" spans="2:16" ht="56.25" x14ac:dyDescent="0.2">
      <c r="B69" s="63" t="s">
        <v>73</v>
      </c>
      <c r="C69" s="64">
        <f>432422320.02</f>
        <v>432422320.01999998</v>
      </c>
      <c r="D69" s="64">
        <f>930796995.72</f>
        <v>930796995.72000003</v>
      </c>
      <c r="E69" s="103" t="s">
        <v>79</v>
      </c>
      <c r="F69" s="103" t="s">
        <v>79</v>
      </c>
      <c r="G69" s="103" t="s">
        <v>79</v>
      </c>
      <c r="H69" s="103" t="s">
        <v>79</v>
      </c>
      <c r="I69" s="103" t="s">
        <v>79</v>
      </c>
      <c r="J69" s="65">
        <f t="shared" si="8"/>
        <v>84.562365074667028</v>
      </c>
      <c r="K69" s="60">
        <f t="shared" si="7"/>
        <v>215.25183891454762</v>
      </c>
      <c r="L69" s="37"/>
      <c r="M69" s="37"/>
      <c r="N69" s="37"/>
      <c r="O69" s="37"/>
      <c r="P69" s="37"/>
    </row>
    <row r="70" spans="2:16" ht="35.25" customHeight="1" x14ac:dyDescent="0.2">
      <c r="B70" s="63" t="s">
        <v>75</v>
      </c>
      <c r="C70" s="64">
        <f>34315119.96</f>
        <v>34315119.960000001</v>
      </c>
      <c r="D70" s="64">
        <f>73744959.51</f>
        <v>73744959.510000005</v>
      </c>
      <c r="E70" s="103" t="s">
        <v>79</v>
      </c>
      <c r="F70" s="103" t="s">
        <v>79</v>
      </c>
      <c r="G70" s="103" t="s">
        <v>79</v>
      </c>
      <c r="H70" s="103" t="s">
        <v>79</v>
      </c>
      <c r="I70" s="103" t="s">
        <v>79</v>
      </c>
      <c r="J70" s="65">
        <f t="shared" si="8"/>
        <v>6.6996866311084124</v>
      </c>
      <c r="K70" s="60">
        <f t="shared" si="7"/>
        <v>214.90514850585419</v>
      </c>
      <c r="L70" s="37"/>
      <c r="M70" s="37"/>
      <c r="N70" s="37"/>
      <c r="O70" s="37"/>
      <c r="P70" s="37"/>
    </row>
    <row r="71" spans="2:16" ht="12.75" customHeight="1" x14ac:dyDescent="0.2">
      <c r="B71" s="63" t="s">
        <v>63</v>
      </c>
      <c r="C71" s="64">
        <f>0</f>
        <v>0</v>
      </c>
      <c r="D71" s="64">
        <f>0</f>
        <v>0</v>
      </c>
      <c r="E71" s="103" t="s">
        <v>79</v>
      </c>
      <c r="F71" s="103" t="s">
        <v>79</v>
      </c>
      <c r="G71" s="103" t="s">
        <v>79</v>
      </c>
      <c r="H71" s="103" t="s">
        <v>79</v>
      </c>
      <c r="I71" s="103" t="s">
        <v>79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33.75" x14ac:dyDescent="0.2">
      <c r="B72" s="63" t="s">
        <v>64</v>
      </c>
      <c r="C72" s="64">
        <f>43125612.85</f>
        <v>43125612.850000001</v>
      </c>
      <c r="D72" s="64">
        <f>62272626.54</f>
        <v>62272626.539999999</v>
      </c>
      <c r="E72" s="103" t="s">
        <v>79</v>
      </c>
      <c r="F72" s="103" t="s">
        <v>79</v>
      </c>
      <c r="G72" s="103" t="s">
        <v>79</v>
      </c>
      <c r="H72" s="103" t="s">
        <v>79</v>
      </c>
      <c r="I72" s="103" t="s">
        <v>79</v>
      </c>
      <c r="J72" s="65">
        <f t="shared" si="8"/>
        <v>5.6574318609188543</v>
      </c>
      <c r="K72" s="60">
        <f t="shared" si="7"/>
        <v>144.39824138058597</v>
      </c>
      <c r="L72" s="37"/>
      <c r="M72" s="37"/>
      <c r="N72" s="37"/>
      <c r="O72" s="37"/>
      <c r="P72" s="37"/>
    </row>
    <row r="73" spans="2:16" ht="56.25" x14ac:dyDescent="0.2">
      <c r="B73" s="63" t="s">
        <v>90</v>
      </c>
      <c r="C73" s="64"/>
      <c r="D73" s="64">
        <f>1985234.97</f>
        <v>1985234.97</v>
      </c>
      <c r="E73" s="103" t="s">
        <v>79</v>
      </c>
      <c r="F73" s="103" t="s">
        <v>79</v>
      </c>
      <c r="G73" s="103" t="s">
        <v>79</v>
      </c>
      <c r="H73" s="103" t="s">
        <v>79</v>
      </c>
      <c r="I73" s="103" t="s">
        <v>79</v>
      </c>
      <c r="J73" s="65">
        <f t="shared" si="8"/>
        <v>0.18035744105757268</v>
      </c>
      <c r="K73" s="60" t="str">
        <f>IF(C73=0,"",100*D73/C73)</f>
        <v/>
      </c>
      <c r="L73" s="37"/>
      <c r="M73" s="37"/>
      <c r="N73" s="37"/>
      <c r="O73" s="37"/>
      <c r="P73" s="37"/>
    </row>
    <row r="74" spans="2:16" x14ac:dyDescent="0.2">
      <c r="B74" s="63" t="s">
        <v>91</v>
      </c>
      <c r="C74" s="64">
        <f>6098000</f>
        <v>6098000</v>
      </c>
      <c r="D74" s="64">
        <f>5646035.78</f>
        <v>5646035.7800000003</v>
      </c>
      <c r="E74" s="103" t="s">
        <v>79</v>
      </c>
      <c r="F74" s="103" t="s">
        <v>79</v>
      </c>
      <c r="G74" s="103" t="s">
        <v>79</v>
      </c>
      <c r="H74" s="103" t="s">
        <v>79</v>
      </c>
      <c r="I74" s="103" t="s">
        <v>79</v>
      </c>
      <c r="J74" s="65">
        <f t="shared" si="8"/>
        <v>0.51293906302703118</v>
      </c>
      <c r="K74" s="60">
        <f>IF(C74=0,"",100*D74/C74)</f>
        <v>92.588320432928825</v>
      </c>
      <c r="L74" s="37"/>
      <c r="M74" s="37"/>
      <c r="N74" s="37"/>
      <c r="O74" s="37"/>
      <c r="P74" s="37"/>
    </row>
    <row r="75" spans="2:16" ht="22.5" x14ac:dyDescent="0.2">
      <c r="B75" s="109" t="s">
        <v>92</v>
      </c>
      <c r="C75" s="64">
        <f>5948000</f>
        <v>5948000</v>
      </c>
      <c r="D75" s="64">
        <f>5500000</f>
        <v>5500000</v>
      </c>
      <c r="E75" s="103" t="s">
        <v>79</v>
      </c>
      <c r="F75" s="103" t="s">
        <v>79</v>
      </c>
      <c r="G75" s="103" t="s">
        <v>79</v>
      </c>
      <c r="H75" s="103" t="s">
        <v>79</v>
      </c>
      <c r="I75" s="103" t="s">
        <v>79</v>
      </c>
      <c r="J75" s="65">
        <f t="shared" si="8"/>
        <v>0.49967179744806217</v>
      </c>
      <c r="K75" s="60">
        <f t="shared" si="7"/>
        <v>92.468056489576327</v>
      </c>
      <c r="L75" s="37"/>
      <c r="M75" s="37"/>
      <c r="N75" s="37"/>
      <c r="O75" s="37"/>
      <c r="P75" s="37"/>
    </row>
    <row r="76" spans="2:16" ht="27" customHeight="1" x14ac:dyDescent="0.2">
      <c r="B76" s="106" t="s">
        <v>32</v>
      </c>
      <c r="C76" s="31">
        <f>58298231.99</f>
        <v>58298231.990000002</v>
      </c>
      <c r="D76" s="31">
        <f>44258231.31</f>
        <v>44258231.310000002</v>
      </c>
      <c r="E76" s="104" t="s">
        <v>79</v>
      </c>
      <c r="F76" s="104" t="s">
        <v>79</v>
      </c>
      <c r="G76" s="104" t="s">
        <v>79</v>
      </c>
      <c r="H76" s="104" t="s">
        <v>79</v>
      </c>
      <c r="I76" s="104" t="s">
        <v>79</v>
      </c>
      <c r="J76" s="25">
        <f t="shared" ref="J76:J81" si="9">IF($D$76=0,"",100*$D76/$D$76)</f>
        <v>100</v>
      </c>
      <c r="K76" s="21">
        <f t="shared" si="7"/>
        <v>75.916935727299062</v>
      </c>
      <c r="L76" s="37"/>
      <c r="M76" s="37"/>
      <c r="N76" s="37"/>
      <c r="O76" s="37"/>
      <c r="P76" s="37"/>
    </row>
    <row r="77" spans="2:16" ht="22.5" x14ac:dyDescent="0.2">
      <c r="B77" s="108" t="s">
        <v>65</v>
      </c>
      <c r="C77" s="28">
        <f>41477728.2</f>
        <v>41477728.200000003</v>
      </c>
      <c r="D77" s="30">
        <f>26117475.29</f>
        <v>26117475.289999999</v>
      </c>
      <c r="E77" s="105" t="s">
        <v>79</v>
      </c>
      <c r="F77" s="105" t="s">
        <v>79</v>
      </c>
      <c r="G77" s="105" t="s">
        <v>79</v>
      </c>
      <c r="H77" s="105" t="s">
        <v>79</v>
      </c>
      <c r="I77" s="105" t="s">
        <v>79</v>
      </c>
      <c r="J77" s="32">
        <f t="shared" si="9"/>
        <v>59.011565796798664</v>
      </c>
      <c r="K77" s="33">
        <f t="shared" si="7"/>
        <v>62.967468141131214</v>
      </c>
      <c r="L77" s="37"/>
      <c r="M77" s="37"/>
      <c r="N77" s="37"/>
      <c r="O77" s="37"/>
      <c r="P77" s="37"/>
    </row>
    <row r="78" spans="2:16" ht="12.75" customHeight="1" x14ac:dyDescent="0.2">
      <c r="B78" s="109" t="s">
        <v>66</v>
      </c>
      <c r="C78" s="64">
        <f>0</f>
        <v>0</v>
      </c>
      <c r="D78" s="64">
        <f>0</f>
        <v>0</v>
      </c>
      <c r="E78" s="105" t="s">
        <v>79</v>
      </c>
      <c r="F78" s="105" t="s">
        <v>79</v>
      </c>
      <c r="G78" s="105" t="s">
        <v>79</v>
      </c>
      <c r="H78" s="105" t="s">
        <v>79</v>
      </c>
      <c r="I78" s="105" t="s">
        <v>79</v>
      </c>
      <c r="J78" s="65">
        <f t="shared" si="9"/>
        <v>0</v>
      </c>
      <c r="K78" s="60" t="str">
        <f t="shared" si="7"/>
        <v/>
      </c>
      <c r="L78" s="37"/>
      <c r="M78" s="37"/>
      <c r="N78" s="37"/>
      <c r="O78" s="37"/>
      <c r="P78" s="37"/>
    </row>
    <row r="79" spans="2:16" ht="12.75" customHeight="1" x14ac:dyDescent="0.2">
      <c r="B79" s="63" t="s">
        <v>74</v>
      </c>
      <c r="C79" s="64">
        <f>750000</f>
        <v>750000</v>
      </c>
      <c r="D79" s="64">
        <f>0</f>
        <v>0</v>
      </c>
      <c r="E79" s="105" t="s">
        <v>79</v>
      </c>
      <c r="F79" s="105" t="s">
        <v>79</v>
      </c>
      <c r="G79" s="105" t="s">
        <v>79</v>
      </c>
      <c r="H79" s="105" t="s">
        <v>79</v>
      </c>
      <c r="I79" s="105" t="s">
        <v>79</v>
      </c>
      <c r="J79" s="65">
        <f t="shared" si="9"/>
        <v>0</v>
      </c>
      <c r="K79" s="60">
        <f t="shared" si="7"/>
        <v>0</v>
      </c>
      <c r="L79" s="37"/>
      <c r="M79" s="37"/>
      <c r="N79" s="37"/>
      <c r="O79" s="37"/>
      <c r="P79" s="37"/>
    </row>
    <row r="80" spans="2:16" ht="12.75" customHeight="1" x14ac:dyDescent="0.2">
      <c r="B80" s="63" t="s">
        <v>93</v>
      </c>
      <c r="C80" s="64">
        <f>16070503.79</f>
        <v>16070503.789999999</v>
      </c>
      <c r="D80" s="64">
        <f>18140756.02</f>
        <v>18140756.02</v>
      </c>
      <c r="E80" s="105" t="s">
        <v>79</v>
      </c>
      <c r="F80" s="105" t="s">
        <v>79</v>
      </c>
      <c r="G80" s="105" t="s">
        <v>79</v>
      </c>
      <c r="H80" s="105" t="s">
        <v>79</v>
      </c>
      <c r="I80" s="105" t="s">
        <v>79</v>
      </c>
      <c r="J80" s="65">
        <f t="shared" si="9"/>
        <v>40.988434203201329</v>
      </c>
      <c r="K80" s="60">
        <f>IF(C80=0,"",100*D80/C80)</f>
        <v>112.88231070446113</v>
      </c>
      <c r="L80" s="37"/>
      <c r="M80" s="37"/>
      <c r="N80" s="37"/>
      <c r="O80" s="37"/>
      <c r="P80" s="37"/>
    </row>
    <row r="81" spans="2:16" ht="22.5" x14ac:dyDescent="0.2">
      <c r="B81" s="109" t="s">
        <v>94</v>
      </c>
      <c r="C81" s="64">
        <f>1773221.55</f>
        <v>1773221.55</v>
      </c>
      <c r="D81" s="64">
        <f>273221.55</f>
        <v>273221.55</v>
      </c>
      <c r="E81" s="105" t="s">
        <v>79</v>
      </c>
      <c r="F81" s="105" t="s">
        <v>79</v>
      </c>
      <c r="G81" s="105" t="s">
        <v>79</v>
      </c>
      <c r="H81" s="105" t="s">
        <v>79</v>
      </c>
      <c r="I81" s="105" t="s">
        <v>79</v>
      </c>
      <c r="J81" s="65">
        <f t="shared" si="9"/>
        <v>0.61733499489905397</v>
      </c>
      <c r="K81" s="60">
        <f>IF(C81=0,"",100*D81/C81)</f>
        <v>15.408201530147206</v>
      </c>
      <c r="L81" s="37"/>
      <c r="M81" s="37"/>
      <c r="N81" s="37"/>
      <c r="O81" s="37"/>
      <c r="P81" s="37"/>
    </row>
    <row r="82" spans="2:16" x14ac:dyDescent="0.2">
      <c r="B82" s="22"/>
      <c r="C82" s="22"/>
      <c r="D82" s="22"/>
      <c r="E82" s="22"/>
      <c r="F82" s="22"/>
      <c r="G82" s="22"/>
      <c r="H82" s="22"/>
      <c r="I82" s="37"/>
      <c r="J82" s="37"/>
      <c r="K82" s="37"/>
      <c r="L82" s="37"/>
      <c r="M82" s="37"/>
    </row>
    <row r="83" spans="2:16" x14ac:dyDescent="0.2">
      <c r="B83" s="44" t="s">
        <v>16</v>
      </c>
      <c r="C83" s="70" t="s">
        <v>17</v>
      </c>
      <c r="D83" s="13" t="s">
        <v>1</v>
      </c>
      <c r="E83" s="37"/>
      <c r="F83" s="37"/>
      <c r="G83" s="37"/>
      <c r="H83" s="37"/>
      <c r="I83" s="37"/>
    </row>
    <row r="84" spans="2:16" x14ac:dyDescent="0.2">
      <c r="B84" s="44"/>
      <c r="C84" s="123" t="s">
        <v>40</v>
      </c>
      <c r="D84" s="124"/>
      <c r="E84" s="37"/>
      <c r="F84" s="37"/>
      <c r="G84" s="37"/>
      <c r="H84" s="37"/>
      <c r="I84" s="37"/>
    </row>
    <row r="85" spans="2:16" x14ac:dyDescent="0.2">
      <c r="B85" s="23">
        <v>1</v>
      </c>
      <c r="C85" s="26">
        <v>2</v>
      </c>
      <c r="D85" s="24">
        <v>3</v>
      </c>
      <c r="E85" s="37"/>
      <c r="F85" s="37"/>
      <c r="G85" s="37"/>
      <c r="H85" s="37"/>
      <c r="I85" s="37"/>
    </row>
    <row r="86" spans="2:16" ht="36.75" customHeight="1" x14ac:dyDescent="0.2">
      <c r="B86" s="107" t="s">
        <v>89</v>
      </c>
      <c r="C86" s="29">
        <f>514281177.71</f>
        <v>514281177.70999998</v>
      </c>
      <c r="D86" s="85">
        <f>0</f>
        <v>0</v>
      </c>
      <c r="E86" s="37"/>
      <c r="F86" s="37"/>
      <c r="G86" s="37"/>
      <c r="H86" s="37"/>
      <c r="I86" s="37"/>
    </row>
    <row r="87" spans="2:16" ht="36" customHeight="1" x14ac:dyDescent="0.2">
      <c r="B87" s="110" t="s">
        <v>42</v>
      </c>
      <c r="C87" s="30">
        <f>14070000</f>
        <v>14070000</v>
      </c>
      <c r="D87" s="84">
        <f>0</f>
        <v>0</v>
      </c>
      <c r="E87" s="37"/>
      <c r="F87" s="37"/>
      <c r="G87" s="37"/>
      <c r="H87" s="37"/>
      <c r="I87" s="37"/>
    </row>
    <row r="88" spans="2:16" ht="12.75" customHeight="1" x14ac:dyDescent="0.2">
      <c r="B88" s="110" t="s">
        <v>43</v>
      </c>
      <c r="C88" s="30">
        <f>18655692.92</f>
        <v>18655692.920000002</v>
      </c>
      <c r="D88" s="84">
        <f>0</f>
        <v>0</v>
      </c>
      <c r="E88" s="37"/>
      <c r="F88" s="37"/>
      <c r="G88" s="37"/>
      <c r="H88" s="37"/>
      <c r="I88" s="37"/>
    </row>
    <row r="89" spans="2:16" ht="25.5" customHeight="1" x14ac:dyDescent="0.2">
      <c r="B89" s="110" t="s">
        <v>44</v>
      </c>
      <c r="C89" s="30">
        <f>0</f>
        <v>0</v>
      </c>
      <c r="D89" s="84">
        <f>0</f>
        <v>0</v>
      </c>
      <c r="E89" s="37"/>
      <c r="F89" s="37"/>
      <c r="G89" s="37"/>
      <c r="H89" s="37"/>
      <c r="I89" s="37"/>
    </row>
    <row r="90" spans="2:16" ht="57.75" customHeight="1" x14ac:dyDescent="0.2">
      <c r="B90" s="110" t="s">
        <v>76</v>
      </c>
      <c r="C90" s="30">
        <f>430201284.12</f>
        <v>430201284.12</v>
      </c>
      <c r="D90" s="84">
        <f>0</f>
        <v>0</v>
      </c>
      <c r="E90" s="37"/>
      <c r="F90" s="37"/>
      <c r="G90" s="37"/>
      <c r="H90" s="37"/>
      <c r="I90" s="37"/>
    </row>
    <row r="91" spans="2:16" ht="84" customHeight="1" x14ac:dyDescent="0.2">
      <c r="B91" s="110" t="s">
        <v>45</v>
      </c>
      <c r="C91" s="30">
        <f>21806728.41</f>
        <v>21806728.41</v>
      </c>
      <c r="D91" s="84">
        <f>0</f>
        <v>0</v>
      </c>
      <c r="E91" s="37"/>
      <c r="F91" s="37"/>
      <c r="G91" s="37"/>
      <c r="H91" s="37"/>
      <c r="I91" s="37"/>
    </row>
    <row r="92" spans="2:16" ht="149.25" customHeight="1" x14ac:dyDescent="0.2">
      <c r="B92" s="110" t="s">
        <v>77</v>
      </c>
      <c r="C92" s="30">
        <f>23599472.26</f>
        <v>23599472.260000002</v>
      </c>
      <c r="D92" s="84">
        <f>0</f>
        <v>0</v>
      </c>
      <c r="E92" s="37"/>
      <c r="F92" s="37"/>
      <c r="G92" s="37"/>
      <c r="H92" s="37"/>
      <c r="I92" s="37"/>
    </row>
    <row r="93" spans="2:16" ht="24" customHeight="1" x14ac:dyDescent="0.2">
      <c r="B93" s="110" t="s">
        <v>78</v>
      </c>
      <c r="C93" s="30">
        <f>0</f>
        <v>0</v>
      </c>
      <c r="D93" s="84">
        <f>0</f>
        <v>0</v>
      </c>
      <c r="E93" s="37"/>
      <c r="F93" s="37"/>
      <c r="G93" s="37"/>
      <c r="H93" s="37"/>
      <c r="I93" s="37"/>
    </row>
    <row r="94" spans="2:16" ht="24" customHeight="1" x14ac:dyDescent="0.2">
      <c r="B94" s="110" t="s">
        <v>92</v>
      </c>
      <c r="C94" s="30">
        <f>5948000</f>
        <v>5948000</v>
      </c>
      <c r="D94" s="84">
        <f>0</f>
        <v>0</v>
      </c>
      <c r="E94" s="37"/>
      <c r="F94" s="37"/>
      <c r="G94" s="37"/>
      <c r="H94" s="37"/>
      <c r="I94" s="37"/>
    </row>
    <row r="95" spans="2:16" ht="13.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2:16" x14ac:dyDescent="0.2">
      <c r="B96" s="116" t="s">
        <v>33</v>
      </c>
      <c r="C96" s="114">
        <f>3</f>
        <v>3</v>
      </c>
      <c r="D96" s="114" t="str">
        <f>IF(C96=1,"I Kwartał",IF(C96=2,"II Kwartały",IF(C96=3,"III Kwartały",IF(C96=4,"IV Kwartały",IF(C96="M1","Styczeń",IF(C96="M11","Listopad",IF(C96="M12","Grudzień","-")))))))</f>
        <v>III Kwartały</v>
      </c>
      <c r="E96" s="37"/>
      <c r="F96" s="37"/>
      <c r="G96" s="37"/>
      <c r="H96" s="37"/>
      <c r="I96" s="37"/>
      <c r="J96" s="37"/>
      <c r="K96" s="37"/>
      <c r="L96" s="37"/>
      <c r="M96" s="37"/>
    </row>
    <row r="97" spans="2:13" ht="11.25" customHeight="1" x14ac:dyDescent="0.2">
      <c r="B97" s="116" t="s">
        <v>34</v>
      </c>
      <c r="C97" s="115">
        <f>2024</f>
        <v>2024</v>
      </c>
      <c r="D97" s="36"/>
      <c r="E97" s="37"/>
      <c r="F97" s="37"/>
      <c r="G97" s="37"/>
      <c r="H97" s="37"/>
      <c r="I97" s="37"/>
      <c r="J97" s="37"/>
      <c r="K97" s="37"/>
      <c r="L97" s="37"/>
      <c r="M97" s="37"/>
    </row>
    <row r="98" spans="2:13" ht="10.5" customHeight="1" x14ac:dyDescent="0.2">
      <c r="B98" s="116" t="s">
        <v>35</v>
      </c>
      <c r="C98" s="138" t="str">
        <f>"Nov 14 2024 12:00AM"</f>
        <v>Nov 14 2024 12:00AM</v>
      </c>
      <c r="D98" s="139"/>
      <c r="E98" s="37"/>
      <c r="F98" s="37"/>
      <c r="G98" s="37"/>
      <c r="H98" s="37"/>
      <c r="I98" s="37"/>
      <c r="J98" s="37"/>
      <c r="K98" s="37"/>
      <c r="L98" s="37"/>
      <c r="M98" s="37"/>
    </row>
    <row r="99" spans="2:13" hidden="1" x14ac:dyDescent="0.2">
      <c r="B99" s="1" t="s">
        <v>88</v>
      </c>
      <c r="C99" s="118" t="s">
        <v>95</v>
      </c>
    </row>
  </sheetData>
  <mergeCells count="22">
    <mergeCell ref="C98:D98"/>
    <mergeCell ref="E62:I64"/>
    <mergeCell ref="K44:K46"/>
    <mergeCell ref="B44:B47"/>
    <mergeCell ref="I44:I46"/>
    <mergeCell ref="J44:J46"/>
    <mergeCell ref="D44:D46"/>
    <mergeCell ref="J63:K63"/>
    <mergeCell ref="J4:L4"/>
    <mergeCell ref="J47:K47"/>
    <mergeCell ref="E44:E46"/>
    <mergeCell ref="C44:C46"/>
    <mergeCell ref="I59:J59"/>
    <mergeCell ref="G45:H45"/>
    <mergeCell ref="F44:H44"/>
    <mergeCell ref="B3:B4"/>
    <mergeCell ref="F45:F46"/>
    <mergeCell ref="C63:D63"/>
    <mergeCell ref="C84:D84"/>
    <mergeCell ref="C47:I47"/>
    <mergeCell ref="E4:I5"/>
    <mergeCell ref="C4:D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2024-12-09T09:25:25Z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2024-12-09T10:25:15.0228401+01:00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GRN-d9f917fb-2c4a-4be8-8408-743c1173e28c</vt:lpwstr>
  </property>
  <property fmtid="{D5CDD505-2E9C-101B-9397-08002B2CF9AE}" pid="7" name="MFHash">
    <vt:lpwstr>2UR4Ms/7gpeoCWjHEFJhLpxbwDeVh6ZYwsLmYpefRJY=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