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<sst xmlns="http://schemas.openxmlformats.org/spreadsheetml/2006/main" count="108" uniqueCount="88">
  <si>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</si>
  <si>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</si>
  <si>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</si>
  <si>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</si>
  <si>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</si>
  <si>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</si>
  <si>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</si>
  <si>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</si>
  <si>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</si>
  <si>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</si>
  <si>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</si>
  <si>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</si>
  <si>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</si>
  <si>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</si>
  <si>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</si>
  <si>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</si>
  <si>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</si>
  <si>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</si>
  <si>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</si>
  <si>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</si>
  <si>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</si>
  <si>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</si>
  <si>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</si>
  <si>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</si>
  <si>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</si>
  <si>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</si>
  <si>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</si>
  <si>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</si>
  <si>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</si>
  <si>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</si>
  <si>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</si>
  <si>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</si>
  <si>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</si>
  <si>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</si>
  <si>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</si>
  <si>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</si>
  <si>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</si>
  <si>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</si>
  <si>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</si>
  <si>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</si>
  <si>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</si>
  <si>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</si>
  <si>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</si>
  <si>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</si>
  <si>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</si>
  <si>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</si>
  <si>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</si>
  <si>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</si>
  <si>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</si>
  <si>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</si>
  <si>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</si>
  <si>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</si>
  <si>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</si>
  <si>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</si>
  <si>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</si>
  <si>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</si>
  <si>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</si>
  <si>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</si>
  <si>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</si>
  <si>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</si>
  <si>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</si>
  <si>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</si>
  <si>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</si>
  <si>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</si>
  <si>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</si>
  <si>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</si>
  <si>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</si>
  <si>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</si>
  <si>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</si>
  <si>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</si>
  <si>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</si>
  <si>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</si>
  <si>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</si>
  <si>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</si>
  <si>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</si>
  <si>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</si>
  <si>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</si>
  <si>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</si>
  <si>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</si>
  <si>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</si>
  <si>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</si>
  <si>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</si>
  <si>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</si>
  <si>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</si>
  <si>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</si>
  <si>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</si>
  <si>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art..217 ust.2 pkt.8 ustawy o finansach publicznych</t>
  </si>
  <si>
    <t xml:space="preserve">Informacja z wykonania budżetów województw za II Kwartały 2021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</si>
</sst>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05" t="s">
        <v>87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2:8" ht="60" customHeight="1">
      <c r="B2" s="97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97"/>
      <c r="C3" s="90" t="s">
        <v>59</v>
      </c>
      <c r="D3" s="90"/>
      <c r="E3" s="90"/>
      <c r="F3" s="90" t="s">
        <v>4</v>
      </c>
      <c r="G3" s="90"/>
      <c r="H3" s="90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69" t="s">
        <v>5</v>
      </c>
      <c r="C5" s="70">
        <f>21237261585.15</f>
        <v>21237261585.15</v>
      </c>
      <c r="D5" s="70">
        <f>11778387168.07</f>
        <v>11778387168.07</v>
      </c>
      <c r="E5" s="70">
        <f>11103150845.04</f>
        <v>11103150845.04</v>
      </c>
      <c r="F5" s="71">
        <f aca="true" t="shared" si="0" ref="F5:F33">IF($D$5=0,"",100*$D5/$D$5)</f>
        <v>100</v>
      </c>
      <c r="G5" s="71">
        <f>IF(C5=0,"",100*D5/C5)</f>
        <v>55.46095065432518</v>
      </c>
      <c r="H5" s="71"/>
      <c r="I5" s="34"/>
      <c r="J5" s="34"/>
      <c r="K5" s="34"/>
      <c r="L5" s="34"/>
      <c r="M5" s="34"/>
    </row>
    <row r="6" spans="2:13" ht="25.5" customHeight="1">
      <c r="B6" s="54" t="s">
        <v>44</v>
      </c>
      <c r="C6" s="22">
        <f>C5-C11-C29</f>
        <v>10016815320.080002</v>
      </c>
      <c r="D6" s="22">
        <f>D5-D11-D29</f>
        <v>6886644367.040001</v>
      </c>
      <c r="E6" s="22">
        <f>E5-E11-E29</f>
        <v>6259785830.010001</v>
      </c>
      <c r="F6" s="30">
        <f t="shared" si="0"/>
        <v>58.468483577352494</v>
      </c>
      <c r="G6" s="30">
        <f aca="true" t="shared" si="1" ref="G6:G36">IF(C6=0,"",100*D6/C6)</f>
        <v>68.75083693751279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6685695140</f>
        <v>6685695140</v>
      </c>
      <c r="D7" s="20">
        <f>5045095976.38</f>
        <v>5045095976.38</v>
      </c>
      <c r="E7" s="20">
        <f>4534805684.13</f>
        <v>4534805684.13</v>
      </c>
      <c r="F7" s="31">
        <f t="shared" si="0"/>
        <v>42.8335043193073</v>
      </c>
      <c r="G7" s="31">
        <f t="shared" si="1"/>
        <v>75.46105334949509</v>
      </c>
      <c r="H7" s="31">
        <f>IF($D$6=0,"",100*$D7/$D$6)</f>
        <v>73.2591332946741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1861041095</f>
        <v>1861041095</v>
      </c>
      <c r="D8" s="21">
        <f>894535088</f>
        <v>894535088</v>
      </c>
      <c r="E8" s="21">
        <f>810233331</f>
        <v>810233331</v>
      </c>
      <c r="F8" s="31">
        <f t="shared" si="0"/>
        <v>7.59471628191161</v>
      </c>
      <c r="G8" s="31">
        <f t="shared" si="1"/>
        <v>48.06638017845597</v>
      </c>
      <c r="H8" s="31">
        <f>IF($D$6=0,"",100*$D8/$D$6)</f>
        <v>12.98941894373568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239298142.83</f>
        <v>239298142.83</v>
      </c>
      <c r="D9" s="72">
        <f>145041327.92</f>
        <v>145041327.92</v>
      </c>
      <c r="E9" s="21">
        <f>145041325.46</f>
        <v>145041325.46</v>
      </c>
      <c r="F9" s="31">
        <f t="shared" si="0"/>
        <v>1.2314192584294745</v>
      </c>
      <c r="G9" s="31">
        <f t="shared" si="1"/>
        <v>60.611138141192725</v>
      </c>
      <c r="H9" s="31">
        <f>IF($D$6=0,"",100*$D9/$D$6)</f>
        <v>2.106124843823484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1230780942.250002</v>
      </c>
      <c r="D10" s="21">
        <f>D6-D7-D8-D9</f>
        <v>801971974.7400008</v>
      </c>
      <c r="E10" s="21">
        <f>E6-E7-E8-E9</f>
        <v>769705489.420001</v>
      </c>
      <c r="F10" s="31">
        <f t="shared" si="0"/>
        <v>6.808843717704107</v>
      </c>
      <c r="G10" s="31">
        <f t="shared" si="1"/>
        <v>65.15960291633283</v>
      </c>
      <c r="H10" s="31">
        <f>IF($D$6=0,"",100*$D10/$D$6)</f>
        <v>11.645322917766732</v>
      </c>
      <c r="I10" s="34"/>
      <c r="J10" s="34"/>
      <c r="K10" s="34"/>
      <c r="L10" s="34"/>
      <c r="M10" s="34"/>
    </row>
    <row r="11" spans="2:13" ht="12.75">
      <c r="B11" s="69" t="s">
        <v>74</v>
      </c>
      <c r="C11" s="70">
        <f>C12+C25+C27</f>
        <v>7880844699.070001</v>
      </c>
      <c r="D11" s="70">
        <f>D12+D25+D27</f>
        <v>3008876435.0299997</v>
      </c>
      <c r="E11" s="70">
        <f>E12+E25+E27</f>
        <v>3008876435.0299997</v>
      </c>
      <c r="F11" s="71">
        <f t="shared" si="0"/>
        <v>25.54574231679831</v>
      </c>
      <c r="G11" s="71">
        <f t="shared" si="1"/>
        <v>38.17961842827673</v>
      </c>
      <c r="H11" s="73"/>
      <c r="I11" s="34"/>
      <c r="J11" s="34"/>
      <c r="K11" s="34"/>
      <c r="L11" s="34"/>
      <c r="M11" s="34"/>
    </row>
    <row r="12" spans="2:13" ht="12.75">
      <c r="B12" s="69" t="s">
        <v>75</v>
      </c>
      <c r="C12" s="70">
        <f>C13+C15+C17+C19+C21+C23</f>
        <v>1529358906.8700001</v>
      </c>
      <c r="D12" s="70">
        <f>D13+D15+D17+D19+D21+D23</f>
        <v>631021307.4200001</v>
      </c>
      <c r="E12" s="70">
        <f>E13+E15+E17+E19+E21+E23</f>
        <v>631021307.4200001</v>
      </c>
      <c r="F12" s="71">
        <f t="shared" si="0"/>
        <v>5.3574508836883385</v>
      </c>
      <c r="G12" s="71">
        <f t="shared" si="1"/>
        <v>41.26051148526372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1044210461.85</f>
        <v>1044210461.85</v>
      </c>
      <c r="D13" s="21">
        <f>478567078.03</f>
        <v>478567078.03</v>
      </c>
      <c r="E13" s="21">
        <f>478567078.03</f>
        <v>478567078.03</v>
      </c>
      <c r="F13" s="31">
        <f t="shared" si="0"/>
        <v>4.06309515217284</v>
      </c>
      <c r="G13" s="31">
        <f t="shared" si="1"/>
        <v>45.83051937462256</v>
      </c>
      <c r="H13" s="26"/>
      <c r="I13" s="34"/>
      <c r="J13" s="34"/>
      <c r="K13" s="34"/>
      <c r="L13" s="34"/>
      <c r="M13" s="34"/>
    </row>
    <row r="14" spans="2:13" ht="11.25" customHeight="1">
      <c r="B14" s="76" t="s">
        <v>6</v>
      </c>
      <c r="C14" s="21">
        <f>10341567.65</f>
        <v>10341567.65</v>
      </c>
      <c r="D14" s="21">
        <f>8513108.04</f>
        <v>8513108.04</v>
      </c>
      <c r="E14" s="21">
        <f>8513108.04</f>
        <v>8513108.04</v>
      </c>
      <c r="F14" s="31">
        <f t="shared" si="0"/>
        <v>0.07227736631954298</v>
      </c>
      <c r="G14" s="31">
        <f t="shared" si="1"/>
        <v>82.31931877368707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85569466</f>
        <v>85569466</v>
      </c>
      <c r="D15" s="21">
        <f>17243079.99</f>
        <v>17243079.99</v>
      </c>
      <c r="E15" s="21">
        <f>17243079.99</f>
        <v>17243079.99</v>
      </c>
      <c r="F15" s="31">
        <f t="shared" si="0"/>
        <v>0.14639593472308518</v>
      </c>
      <c r="G15" s="31">
        <f t="shared" si="1"/>
        <v>20.150973000111975</v>
      </c>
      <c r="H15" s="26"/>
      <c r="I15" s="34"/>
      <c r="J15" s="34"/>
      <c r="K15" s="34"/>
      <c r="L15" s="34"/>
      <c r="M15" s="34"/>
    </row>
    <row r="16" spans="2:13" ht="10.5" customHeight="1">
      <c r="B16" s="76" t="s">
        <v>6</v>
      </c>
      <c r="C16" s="21">
        <f>58026281</f>
        <v>58026281</v>
      </c>
      <c r="D16" s="21">
        <f>4578840.89</f>
        <v>4578840.89</v>
      </c>
      <c r="E16" s="21">
        <f>4578840.89</f>
        <v>4578840.89</v>
      </c>
      <c r="F16" s="31">
        <f t="shared" si="0"/>
        <v>0.03887493953682188</v>
      </c>
      <c r="G16" s="31">
        <f t="shared" si="1"/>
        <v>7.890977693366217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81200490</f>
        <v>81200490</v>
      </c>
      <c r="D17" s="21">
        <f>20444516.18</f>
        <v>20444516.18</v>
      </c>
      <c r="E17" s="21">
        <f>20444516.18</f>
        <v>20444516.18</v>
      </c>
      <c r="F17" s="31">
        <f t="shared" si="0"/>
        <v>0.17357653376705928</v>
      </c>
      <c r="G17" s="31">
        <f t="shared" si="1"/>
        <v>25.177823655990252</v>
      </c>
      <c r="H17" s="26"/>
      <c r="I17" s="34"/>
      <c r="J17" s="34"/>
      <c r="K17" s="34"/>
      <c r="L17" s="34"/>
      <c r="M17" s="34"/>
    </row>
    <row r="18" spans="2:13" ht="9.75" customHeight="1">
      <c r="B18" s="76" t="s">
        <v>6</v>
      </c>
      <c r="C18" s="21">
        <f>2780263</f>
        <v>2780263</v>
      </c>
      <c r="D18" s="21">
        <f>0</f>
        <v>0</v>
      </c>
      <c r="E18" s="21">
        <f>0</f>
        <v>0</v>
      </c>
      <c r="F18" s="31">
        <f t="shared" si="0"/>
        <v>0</v>
      </c>
      <c r="G18" s="31">
        <f t="shared" si="1"/>
        <v>0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74935044.22</f>
        <v>74935044.22</v>
      </c>
      <c r="D19" s="21">
        <f>29632408.27</f>
        <v>29632408.27</v>
      </c>
      <c r="E19" s="21">
        <f>29632408.27</f>
        <v>29632408.27</v>
      </c>
      <c r="F19" s="31">
        <f t="shared" si="0"/>
        <v>0.2515829022018432</v>
      </c>
      <c r="G19" s="31">
        <f t="shared" si="1"/>
        <v>39.54412595394342</v>
      </c>
      <c r="H19" s="26"/>
      <c r="I19" s="34"/>
      <c r="J19" s="34"/>
      <c r="K19" s="34"/>
      <c r="L19" s="34"/>
      <c r="M19" s="34"/>
    </row>
    <row r="20" spans="2:13" ht="11.25" customHeight="1">
      <c r="B20" s="76" t="s">
        <v>6</v>
      </c>
      <c r="C20" s="21">
        <f>20197315.22</f>
        <v>20197315.22</v>
      </c>
      <c r="D20" s="21">
        <f>4082755.09</f>
        <v>4082755.09</v>
      </c>
      <c r="E20" s="21">
        <f>4082755.09</f>
        <v>4082755.09</v>
      </c>
      <c r="F20" s="31">
        <f t="shared" si="0"/>
        <v>0.03466310821457738</v>
      </c>
      <c r="G20" s="31">
        <f t="shared" si="1"/>
        <v>20.21434554805151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61</v>
      </c>
      <c r="C21" s="21">
        <f>189004159.39</f>
        <v>189004159.39</v>
      </c>
      <c r="D21" s="21">
        <f>54091965.08</f>
        <v>54091965.08</v>
      </c>
      <c r="E21" s="21">
        <f>54091965.08</f>
        <v>54091965.08</v>
      </c>
      <c r="F21" s="31">
        <f t="shared" si="0"/>
        <v>0.45924763983508515</v>
      </c>
      <c r="G21" s="31">
        <f t="shared" si="1"/>
        <v>28.619457505368505</v>
      </c>
      <c r="H21" s="26"/>
      <c r="I21" s="34"/>
      <c r="J21" s="34"/>
      <c r="K21" s="34"/>
      <c r="L21" s="34"/>
      <c r="M21" s="34"/>
    </row>
    <row r="22" spans="2:13" ht="12.75">
      <c r="B22" s="76" t="s">
        <v>6</v>
      </c>
      <c r="C22" s="21">
        <f>139799227.47</f>
        <v>139799227.47</v>
      </c>
      <c r="D22" s="21">
        <f>32918930.8</f>
        <v>32918930.8</v>
      </c>
      <c r="E22" s="21">
        <f>32918930.8</f>
        <v>32918930.8</v>
      </c>
      <c r="F22" s="31">
        <f t="shared" si="0"/>
        <v>0.2794858950573458</v>
      </c>
      <c r="G22" s="31">
        <f t="shared" si="1"/>
        <v>23.547290922665642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54439285.41</f>
        <v>54439285.41</v>
      </c>
      <c r="D23" s="21">
        <f>31042259.87</f>
        <v>31042259.87</v>
      </c>
      <c r="E23" s="21">
        <f>31042259.87</f>
        <v>31042259.87</v>
      </c>
      <c r="F23" s="31">
        <f t="shared" si="0"/>
        <v>0.2635527209884252</v>
      </c>
      <c r="G23" s="31">
        <f t="shared" si="1"/>
        <v>57.02179893841483</v>
      </c>
      <c r="H23" s="26"/>
      <c r="I23" s="34"/>
      <c r="J23" s="34"/>
      <c r="K23" s="34"/>
      <c r="L23" s="34"/>
      <c r="M23" s="34"/>
    </row>
    <row r="24" spans="2:13" ht="12.75">
      <c r="B24" s="76" t="s">
        <v>6</v>
      </c>
      <c r="C24" s="21">
        <f>3948572</f>
        <v>3948572</v>
      </c>
      <c r="D24" s="21">
        <f>20000</f>
        <v>20000</v>
      </c>
      <c r="E24" s="21">
        <f>20000</f>
        <v>20000</v>
      </c>
      <c r="F24" s="31">
        <f t="shared" si="0"/>
        <v>0.00016980253505520645</v>
      </c>
      <c r="G24" s="31">
        <f t="shared" si="1"/>
        <v>0.5065122277116891</v>
      </c>
      <c r="H24" s="26"/>
      <c r="I24" s="34"/>
      <c r="J24" s="34"/>
      <c r="K24" s="34"/>
      <c r="L24" s="34"/>
      <c r="M24" s="34"/>
    </row>
    <row r="25" spans="2:13" ht="13.5" customHeight="1">
      <c r="B25" s="69" t="s">
        <v>52</v>
      </c>
      <c r="C25" s="70">
        <f>1259725132.73</f>
        <v>1259725132.73</v>
      </c>
      <c r="D25" s="70">
        <f>576091138.6</f>
        <v>576091138.6</v>
      </c>
      <c r="E25" s="70">
        <f>576091138.6</f>
        <v>576091138.6</v>
      </c>
      <c r="F25" s="71">
        <f t="shared" si="0"/>
        <v>4.891086787856015</v>
      </c>
      <c r="G25" s="71">
        <f t="shared" si="1"/>
        <v>45.73149519939562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53</v>
      </c>
      <c r="C26" s="20">
        <f>638645103.06</f>
        <v>638645103.06</v>
      </c>
      <c r="D26" s="20">
        <f>278395474.4</f>
        <v>278395474.4</v>
      </c>
      <c r="E26" s="20">
        <f>278395474.4</f>
        <v>278395474.4</v>
      </c>
      <c r="F26" s="31">
        <f t="shared" si="0"/>
        <v>2.3636128650508414</v>
      </c>
      <c r="G26" s="31">
        <f t="shared" si="1"/>
        <v>43.59157739816648</v>
      </c>
      <c r="H26" s="26"/>
      <c r="I26" s="34"/>
      <c r="J26" s="34"/>
      <c r="K26" s="34"/>
      <c r="L26" s="34"/>
      <c r="M26" s="34"/>
    </row>
    <row r="27" spans="2:13" ht="14.25" customHeight="1">
      <c r="B27" s="69" t="s">
        <v>69</v>
      </c>
      <c r="C27" s="70">
        <f>5091760659.47</f>
        <v>5091760659.47</v>
      </c>
      <c r="D27" s="70">
        <f>1801763989.01</f>
        <v>1801763989.01</v>
      </c>
      <c r="E27" s="70">
        <f>1801763989.01</f>
        <v>1801763989.01</v>
      </c>
      <c r="F27" s="75">
        <f t="shared" si="0"/>
        <v>15.297204645253958</v>
      </c>
      <c r="G27" s="75">
        <f t="shared" si="1"/>
        <v>35.385873561416474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70</v>
      </c>
      <c r="C28" s="20">
        <f>3379502614.91</f>
        <v>3379502614.91</v>
      </c>
      <c r="D28" s="20">
        <f>949186838.66</f>
        <v>949186838.66</v>
      </c>
      <c r="E28" s="20">
        <f>949186838.66</f>
        <v>949186838.66</v>
      </c>
      <c r="F28" s="31">
        <f t="shared" si="0"/>
        <v>8.058716572275262</v>
      </c>
      <c r="G28" s="31">
        <f>IF(C27=0,"",100*D28/C28)</f>
        <v>28.086583939077023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4" t="s">
        <v>45</v>
      </c>
      <c r="C29" s="22">
        <f>C30+C31+C32+C33</f>
        <v>3339601566</v>
      </c>
      <c r="D29" s="22">
        <f>D30+D31+D32+D33</f>
        <v>1882866366</v>
      </c>
      <c r="E29" s="22">
        <f>E30+E31+E32+E33</f>
        <v>1834488580</v>
      </c>
      <c r="F29" s="30">
        <f t="shared" si="0"/>
        <v>15.98577410584921</v>
      </c>
      <c r="G29" s="30">
        <f t="shared" si="1"/>
        <v>56.37997014881026</v>
      </c>
      <c r="H29" s="27"/>
      <c r="I29" s="55"/>
      <c r="J29" s="55"/>
      <c r="K29" s="55"/>
      <c r="L29" s="55"/>
      <c r="M29" s="55"/>
    </row>
    <row r="30" spans="2:13" ht="12.75">
      <c r="B30" s="29" t="s">
        <v>32</v>
      </c>
      <c r="C30" s="21">
        <f>659796574</f>
        <v>659796574</v>
      </c>
      <c r="D30" s="21">
        <f>406028656</f>
        <v>406028656</v>
      </c>
      <c r="E30" s="21">
        <f>357650870</f>
        <v>357650870</v>
      </c>
      <c r="F30" s="31">
        <f t="shared" si="0"/>
        <v>3.4472347546929183</v>
      </c>
      <c r="G30" s="31">
        <f t="shared" si="1"/>
        <v>61.538460792310815</v>
      </c>
      <c r="H30" s="27"/>
      <c r="I30" s="34"/>
      <c r="J30" s="34"/>
      <c r="K30" s="34"/>
      <c r="L30" s="34"/>
      <c r="M30" s="34"/>
    </row>
    <row r="31" spans="2:13" ht="12.75">
      <c r="B31" s="29" t="s">
        <v>43</v>
      </c>
      <c r="C31" s="21">
        <f>574940966</f>
        <v>574940966</v>
      </c>
      <c r="D31" s="21">
        <f>287470482</f>
        <v>287470482</v>
      </c>
      <c r="E31" s="21">
        <f>287470482</f>
        <v>287470482</v>
      </c>
      <c r="F31" s="31">
        <f t="shared" si="0"/>
        <v>2.4406608298571046</v>
      </c>
      <c r="G31" s="31">
        <f t="shared" si="1"/>
        <v>49.9999998260691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1738734445</f>
        <v>1738734445</v>
      </c>
      <c r="D32" s="21">
        <f>869367228</f>
        <v>869367228</v>
      </c>
      <c r="E32" s="21">
        <f>869367228</f>
        <v>869367228</v>
      </c>
      <c r="F32" s="31">
        <f t="shared" si="0"/>
        <v>7.381037960415883</v>
      </c>
      <c r="G32" s="31">
        <f t="shared" si="1"/>
        <v>50.00000031632202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366129581</f>
        <v>366129581</v>
      </c>
      <c r="D33" s="21">
        <f>320000000</f>
        <v>320000000</v>
      </c>
      <c r="E33" s="21">
        <f>320000000</f>
        <v>320000000</v>
      </c>
      <c r="F33" s="31">
        <f t="shared" si="0"/>
        <v>2.7168405608833033</v>
      </c>
      <c r="G33" s="31">
        <f t="shared" si="1"/>
        <v>87.40075006395072</v>
      </c>
      <c r="H33" s="27"/>
      <c r="I33" s="55"/>
      <c r="J33" s="55"/>
      <c r="K33" s="55"/>
      <c r="L33" s="55"/>
      <c r="M33" s="55"/>
    </row>
    <row r="34" spans="2:13" s="5" customFormat="1" ht="12.75">
      <c r="B34" s="77" t="s">
        <v>60</v>
      </c>
      <c r="C34" s="74">
        <f>+C5</f>
        <v>21237261585.15</v>
      </c>
      <c r="D34" s="74">
        <f>+D5</f>
        <v>11778387168.07</v>
      </c>
      <c r="E34" s="74">
        <f>+E5</f>
        <v>11103150845.04</v>
      </c>
      <c r="F34" s="75">
        <f>IF($D$5=0,"",100*$D34/$D$34)</f>
        <v>100</v>
      </c>
      <c r="G34" s="75">
        <f t="shared" si="1"/>
        <v>55.46095065432518</v>
      </c>
      <c r="H34" s="75"/>
      <c r="I34" s="55"/>
      <c r="J34" s="55"/>
      <c r="K34" s="55"/>
      <c r="L34" s="55"/>
      <c r="M34" s="55"/>
    </row>
    <row r="35" spans="2:13" s="5" customFormat="1" ht="12.75">
      <c r="B35" s="29" t="s">
        <v>54</v>
      </c>
      <c r="C35" s="21">
        <f>4761195402.87</f>
        <v>4761195402.87</v>
      </c>
      <c r="D35" s="21">
        <f>1553113550.5</f>
        <v>1553113550.5</v>
      </c>
      <c r="E35" s="21">
        <f>1520733699.5</f>
        <v>1520733699.5</v>
      </c>
      <c r="F35" s="31">
        <f>IF($D$5=0,"",100*$D35/$D$34)</f>
        <v>13.18613090517462</v>
      </c>
      <c r="G35" s="31">
        <f t="shared" si="1"/>
        <v>32.620243848084854</v>
      </c>
      <c r="H35" s="31">
        <f>IF($D$6=0,"",100*$D35/$D$6)</f>
        <v>22.55254471877942</v>
      </c>
      <c r="I35" s="55"/>
      <c r="J35" s="55"/>
      <c r="K35" s="55"/>
      <c r="L35" s="55"/>
      <c r="M35" s="55"/>
    </row>
    <row r="36" spans="1:13" s="5" customFormat="1" ht="12.75">
      <c r="A36" s="2"/>
      <c r="B36" s="29" t="s">
        <v>55</v>
      </c>
      <c r="C36" s="21">
        <f>C34-C35</f>
        <v>16476066182.280003</v>
      </c>
      <c r="D36" s="21">
        <f>D34-D35</f>
        <v>10225273617.57</v>
      </c>
      <c r="E36" s="21">
        <f>E34-E35</f>
        <v>9582417145.54</v>
      </c>
      <c r="F36" s="31">
        <f>IF($D$5=0,"",100*$D36/$D$34)</f>
        <v>86.81386909482538</v>
      </c>
      <c r="G36" s="31">
        <f t="shared" si="1"/>
        <v>62.06137742131234</v>
      </c>
      <c r="H36" s="31">
        <f>IF($D$6=0,"",100*$D36/$D$6)</f>
        <v>148.47976855765822</v>
      </c>
      <c r="I36" s="56"/>
      <c r="J36" s="56"/>
      <c r="K36" s="57"/>
      <c r="L36" s="57"/>
      <c r="M36" s="19"/>
    </row>
    <row r="37" spans="2:13" ht="18" customHeight="1">
      <c r="B37" s="105" t="s">
        <v>87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97" t="s">
        <v>0</v>
      </c>
      <c r="C39" s="98" t="s">
        <v>39</v>
      </c>
      <c r="D39" s="98" t="s">
        <v>40</v>
      </c>
      <c r="E39" s="98" t="s">
        <v>41</v>
      </c>
      <c r="F39" s="98" t="s">
        <v>12</v>
      </c>
      <c r="G39" s="98"/>
      <c r="H39" s="98"/>
      <c r="I39" s="98" t="s">
        <v>71</v>
      </c>
      <c r="J39" s="98"/>
      <c r="K39" s="98" t="s">
        <v>2</v>
      </c>
      <c r="L39" s="96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97"/>
      <c r="C40" s="98"/>
      <c r="D40" s="99"/>
      <c r="E40" s="98"/>
      <c r="F40" s="91" t="s">
        <v>42</v>
      </c>
      <c r="G40" s="106" t="s">
        <v>25</v>
      </c>
      <c r="H40" s="99"/>
      <c r="I40" s="98"/>
      <c r="J40" s="98"/>
      <c r="K40" s="98"/>
      <c r="L40" s="96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97"/>
      <c r="C41" s="98"/>
      <c r="D41" s="99"/>
      <c r="E41" s="98"/>
      <c r="F41" s="99"/>
      <c r="G41" s="15" t="s">
        <v>37</v>
      </c>
      <c r="H41" s="15" t="s">
        <v>38</v>
      </c>
      <c r="I41" s="98"/>
      <c r="J41" s="98"/>
      <c r="K41" s="98"/>
      <c r="L41" s="96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97"/>
      <c r="C42" s="90" t="s">
        <v>59</v>
      </c>
      <c r="D42" s="90"/>
      <c r="E42" s="90"/>
      <c r="F42" s="90"/>
      <c r="G42" s="90"/>
      <c r="H42" s="90"/>
      <c r="I42" s="90"/>
      <c r="J42" s="90"/>
      <c r="K42" s="90" t="s">
        <v>4</v>
      </c>
      <c r="L42" s="9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99">
        <v>8</v>
      </c>
      <c r="J43" s="99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69" t="s">
        <v>46</v>
      </c>
      <c r="C44" s="78">
        <f>24622571388.42</f>
        <v>24622571388.42</v>
      </c>
      <c r="D44" s="78">
        <f>17117838029.99</f>
        <v>17117838029.99</v>
      </c>
      <c r="E44" s="78">
        <f>7793502694.32</f>
        <v>7793502694.32</v>
      </c>
      <c r="F44" s="78">
        <f>357213076.6</f>
        <v>357213076.6</v>
      </c>
      <c r="G44" s="78">
        <f>496452.15</f>
        <v>496452.15</v>
      </c>
      <c r="H44" s="78">
        <f>364455.67</f>
        <v>364455.67</v>
      </c>
      <c r="I44" s="103">
        <f>0</f>
        <v>0</v>
      </c>
      <c r="J44" s="103"/>
      <c r="K44" s="53">
        <f aca="true" t="shared" si="2" ref="K44:K53">IF($E$44=0,"",100*$E44/$E$44)</f>
        <v>100</v>
      </c>
      <c r="L44" s="53">
        <f aca="true" t="shared" si="3" ref="L44:L53">IF(C44=0,"",100*E44/C44)</f>
        <v>31.651863533575888</v>
      </c>
      <c r="M44" s="34"/>
    </row>
    <row r="45" spans="2:13" ht="12.75">
      <c r="B45" s="54" t="s">
        <v>14</v>
      </c>
      <c r="C45" s="23">
        <f>9927887391.52</f>
        <v>9927887391.52</v>
      </c>
      <c r="D45" s="23">
        <f>6699449057.62</f>
        <v>6699449057.62</v>
      </c>
      <c r="E45" s="23">
        <f>1874198872.42</f>
        <v>1874198872.42</v>
      </c>
      <c r="F45" s="23">
        <f>140568563.77</f>
        <v>140568563.77</v>
      </c>
      <c r="G45" s="23">
        <f>496452.15</f>
        <v>496452.15</v>
      </c>
      <c r="H45" s="23">
        <f>283367.85</f>
        <v>283367.85</v>
      </c>
      <c r="I45" s="102">
        <f>0</f>
        <v>0</v>
      </c>
      <c r="J45" s="104"/>
      <c r="K45" s="32">
        <f t="shared" si="2"/>
        <v>24.04822255063746</v>
      </c>
      <c r="L45" s="32">
        <f t="shared" si="3"/>
        <v>18.878123799237134</v>
      </c>
      <c r="M45" s="34"/>
    </row>
    <row r="46" spans="2:13" ht="22.5" customHeight="1">
      <c r="B46" s="17" t="s">
        <v>13</v>
      </c>
      <c r="C46" s="20">
        <f>9651012669.52</f>
        <v>9651012669.52</v>
      </c>
      <c r="D46" s="20">
        <f>6572290236.12</f>
        <v>6572290236.12</v>
      </c>
      <c r="E46" s="20">
        <f>1781232695.92</f>
        <v>1781232695.92</v>
      </c>
      <c r="F46" s="20">
        <f>140568563.77</f>
        <v>140568563.77</v>
      </c>
      <c r="G46" s="20">
        <f>496452.15</f>
        <v>496452.15</v>
      </c>
      <c r="H46" s="20">
        <f>283367.85</f>
        <v>283367.85</v>
      </c>
      <c r="I46" s="100">
        <f>0</f>
        <v>0</v>
      </c>
      <c r="J46" s="101"/>
      <c r="K46" s="33">
        <f t="shared" si="2"/>
        <v>22.855354848573853</v>
      </c>
      <c r="L46" s="33">
        <f t="shared" si="3"/>
        <v>18.456433090648826</v>
      </c>
      <c r="M46" s="34"/>
    </row>
    <row r="47" spans="2:13" ht="25.5" customHeight="1">
      <c r="B47" s="54" t="s">
        <v>47</v>
      </c>
      <c r="C47" s="23">
        <f aca="true" t="shared" si="4" ref="C47:I47">C44-C45</f>
        <v>14694683996.899998</v>
      </c>
      <c r="D47" s="23">
        <f t="shared" si="4"/>
        <v>10418388972.369999</v>
      </c>
      <c r="E47" s="23">
        <f t="shared" si="4"/>
        <v>5919303821.9</v>
      </c>
      <c r="F47" s="23">
        <f t="shared" si="4"/>
        <v>216644512.83</v>
      </c>
      <c r="G47" s="23">
        <f t="shared" si="4"/>
        <v>0</v>
      </c>
      <c r="H47" s="23">
        <f t="shared" si="4"/>
        <v>81087.82</v>
      </c>
      <c r="I47" s="102">
        <f t="shared" si="4"/>
        <v>0</v>
      </c>
      <c r="J47" s="102"/>
      <c r="K47" s="32">
        <f t="shared" si="2"/>
        <v>75.95177744936255</v>
      </c>
      <c r="L47" s="32">
        <f t="shared" si="3"/>
        <v>40.28194021149921</v>
      </c>
      <c r="M47" s="34"/>
    </row>
    <row r="48" spans="2:13" ht="22.5">
      <c r="B48" s="17" t="s">
        <v>85</v>
      </c>
      <c r="C48" s="20">
        <f>3551057889.35</f>
        <v>3551057889.35</v>
      </c>
      <c r="D48" s="20">
        <f>3055569585.66</f>
        <v>3055569585.66</v>
      </c>
      <c r="E48" s="20">
        <f>1672552052.67</f>
        <v>1672552052.67</v>
      </c>
      <c r="F48" s="20">
        <f>41005394.51</f>
        <v>41005394.51</v>
      </c>
      <c r="G48" s="20">
        <f>0</f>
        <v>0</v>
      </c>
      <c r="H48" s="20">
        <f>50.35</f>
        <v>50.35</v>
      </c>
      <c r="I48" s="100">
        <f>0</f>
        <v>0</v>
      </c>
      <c r="J48" s="101"/>
      <c r="K48" s="33">
        <f t="shared" si="2"/>
        <v>21.46085166415579</v>
      </c>
      <c r="L48" s="33">
        <f t="shared" si="3"/>
        <v>47.100106638254516</v>
      </c>
      <c r="M48" s="34"/>
    </row>
    <row r="49" spans="2:13" ht="12.75">
      <c r="B49" s="29" t="s">
        <v>36</v>
      </c>
      <c r="C49" s="79">
        <f>5921271514.23</f>
        <v>5921271514.23</v>
      </c>
      <c r="D49" s="79">
        <f>4579620952.76</f>
        <v>4579620952.76</v>
      </c>
      <c r="E49" s="79">
        <f>2555675504.08</f>
        <v>2555675504.08</v>
      </c>
      <c r="F49" s="79">
        <f>70315.05</f>
        <v>70315.05</v>
      </c>
      <c r="G49" s="79">
        <f>0</f>
        <v>0</v>
      </c>
      <c r="H49" s="79">
        <f>0</f>
        <v>0</v>
      </c>
      <c r="I49" s="107">
        <f>0</f>
        <v>0</v>
      </c>
      <c r="J49" s="107"/>
      <c r="K49" s="80">
        <f t="shared" si="2"/>
        <v>32.7923862263191</v>
      </c>
      <c r="L49" s="80">
        <f t="shared" si="3"/>
        <v>43.16092410115295</v>
      </c>
      <c r="M49" s="34"/>
    </row>
    <row r="50" spans="2:13" ht="12.75">
      <c r="B50" s="29" t="s">
        <v>35</v>
      </c>
      <c r="C50" s="21">
        <f>139198277</f>
        <v>139198277</v>
      </c>
      <c r="D50" s="21">
        <f>41249324.95</f>
        <v>41249324.95</v>
      </c>
      <c r="E50" s="21">
        <f>30290784.6</f>
        <v>30290784.6</v>
      </c>
      <c r="F50" s="21">
        <f>578695.2</f>
        <v>578695.2</v>
      </c>
      <c r="G50" s="21">
        <f>0</f>
        <v>0</v>
      </c>
      <c r="H50" s="21">
        <f>0</f>
        <v>0</v>
      </c>
      <c r="I50" s="108">
        <f>0</f>
        <v>0</v>
      </c>
      <c r="J50" s="108"/>
      <c r="K50" s="80">
        <f t="shared" si="2"/>
        <v>0.3886671473415451</v>
      </c>
      <c r="L50" s="80">
        <f t="shared" si="3"/>
        <v>21.76089047424057</v>
      </c>
      <c r="M50" s="34"/>
    </row>
    <row r="51" spans="2:13" ht="22.5" customHeight="1">
      <c r="B51" s="29" t="s">
        <v>50</v>
      </c>
      <c r="C51" s="79">
        <f>128983094.4</f>
        <v>128983094.4</v>
      </c>
      <c r="D51" s="79">
        <f>30865338.91</f>
        <v>30865338.91</v>
      </c>
      <c r="E51" s="79">
        <f>7150375.48</f>
        <v>7150375.48</v>
      </c>
      <c r="F51" s="79">
        <f>0</f>
        <v>0</v>
      </c>
      <c r="G51" s="79">
        <f>0</f>
        <v>0</v>
      </c>
      <c r="H51" s="79">
        <f>0</f>
        <v>0</v>
      </c>
      <c r="I51" s="107">
        <f>0</f>
        <v>0</v>
      </c>
      <c r="J51" s="107"/>
      <c r="K51" s="80">
        <f t="shared" si="2"/>
        <v>0.09174790540858196</v>
      </c>
      <c r="L51" s="80">
        <f t="shared" si="3"/>
        <v>5.543653230884186</v>
      </c>
      <c r="M51" s="34"/>
    </row>
    <row r="52" spans="2:13" ht="22.5">
      <c r="B52" s="29" t="s">
        <v>51</v>
      </c>
      <c r="C52" s="79">
        <f>156502481.97</f>
        <v>156502481.97</v>
      </c>
      <c r="D52" s="79">
        <f>98132192.84</f>
        <v>98132192.84</v>
      </c>
      <c r="E52" s="79">
        <f>60398878.89</f>
        <v>60398878.89</v>
      </c>
      <c r="F52" s="79">
        <f>554517.31</f>
        <v>554517.31</v>
      </c>
      <c r="G52" s="79">
        <f>0</f>
        <v>0</v>
      </c>
      <c r="H52" s="79">
        <f>0</f>
        <v>0</v>
      </c>
      <c r="I52" s="109">
        <f>0</f>
        <v>0</v>
      </c>
      <c r="J52" s="110"/>
      <c r="K52" s="80">
        <f t="shared" si="2"/>
        <v>0.7749901585845277</v>
      </c>
      <c r="L52" s="80">
        <f t="shared" si="3"/>
        <v>38.5929207829291</v>
      </c>
      <c r="M52" s="34"/>
    </row>
    <row r="53" spans="2:13" ht="12.75">
      <c r="B53" s="29" t="s">
        <v>34</v>
      </c>
      <c r="C53" s="21">
        <f aca="true" t="shared" si="5" ref="C53:I53">C47-C48-C49-C50-C51-C52</f>
        <v>4797670739.949998</v>
      </c>
      <c r="D53" s="21">
        <f t="shared" si="5"/>
        <v>2612951577.249999</v>
      </c>
      <c r="E53" s="21">
        <f t="shared" si="5"/>
        <v>1593236226.1799996</v>
      </c>
      <c r="F53" s="21">
        <f t="shared" si="5"/>
        <v>174435590.76000002</v>
      </c>
      <c r="G53" s="21">
        <f t="shared" si="5"/>
        <v>0</v>
      </c>
      <c r="H53" s="21">
        <f t="shared" si="5"/>
        <v>81037.47</v>
      </c>
      <c r="I53" s="109">
        <f t="shared" si="5"/>
        <v>0</v>
      </c>
      <c r="J53" s="110"/>
      <c r="K53" s="80">
        <f t="shared" si="2"/>
        <v>20.44313434755299</v>
      </c>
      <c r="L53" s="80">
        <f t="shared" si="3"/>
        <v>33.208536236411355</v>
      </c>
      <c r="M53" s="34"/>
    </row>
    <row r="54" spans="2:13" ht="12.75">
      <c r="B54" s="54" t="s">
        <v>15</v>
      </c>
      <c r="C54" s="23">
        <f>C5-C44</f>
        <v>-3385309803.2699966</v>
      </c>
      <c r="D54" s="23"/>
      <c r="E54" s="23">
        <f>D5-E44</f>
        <v>3984884473.75</v>
      </c>
      <c r="F54" s="24"/>
      <c r="G54" s="24"/>
      <c r="H54" s="24"/>
      <c r="I54" s="111"/>
      <c r="J54" s="111"/>
      <c r="K54" s="25"/>
      <c r="L54" s="25"/>
      <c r="M54" s="58"/>
    </row>
    <row r="55" spans="2:13" ht="33.75">
      <c r="B55" s="59" t="s">
        <v>72</v>
      </c>
      <c r="C55" s="23">
        <f>+C36-C47</f>
        <v>1781382185.380005</v>
      </c>
      <c r="D55" s="60"/>
      <c r="E55" s="23">
        <f>+D36-E47</f>
        <v>4305969795.67</v>
      </c>
      <c r="F55" s="61"/>
      <c r="G55" s="61"/>
      <c r="H55" s="61"/>
      <c r="I55" s="114"/>
      <c r="J55" s="115"/>
      <c r="K55" s="34"/>
      <c r="L55" s="62"/>
      <c r="M55" s="62"/>
    </row>
    <row r="56" spans="2:13" ht="6.75" customHeight="1" thickBot="1">
      <c r="B56" s="63"/>
      <c r="C56" s="64"/>
      <c r="D56" s="64"/>
      <c r="E56" s="64"/>
      <c r="F56" s="18"/>
      <c r="G56" s="18"/>
      <c r="H56" s="18"/>
      <c r="I56" s="18"/>
      <c r="J56" s="34"/>
      <c r="K56" s="34"/>
      <c r="L56" s="62"/>
      <c r="M56" s="62"/>
    </row>
    <row r="57" spans="2:13" ht="12" customHeight="1" thickBot="1">
      <c r="B57" s="65" t="s">
        <v>56</v>
      </c>
      <c r="C57" s="64"/>
      <c r="D57" s="64"/>
      <c r="E57" s="64"/>
      <c r="F57" s="18"/>
      <c r="G57" s="18"/>
      <c r="H57" s="18"/>
      <c r="I57" s="18"/>
      <c r="J57" s="34"/>
      <c r="K57" s="34"/>
      <c r="L57" s="62"/>
      <c r="M57" s="62"/>
    </row>
    <row r="58" spans="2:13" ht="23.25" customHeight="1">
      <c r="B58" s="82" t="s">
        <v>73</v>
      </c>
      <c r="C58" s="23">
        <f>8464849872.18</f>
        <v>8464849872.18</v>
      </c>
      <c r="D58" s="23">
        <f>6064530375.31</f>
        <v>6064530375.31</v>
      </c>
      <c r="E58" s="23">
        <f>2395778524.78</f>
        <v>2395778524.78</v>
      </c>
      <c r="F58" s="23">
        <f>93496862.89</f>
        <v>93496862.89</v>
      </c>
      <c r="G58" s="23">
        <f>485414.78</f>
        <v>485414.78</v>
      </c>
      <c r="H58" s="23">
        <f>324815.25</f>
        <v>324815.25</v>
      </c>
      <c r="I58" s="116">
        <f>0</f>
        <v>0</v>
      </c>
      <c r="J58" s="117"/>
      <c r="K58" s="33">
        <f>IF($E$44=0,"",100*$E58/$E$58)</f>
        <v>100</v>
      </c>
      <c r="L58" s="33">
        <f>IF(C58=0,"",100*E58/C58)</f>
        <v>28.30266999363808</v>
      </c>
      <c r="M58" s="62"/>
    </row>
    <row r="59" spans="2:13" ht="12.75">
      <c r="B59" s="81" t="s">
        <v>57</v>
      </c>
      <c r="C59" s="79">
        <f>5584682680.59</f>
        <v>5584682680.59</v>
      </c>
      <c r="D59" s="79">
        <f>4103982967.41</f>
        <v>4103982967.41</v>
      </c>
      <c r="E59" s="79">
        <f>1273287619.25</f>
        <v>1273287619.25</v>
      </c>
      <c r="F59" s="79">
        <f>82252787.06</f>
        <v>82252787.06</v>
      </c>
      <c r="G59" s="79">
        <f>485414.78</f>
        <v>485414.78</v>
      </c>
      <c r="H59" s="79">
        <f>262440.9</f>
        <v>262440.9</v>
      </c>
      <c r="I59" s="109">
        <f>0</f>
        <v>0</v>
      </c>
      <c r="J59" s="110"/>
      <c r="K59" s="80">
        <f>IF($E$44=0,"",100*$E59/$E$58)</f>
        <v>53.14713384731269</v>
      </c>
      <c r="L59" s="80">
        <f>IF(C59=0,"",100*E59/C59)</f>
        <v>22.799641305949404</v>
      </c>
      <c r="M59" s="34"/>
    </row>
    <row r="60" spans="2:13" ht="12.75" customHeight="1">
      <c r="B60" s="81" t="s">
        <v>58</v>
      </c>
      <c r="C60" s="79">
        <f aca="true" t="shared" si="6" ref="C60:I60">C58-C59</f>
        <v>2880167191.59</v>
      </c>
      <c r="D60" s="79">
        <f t="shared" si="6"/>
        <v>1960547407.9000006</v>
      </c>
      <c r="E60" s="79">
        <f t="shared" si="6"/>
        <v>1122490905.5300002</v>
      </c>
      <c r="F60" s="79">
        <f t="shared" si="6"/>
        <v>11244075.829999998</v>
      </c>
      <c r="G60" s="79">
        <f t="shared" si="6"/>
        <v>0</v>
      </c>
      <c r="H60" s="79">
        <f t="shared" si="6"/>
        <v>62374.34999999998</v>
      </c>
      <c r="I60" s="118">
        <f t="shared" si="6"/>
        <v>0</v>
      </c>
      <c r="J60" s="119"/>
      <c r="K60" s="80">
        <f>IF($E$44=0,"",100*$E60/$E$58)</f>
        <v>46.85286615268731</v>
      </c>
      <c r="L60" s="80">
        <f>IF(C60=0,"",100*E60/C60)</f>
        <v>38.973116172131924</v>
      </c>
      <c r="M60" s="34"/>
    </row>
    <row r="61" spans="2:13" ht="18" customHeight="1">
      <c r="B61" s="105" t="s">
        <v>87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ht="6" customHeight="1"/>
    <row r="63" spans="2:8" ht="12.75">
      <c r="B63" s="37" t="s">
        <v>16</v>
      </c>
      <c r="C63" s="112" t="s">
        <v>17</v>
      </c>
      <c r="D63" s="113"/>
      <c r="E63" s="112" t="s">
        <v>1</v>
      </c>
      <c r="F63" s="113"/>
      <c r="G63" s="16" t="s">
        <v>22</v>
      </c>
      <c r="H63" s="16" t="s">
        <v>23</v>
      </c>
    </row>
    <row r="64" spans="2:8" ht="12.75">
      <c r="B64" s="37"/>
      <c r="C64" s="91" t="s">
        <v>59</v>
      </c>
      <c r="D64" s="92"/>
      <c r="E64" s="92"/>
      <c r="F64" s="93"/>
      <c r="G64" s="94" t="s">
        <v>4</v>
      </c>
      <c r="H64" s="95"/>
    </row>
    <row r="65" spans="2:8" ht="12.75">
      <c r="B65" s="35">
        <v>1</v>
      </c>
      <c r="C65" s="66">
        <v>2</v>
      </c>
      <c r="D65" s="67"/>
      <c r="E65" s="66">
        <v>3</v>
      </c>
      <c r="F65" s="67"/>
      <c r="G65" s="36">
        <v>4</v>
      </c>
      <c r="H65" s="36">
        <v>5</v>
      </c>
    </row>
    <row r="66" spans="2:8" ht="24" customHeight="1">
      <c r="B66" s="68" t="s">
        <v>48</v>
      </c>
      <c r="C66" s="40">
        <f>4374297990.26</f>
        <v>4374297990.26</v>
      </c>
      <c r="D66" s="41"/>
      <c r="E66" s="40">
        <f>2882716848.45</f>
        <v>2882716848.45</v>
      </c>
      <c r="F66" s="41"/>
      <c r="G66" s="39">
        <f>IF($E$66=0,"",100*$E66/$E$66)</f>
        <v>100</v>
      </c>
      <c r="H66" s="32">
        <f>IF(C66=0,"",100*E66/C66)</f>
        <v>65.90124529395987</v>
      </c>
    </row>
    <row r="67" spans="2:8" ht="24" customHeight="1">
      <c r="B67" s="38" t="s">
        <v>76</v>
      </c>
      <c r="C67" s="42">
        <f>2348591227</f>
        <v>2348591227</v>
      </c>
      <c r="D67" s="43"/>
      <c r="E67" s="42">
        <f>13638446.69</f>
        <v>13638446.69</v>
      </c>
      <c r="F67" s="43"/>
      <c r="G67" s="51">
        <f aca="true" t="shared" si="7" ref="G67:G74">IF($E$66=0,"",100*$E67/$E$66)</f>
        <v>0.47311086752530757</v>
      </c>
      <c r="H67" s="52">
        <f aca="true" t="shared" si="8" ref="H67:H79">IF(C67=0,"",100*E67/C67)</f>
        <v>0.5807075549465126</v>
      </c>
    </row>
    <row r="68" spans="2:8" ht="24" customHeight="1">
      <c r="B68" s="83" t="s">
        <v>77</v>
      </c>
      <c r="C68" s="84">
        <f>220000000</f>
        <v>220000000</v>
      </c>
      <c r="D68" s="85"/>
      <c r="E68" s="84">
        <f>0</f>
        <v>0</v>
      </c>
      <c r="F68" s="85"/>
      <c r="G68" s="86">
        <f t="shared" si="7"/>
        <v>0</v>
      </c>
      <c r="H68" s="87">
        <f t="shared" si="8"/>
        <v>0</v>
      </c>
    </row>
    <row r="69" spans="2:8" ht="17.25" customHeight="1">
      <c r="B69" s="88" t="s">
        <v>78</v>
      </c>
      <c r="C69" s="84">
        <f>72319706</f>
        <v>72319706</v>
      </c>
      <c r="D69" s="85"/>
      <c r="E69" s="84">
        <f>14284645.12</f>
        <v>14284645.12</v>
      </c>
      <c r="F69" s="85"/>
      <c r="G69" s="86">
        <f t="shared" si="7"/>
        <v>0.49552716659219137</v>
      </c>
      <c r="H69" s="87">
        <f t="shared" si="8"/>
        <v>19.752078527531626</v>
      </c>
    </row>
    <row r="70" spans="2:8" ht="18.75" customHeight="1">
      <c r="B70" s="88" t="s">
        <v>79</v>
      </c>
      <c r="C70" s="84">
        <f>68445049</f>
        <v>68445049</v>
      </c>
      <c r="D70" s="85"/>
      <c r="E70" s="84">
        <f>160027854.59</f>
        <v>160027854.59</v>
      </c>
      <c r="F70" s="85"/>
      <c r="G70" s="86">
        <f t="shared" si="7"/>
        <v>5.551285922377182</v>
      </c>
      <c r="H70" s="87">
        <f t="shared" si="8"/>
        <v>233.80486525767554</v>
      </c>
    </row>
    <row r="71" spans="2:8" ht="37.5" customHeight="1">
      <c r="B71" s="88" t="s">
        <v>86</v>
      </c>
      <c r="C71" s="84">
        <f>596994423</f>
        <v>596994423</v>
      </c>
      <c r="D71" s="85"/>
      <c r="E71" s="84">
        <f>757599055.82</f>
        <v>757599055.82</v>
      </c>
      <c r="F71" s="85"/>
      <c r="G71" s="86">
        <f t="shared" si="7"/>
        <v>26.280730839983516</v>
      </c>
      <c r="H71" s="87">
        <f t="shared" si="8"/>
        <v>126.9021998585739</v>
      </c>
    </row>
    <row r="72" spans="2:8" ht="18.75" customHeight="1">
      <c r="B72" s="88" t="s">
        <v>80</v>
      </c>
      <c r="C72" s="84">
        <f>0</f>
        <v>0</v>
      </c>
      <c r="D72" s="85"/>
      <c r="E72" s="84">
        <f>0</f>
        <v>0</v>
      </c>
      <c r="F72" s="85"/>
      <c r="G72" s="86">
        <f t="shared" si="7"/>
        <v>0</v>
      </c>
      <c r="H72" s="87">
        <f t="shared" si="8"/>
      </c>
    </row>
    <row r="73" spans="2:8" ht="33.75">
      <c r="B73" s="88" t="s">
        <v>84</v>
      </c>
      <c r="C73" s="84">
        <f>1287947585.26</f>
        <v>1287947585.26</v>
      </c>
      <c r="D73" s="85"/>
      <c r="E73" s="84">
        <f>1937166846.23</f>
        <v>1937166846.23</v>
      </c>
      <c r="F73" s="85"/>
      <c r="G73" s="86">
        <f t="shared" si="7"/>
        <v>67.19934520352182</v>
      </c>
      <c r="H73" s="87">
        <f t="shared" si="8"/>
        <v>150.40727343255517</v>
      </c>
    </row>
    <row r="74" spans="2:8" ht="14.25" customHeight="1">
      <c r="B74" s="83" t="s">
        <v>62</v>
      </c>
      <c r="C74" s="84">
        <f>0</f>
        <v>0</v>
      </c>
      <c r="D74" s="85"/>
      <c r="E74" s="84">
        <f>0</f>
        <v>0</v>
      </c>
      <c r="F74" s="85"/>
      <c r="G74" s="86">
        <f t="shared" si="7"/>
        <v>0</v>
      </c>
      <c r="H74" s="87">
        <f t="shared" si="8"/>
      </c>
    </row>
    <row r="75" spans="2:8" ht="24" customHeight="1">
      <c r="B75" s="68" t="s">
        <v>49</v>
      </c>
      <c r="C75" s="48">
        <f>988988186.99</f>
        <v>988988186.99</v>
      </c>
      <c r="D75" s="49"/>
      <c r="E75" s="48">
        <f>272557464.97</f>
        <v>272557464.97</v>
      </c>
      <c r="F75" s="49"/>
      <c r="G75" s="39">
        <f>IF($E$75=0,"",100*$E75/$E$75)</f>
        <v>100</v>
      </c>
      <c r="H75" s="32">
        <f t="shared" si="8"/>
        <v>27.559223513026243</v>
      </c>
    </row>
    <row r="76" spans="2:8" ht="33.75">
      <c r="B76" s="38" t="s">
        <v>81</v>
      </c>
      <c r="C76" s="42">
        <f>936681645</f>
        <v>936681645</v>
      </c>
      <c r="D76" s="46"/>
      <c r="E76" s="47">
        <f>260076290.65</f>
        <v>260076290.65</v>
      </c>
      <c r="F76" s="46"/>
      <c r="G76" s="51">
        <f>IF($E$75=0,"",100*$E76/$E$75)</f>
        <v>95.42071822491678</v>
      </c>
      <c r="H76" s="52">
        <f t="shared" si="8"/>
        <v>27.765708022387905</v>
      </c>
    </row>
    <row r="77" spans="2:8" ht="18.75" customHeight="1">
      <c r="B77" s="88" t="s">
        <v>82</v>
      </c>
      <c r="C77" s="84">
        <f>8750000</f>
        <v>8750000</v>
      </c>
      <c r="D77" s="85"/>
      <c r="E77" s="84">
        <f>0</f>
        <v>0</v>
      </c>
      <c r="F77" s="85"/>
      <c r="G77" s="86">
        <f>IF($E$75=0,"",100*$E77/$E$75)</f>
        <v>0</v>
      </c>
      <c r="H77" s="87">
        <f t="shared" si="8"/>
        <v>0</v>
      </c>
    </row>
    <row r="78" spans="2:8" ht="18" customHeight="1">
      <c r="B78" s="88" t="s">
        <v>83</v>
      </c>
      <c r="C78" s="84">
        <f>52306541.99</f>
        <v>52306541.99</v>
      </c>
      <c r="D78" s="85"/>
      <c r="E78" s="84">
        <f>12481174.32</f>
        <v>12481174.32</v>
      </c>
      <c r="F78" s="85"/>
      <c r="G78" s="86">
        <f>IF($E$75=0,"",100*$E78/$E$75)</f>
        <v>4.579281775083205</v>
      </c>
      <c r="H78" s="87">
        <f t="shared" si="8"/>
        <v>23.861593302012125</v>
      </c>
    </row>
    <row r="79" spans="2:8" ht="16.5" customHeight="1">
      <c r="B79" s="88" t="s">
        <v>24</v>
      </c>
      <c r="C79" s="84">
        <f>0</f>
        <v>0</v>
      </c>
      <c r="D79" s="85"/>
      <c r="E79" s="84">
        <f>0</f>
        <v>0</v>
      </c>
      <c r="F79" s="85"/>
      <c r="G79" s="86">
        <f>IF($E$75=0,"",100*$E79/$E$75)</f>
        <v>0</v>
      </c>
      <c r="H79" s="87">
        <f t="shared" si="8"/>
      </c>
    </row>
    <row r="80" ht="3" customHeight="1"/>
    <row r="81" spans="2:8" ht="12.75">
      <c r="B81" s="37" t="s">
        <v>16</v>
      </c>
      <c r="C81" s="112" t="s">
        <v>17</v>
      </c>
      <c r="D81" s="113"/>
      <c r="E81" s="112" t="s">
        <v>1</v>
      </c>
      <c r="F81" s="113"/>
      <c r="G81" s="16" t="s">
        <v>22</v>
      </c>
      <c r="H81" s="16" t="s">
        <v>23</v>
      </c>
    </row>
    <row r="82" spans="2:8" ht="12.75">
      <c r="B82" s="37"/>
      <c r="C82" s="91" t="s">
        <v>59</v>
      </c>
      <c r="D82" s="92"/>
      <c r="E82" s="92"/>
      <c r="F82" s="93"/>
      <c r="G82" s="94" t="s">
        <v>4</v>
      </c>
      <c r="H82" s="95"/>
    </row>
    <row r="83" spans="2:8" ht="12.75">
      <c r="B83" s="35">
        <v>1</v>
      </c>
      <c r="C83" s="66">
        <v>2</v>
      </c>
      <c r="D83" s="67"/>
      <c r="E83" s="66">
        <v>3</v>
      </c>
      <c r="F83" s="67"/>
      <c r="G83" s="36">
        <v>4</v>
      </c>
      <c r="H83" s="36">
        <v>5</v>
      </c>
    </row>
    <row r="84" spans="2:8" ht="22.5">
      <c r="B84" s="50" t="s">
        <v>63</v>
      </c>
      <c r="C84" s="45">
        <f>3385309803.27</f>
        <v>3385309803.27</v>
      </c>
      <c r="D84" s="44"/>
      <c r="E84" s="45">
        <f>0</f>
        <v>0</v>
      </c>
      <c r="F84" s="41"/>
      <c r="G84" s="39"/>
      <c r="H84" s="32"/>
    </row>
    <row r="85" spans="2:8" ht="48.75" customHeight="1">
      <c r="B85" s="89" t="s">
        <v>64</v>
      </c>
      <c r="C85" s="84">
        <f>220000000</f>
        <v>220000000</v>
      </c>
      <c r="D85" s="85"/>
      <c r="E85" s="84">
        <f>0</f>
        <v>0</v>
      </c>
      <c r="F85" s="85"/>
      <c r="G85" s="86"/>
      <c r="H85" s="87"/>
    </row>
    <row r="86" spans="2:8" ht="12.75">
      <c r="B86" s="89" t="s">
        <v>65</v>
      </c>
      <c r="C86" s="84">
        <f>1395863287.27</f>
        <v>1395863287.27</v>
      </c>
      <c r="D86" s="85"/>
      <c r="E86" s="84">
        <f>0</f>
        <v>0</v>
      </c>
      <c r="F86" s="85"/>
      <c r="G86" s="86"/>
      <c r="H86" s="87"/>
    </row>
    <row r="87" spans="2:8" ht="22.5">
      <c r="B87" s="89" t="s">
        <v>66</v>
      </c>
      <c r="C87" s="84">
        <f>0</f>
        <v>0</v>
      </c>
      <c r="D87" s="85"/>
      <c r="E87" s="84">
        <f>0</f>
        <v>0</v>
      </c>
      <c r="F87" s="85"/>
      <c r="G87" s="86"/>
      <c r="H87" s="87"/>
    </row>
    <row r="88" spans="2:8" ht="33.75">
      <c r="B88" s="89" t="s">
        <v>67</v>
      </c>
      <c r="C88" s="84">
        <f>52024895</f>
        <v>52024895</v>
      </c>
      <c r="D88" s="85"/>
      <c r="E88" s="84">
        <f>0</f>
        <v>0</v>
      </c>
      <c r="F88" s="85"/>
      <c r="G88" s="86"/>
      <c r="H88" s="87"/>
    </row>
    <row r="89" spans="2:8" ht="85.5" customHeight="1">
      <c r="B89" s="89" t="s">
        <v>68</v>
      </c>
      <c r="C89" s="84">
        <f>1111604889</f>
        <v>1111604889</v>
      </c>
      <c r="D89" s="85"/>
      <c r="E89" s="84">
        <f>0</f>
        <v>0</v>
      </c>
      <c r="F89" s="85"/>
      <c r="G89" s="86"/>
      <c r="H89" s="87"/>
    </row>
  </sheetData>
  <sheetProtection/>
  <mergeCells count="42">
    <mergeCell ref="C81:D81"/>
    <mergeCell ref="E81:F81"/>
    <mergeCell ref="C82:F82"/>
    <mergeCell ref="G82:H82"/>
    <mergeCell ref="I55:J55"/>
    <mergeCell ref="I58:J58"/>
    <mergeCell ref="I59:J59"/>
    <mergeCell ref="I60:J60"/>
    <mergeCell ref="C63:D63"/>
    <mergeCell ref="E63:F63"/>
    <mergeCell ref="I49:J49"/>
    <mergeCell ref="I50:J50"/>
    <mergeCell ref="I51:J51"/>
    <mergeCell ref="I53:J53"/>
    <mergeCell ref="I54:J54"/>
    <mergeCell ref="I52:J52"/>
    <mergeCell ref="B1:M1"/>
    <mergeCell ref="B61:M61"/>
    <mergeCell ref="I39:J41"/>
    <mergeCell ref="D39:D41"/>
    <mergeCell ref="E39:E41"/>
    <mergeCell ref="F40:F41"/>
    <mergeCell ref="F39:H39"/>
    <mergeCell ref="G40:H40"/>
    <mergeCell ref="F3:H3"/>
    <mergeCell ref="B37:M37"/>
    <mergeCell ref="I43:J43"/>
    <mergeCell ref="I46:J46"/>
    <mergeCell ref="I47:J47"/>
    <mergeCell ref="I44:J44"/>
    <mergeCell ref="I45:J45"/>
    <mergeCell ref="I48:J48"/>
    <mergeCell ref="C42:J42"/>
    <mergeCell ref="C3:E3"/>
    <mergeCell ref="C64:F64"/>
    <mergeCell ref="G64:H64"/>
    <mergeCell ref="L39:L41"/>
    <mergeCell ref="B2:B3"/>
    <mergeCell ref="C39:C41"/>
    <mergeCell ref="B39:B42"/>
    <mergeCell ref="K39:K41"/>
    <mergeCell ref="K42:L42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2" manualBreakCount="2">
    <brk id="36" max="255" man="1"/>
    <brk id="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2021-08-19T13:46:07Z</dcterms:modified>
  <cp:category/>
  <cp:version/>
  <cp:contentType/>
  <cp:contentStatus/>
</cp:coreProperties>
</file>